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2BD9EC53-3EAD-4E8B-BCD3-66EBB5BDE713}" xr6:coauthVersionLast="47" xr6:coauthVersionMax="47" xr10:uidLastSave="{00000000-0000-0000-0000-000000000000}"/>
  <bookViews>
    <workbookView xWindow="-120" yWindow="-120" windowWidth="29040" windowHeight="15840" tabRatio="770" activeTab="21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  <sheet name="navarch" sheetId="2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D2" i="3"/>
  <c r="D3" i="3"/>
  <c r="D4" i="3"/>
  <c r="D5" i="3"/>
  <c r="D6" i="3"/>
  <c r="D7" i="3"/>
  <c r="D8" i="3"/>
  <c r="D9" i="3"/>
  <c r="D10" i="3"/>
  <c r="E2" i="3"/>
  <c r="E3" i="3"/>
  <c r="E4" i="3"/>
  <c r="E5" i="3"/>
  <c r="E6" i="3"/>
  <c r="E7" i="3"/>
  <c r="E8" i="3"/>
  <c r="E9" i="3"/>
  <c r="E10" i="3"/>
  <c r="F2" i="3"/>
  <c r="F3" i="3"/>
  <c r="F4" i="3"/>
  <c r="F5" i="3"/>
  <c r="F6" i="3"/>
  <c r="F7" i="3"/>
  <c r="F8" i="3"/>
  <c r="F9" i="3"/>
  <c r="F10" i="3"/>
  <c r="G2" i="3"/>
  <c r="G3" i="3"/>
  <c r="G4" i="3"/>
  <c r="G5" i="3"/>
  <c r="G6" i="3"/>
  <c r="G7" i="3"/>
  <c r="G8" i="3"/>
  <c r="G9" i="3"/>
  <c r="G10" i="3"/>
  <c r="H2" i="3"/>
  <c r="H3" i="3"/>
  <c r="H4" i="3"/>
  <c r="H5" i="3"/>
  <c r="H6" i="3"/>
  <c r="H7" i="3"/>
  <c r="H8" i="3"/>
  <c r="H9" i="3"/>
  <c r="H10" i="3"/>
  <c r="U108" i="29"/>
  <c r="U109" i="29"/>
  <c r="U110" i="29"/>
  <c r="T108" i="29"/>
  <c r="T109" i="29"/>
  <c r="T110" i="29"/>
  <c r="S108" i="29"/>
  <c r="S109" i="29"/>
  <c r="S110" i="29"/>
  <c r="S87" i="29"/>
  <c r="S88" i="29"/>
  <c r="S89" i="29"/>
  <c r="U66" i="29"/>
  <c r="U67" i="29"/>
  <c r="U68" i="29"/>
  <c r="T66" i="29"/>
  <c r="T67" i="29"/>
  <c r="T68" i="29"/>
  <c r="S66" i="29"/>
  <c r="S67" i="29"/>
  <c r="S68" i="29"/>
  <c r="U45" i="29"/>
  <c r="U46" i="29"/>
  <c r="U47" i="29"/>
  <c r="T45" i="29"/>
  <c r="T46" i="29"/>
  <c r="T47" i="29"/>
  <c r="S45" i="29"/>
  <c r="S46" i="29"/>
  <c r="S47" i="29"/>
  <c r="U24" i="29"/>
  <c r="U25" i="29"/>
  <c r="U26" i="29"/>
  <c r="T24" i="29"/>
  <c r="T25" i="29"/>
  <c r="T26" i="29"/>
  <c r="S24" i="29"/>
  <c r="S25" i="29"/>
  <c r="S26" i="29"/>
  <c r="U3" i="29"/>
  <c r="U4" i="29"/>
  <c r="U5" i="29"/>
  <c r="T3" i="29"/>
  <c r="T4" i="29"/>
  <c r="T5" i="29"/>
  <c r="S3" i="29"/>
  <c r="S4" i="29"/>
  <c r="S5" i="29"/>
  <c r="N125" i="29"/>
  <c r="M125" i="29"/>
  <c r="N124" i="29"/>
  <c r="M124" i="29"/>
  <c r="P124" i="29" s="1"/>
  <c r="N123" i="29"/>
  <c r="M123" i="29"/>
  <c r="P123" i="29" s="1"/>
  <c r="N120" i="29"/>
  <c r="M120" i="29"/>
  <c r="N119" i="29"/>
  <c r="M119" i="29"/>
  <c r="N118" i="29"/>
  <c r="M118" i="29"/>
  <c r="N115" i="29"/>
  <c r="M115" i="29"/>
  <c r="P115" i="29" s="1"/>
  <c r="N114" i="29"/>
  <c r="M114" i="29"/>
  <c r="P114" i="29" s="1"/>
  <c r="N113" i="29"/>
  <c r="M113" i="29"/>
  <c r="N110" i="29"/>
  <c r="M110" i="29"/>
  <c r="N109" i="29"/>
  <c r="M109" i="29"/>
  <c r="N108" i="29"/>
  <c r="M108" i="29"/>
  <c r="P108" i="29" s="1"/>
  <c r="N104" i="29"/>
  <c r="M104" i="29"/>
  <c r="P104" i="29" s="1"/>
  <c r="N103" i="29"/>
  <c r="M103" i="29"/>
  <c r="P103" i="29" s="1"/>
  <c r="N102" i="29"/>
  <c r="M102" i="29"/>
  <c r="P102" i="29" s="1"/>
  <c r="N99" i="29"/>
  <c r="M99" i="29"/>
  <c r="P99" i="29" s="1"/>
  <c r="N98" i="29"/>
  <c r="M98" i="29"/>
  <c r="P98" i="29" s="1"/>
  <c r="N97" i="29"/>
  <c r="M97" i="29"/>
  <c r="P97" i="29" s="1"/>
  <c r="N94" i="29"/>
  <c r="M94" i="29"/>
  <c r="P94" i="29" s="1"/>
  <c r="N93" i="29"/>
  <c r="M93" i="29"/>
  <c r="P93" i="29" s="1"/>
  <c r="N92" i="29"/>
  <c r="M92" i="29"/>
  <c r="P92" i="29" s="1"/>
  <c r="U89" i="29"/>
  <c r="T89" i="29"/>
  <c r="N89" i="29"/>
  <c r="M89" i="29"/>
  <c r="P89" i="29" s="1"/>
  <c r="U88" i="29"/>
  <c r="T88" i="29"/>
  <c r="N88" i="29"/>
  <c r="M88" i="29"/>
  <c r="P88" i="29" s="1"/>
  <c r="U87" i="29"/>
  <c r="T87" i="29"/>
  <c r="N87" i="29"/>
  <c r="M87" i="29"/>
  <c r="N83" i="29"/>
  <c r="M83" i="29"/>
  <c r="P83" i="29" s="1"/>
  <c r="N82" i="29"/>
  <c r="M82" i="29"/>
  <c r="P82" i="29" s="1"/>
  <c r="N81" i="29"/>
  <c r="M81" i="29"/>
  <c r="P81" i="29" s="1"/>
  <c r="N78" i="29"/>
  <c r="M78" i="29"/>
  <c r="P78" i="29" s="1"/>
  <c r="N77" i="29"/>
  <c r="M77" i="29"/>
  <c r="P77" i="29" s="1"/>
  <c r="N76" i="29"/>
  <c r="M76" i="29"/>
  <c r="P76" i="29" s="1"/>
  <c r="N73" i="29"/>
  <c r="M73" i="29"/>
  <c r="N72" i="29"/>
  <c r="M72" i="29"/>
  <c r="P72" i="29" s="1"/>
  <c r="N71" i="29"/>
  <c r="M71" i="29"/>
  <c r="P71" i="29" s="1"/>
  <c r="N68" i="29"/>
  <c r="M68" i="29"/>
  <c r="P68" i="29" s="1"/>
  <c r="N67" i="29"/>
  <c r="M67" i="29"/>
  <c r="P67" i="29" s="1"/>
  <c r="N66" i="29"/>
  <c r="M66" i="29"/>
  <c r="P66" i="29" s="1"/>
  <c r="N62" i="29"/>
  <c r="M62" i="29"/>
  <c r="P62" i="29" s="1"/>
  <c r="N61" i="29"/>
  <c r="M61" i="29"/>
  <c r="N60" i="29"/>
  <c r="M60" i="29"/>
  <c r="P60" i="29" s="1"/>
  <c r="N57" i="29"/>
  <c r="M57" i="29"/>
  <c r="N56" i="29"/>
  <c r="M56" i="29"/>
  <c r="N55" i="29"/>
  <c r="M55" i="29"/>
  <c r="P55" i="29" s="1"/>
  <c r="N52" i="29"/>
  <c r="M52" i="29"/>
  <c r="N51" i="29"/>
  <c r="M51" i="29"/>
  <c r="P51" i="29" s="1"/>
  <c r="N50" i="29"/>
  <c r="M50" i="29"/>
  <c r="N47" i="29"/>
  <c r="M47" i="29"/>
  <c r="P47" i="29" s="1"/>
  <c r="N46" i="29"/>
  <c r="M46" i="29"/>
  <c r="N45" i="29"/>
  <c r="M45" i="29"/>
  <c r="P45" i="29" s="1"/>
  <c r="N41" i="29"/>
  <c r="M41" i="29"/>
  <c r="P41" i="29" s="1"/>
  <c r="N40" i="29"/>
  <c r="M40" i="29"/>
  <c r="P40" i="29" s="1"/>
  <c r="N39" i="29"/>
  <c r="M39" i="29"/>
  <c r="N36" i="29"/>
  <c r="M36" i="29"/>
  <c r="N35" i="29"/>
  <c r="M35" i="29"/>
  <c r="N34" i="29"/>
  <c r="M34" i="29"/>
  <c r="P34" i="29" s="1"/>
  <c r="N31" i="29"/>
  <c r="M31" i="29"/>
  <c r="N30" i="29"/>
  <c r="M30" i="29"/>
  <c r="N29" i="29"/>
  <c r="M29" i="29"/>
  <c r="N26" i="29"/>
  <c r="M26" i="29"/>
  <c r="O26" i="29" s="1"/>
  <c r="N25" i="29"/>
  <c r="M25" i="29"/>
  <c r="N24" i="29"/>
  <c r="M24" i="29"/>
  <c r="N20" i="29"/>
  <c r="M20" i="29"/>
  <c r="N19" i="29"/>
  <c r="M19" i="29"/>
  <c r="N18" i="29"/>
  <c r="M18" i="29"/>
  <c r="N15" i="29"/>
  <c r="M15" i="29"/>
  <c r="N14" i="29"/>
  <c r="M14" i="29"/>
  <c r="N13" i="29"/>
  <c r="M13" i="29"/>
  <c r="N10" i="29"/>
  <c r="M10" i="29"/>
  <c r="P10" i="29" s="1"/>
  <c r="N9" i="29"/>
  <c r="M9" i="29"/>
  <c r="N8" i="29"/>
  <c r="M8" i="29"/>
  <c r="N5" i="29"/>
  <c r="M5" i="29"/>
  <c r="N4" i="29"/>
  <c r="M4" i="29"/>
  <c r="P4" i="29" s="1"/>
  <c r="N3" i="29"/>
  <c r="M3" i="29"/>
  <c r="P3" i="29" s="1"/>
  <c r="B10" i="3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D85" i="24"/>
  <c r="F85" i="24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H4" i="26"/>
  <c r="H5" i="26"/>
  <c r="H6" i="26"/>
  <c r="H7" i="26"/>
  <c r="H8" i="26"/>
  <c r="M11" i="26" s="1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3" i="26"/>
  <c r="P8" i="29" l="1"/>
  <c r="P118" i="29"/>
  <c r="P125" i="29"/>
  <c r="O57" i="29"/>
  <c r="P30" i="29"/>
  <c r="P120" i="29"/>
  <c r="O110" i="29"/>
  <c r="P113" i="29"/>
  <c r="O109" i="29"/>
  <c r="P119" i="29"/>
  <c r="P109" i="29"/>
  <c r="O108" i="29"/>
  <c r="O87" i="29"/>
  <c r="P87" i="29"/>
  <c r="O104" i="29"/>
  <c r="G85" i="24"/>
  <c r="O81" i="29"/>
  <c r="O82" i="29"/>
  <c r="P73" i="29"/>
  <c r="O83" i="29"/>
  <c r="O73" i="29"/>
  <c r="O66" i="29"/>
  <c r="P52" i="29"/>
  <c r="P39" i="29"/>
  <c r="P25" i="29"/>
  <c r="P36" i="29"/>
  <c r="P31" i="29"/>
  <c r="P29" i="29"/>
  <c r="C13" i="29"/>
  <c r="J5" i="29"/>
  <c r="P26" i="29"/>
  <c r="C15" i="29"/>
  <c r="O24" i="29"/>
  <c r="P24" i="29"/>
  <c r="P35" i="29"/>
  <c r="P19" i="29"/>
  <c r="P15" i="29"/>
  <c r="P14" i="29"/>
  <c r="P13" i="29"/>
  <c r="O20" i="29"/>
  <c r="P9" i="29"/>
  <c r="P20" i="29"/>
  <c r="I5" i="29"/>
  <c r="P18" i="29"/>
  <c r="O56" i="29"/>
  <c r="P57" i="29"/>
  <c r="H5" i="29"/>
  <c r="I10" i="3"/>
  <c r="J10" i="3" s="1"/>
  <c r="P46" i="29"/>
  <c r="P50" i="29"/>
  <c r="P56" i="29"/>
  <c r="P61" i="29"/>
  <c r="I4" i="29"/>
  <c r="J3" i="29"/>
  <c r="J4" i="29"/>
  <c r="I3" i="29"/>
  <c r="H3" i="29"/>
  <c r="H4" i="29"/>
  <c r="O103" i="29"/>
  <c r="O102" i="29"/>
  <c r="C18" i="29"/>
  <c r="C20" i="29"/>
  <c r="O60" i="29"/>
  <c r="O61" i="29"/>
  <c r="O62" i="29"/>
  <c r="C19" i="29"/>
  <c r="O77" i="29"/>
  <c r="O78" i="29"/>
  <c r="O76" i="29"/>
  <c r="O55" i="29"/>
  <c r="C14" i="29"/>
  <c r="O72" i="29"/>
  <c r="O71" i="29"/>
  <c r="O50" i="29"/>
  <c r="O51" i="29"/>
  <c r="O52" i="29"/>
  <c r="C8" i="29"/>
  <c r="C3" i="29"/>
  <c r="P110" i="29"/>
  <c r="O88" i="29"/>
  <c r="C4" i="29"/>
  <c r="O47" i="29"/>
  <c r="B5" i="29"/>
  <c r="O25" i="29"/>
  <c r="O10" i="29"/>
  <c r="C10" i="29"/>
  <c r="C9" i="29"/>
  <c r="O5" i="29"/>
  <c r="P5" i="29"/>
  <c r="C5" i="29"/>
  <c r="O4" i="29"/>
  <c r="B3" i="29"/>
  <c r="B9" i="29"/>
  <c r="O3" i="29"/>
  <c r="O8" i="29"/>
  <c r="B10" i="29"/>
  <c r="O13" i="29"/>
  <c r="O14" i="29"/>
  <c r="O15" i="29"/>
  <c r="O18" i="29"/>
  <c r="O19" i="29"/>
  <c r="O46" i="29"/>
  <c r="O68" i="29"/>
  <c r="O92" i="29"/>
  <c r="O93" i="29"/>
  <c r="O94" i="29"/>
  <c r="O97" i="29"/>
  <c r="O98" i="29"/>
  <c r="O99" i="29"/>
  <c r="O9" i="29"/>
  <c r="O29" i="29"/>
  <c r="O30" i="29"/>
  <c r="O31" i="29"/>
  <c r="O34" i="29"/>
  <c r="O35" i="29"/>
  <c r="O36" i="29"/>
  <c r="O39" i="29"/>
  <c r="O40" i="29"/>
  <c r="O41" i="29"/>
  <c r="O45" i="29"/>
  <c r="O67" i="29"/>
  <c r="O89" i="29"/>
  <c r="O113" i="29"/>
  <c r="O114" i="29"/>
  <c r="O115" i="29"/>
  <c r="O118" i="29"/>
  <c r="O119" i="29"/>
  <c r="O120" i="29"/>
  <c r="O123" i="29"/>
  <c r="O124" i="29"/>
  <c r="O125" i="29"/>
  <c r="B4" i="29"/>
  <c r="B8" i="29"/>
  <c r="B13" i="29"/>
  <c r="B14" i="29"/>
  <c r="B15" i="29"/>
  <c r="B18" i="29"/>
  <c r="B19" i="29"/>
  <c r="B20" i="29"/>
  <c r="D5" i="29" l="1"/>
  <c r="X5" i="29"/>
  <c r="X3" i="29"/>
  <c r="X4" i="29"/>
  <c r="X6" i="29"/>
  <c r="E3" i="29"/>
  <c r="X7" i="29"/>
  <c r="X2" i="29"/>
  <c r="E5" i="29"/>
  <c r="D3" i="29"/>
  <c r="E15" i="29"/>
  <c r="D15" i="29"/>
  <c r="E4" i="29"/>
  <c r="D4" i="29"/>
  <c r="E9" i="29"/>
  <c r="D9" i="29"/>
  <c r="E20" i="29"/>
  <c r="D20" i="29"/>
  <c r="E14" i="29"/>
  <c r="D14" i="29"/>
  <c r="D10" i="29"/>
  <c r="E10" i="29"/>
  <c r="E19" i="29"/>
  <c r="D19" i="29"/>
  <c r="E13" i="29"/>
  <c r="D13" i="29"/>
  <c r="X9" i="29"/>
  <c r="E18" i="29"/>
  <c r="D18" i="29"/>
  <c r="X10" i="29"/>
  <c r="X8" i="29"/>
  <c r="X11" i="29"/>
  <c r="E8" i="29"/>
  <c r="D8" i="29"/>
  <c r="D82" i="24" l="1"/>
  <c r="F82" i="24"/>
  <c r="D86" i="24"/>
  <c r="F86" i="24"/>
  <c r="D84" i="24"/>
  <c r="F84" i="24"/>
  <c r="D81" i="24"/>
  <c r="F81" i="24"/>
  <c r="D79" i="24"/>
  <c r="F79" i="24"/>
  <c r="D76" i="24"/>
  <c r="F76" i="24"/>
  <c r="D75" i="24"/>
  <c r="F75" i="24"/>
  <c r="D73" i="24"/>
  <c r="F73" i="24"/>
  <c r="D70" i="24"/>
  <c r="F70" i="24"/>
  <c r="D66" i="24"/>
  <c r="F66" i="24"/>
  <c r="D65" i="24"/>
  <c r="F65" i="24"/>
  <c r="D63" i="24"/>
  <c r="F63" i="24"/>
  <c r="D60" i="24"/>
  <c r="F60" i="24"/>
  <c r="D56" i="24"/>
  <c r="F56" i="24"/>
  <c r="D51" i="24"/>
  <c r="F51" i="24"/>
  <c r="D50" i="24"/>
  <c r="F50" i="24"/>
  <c r="D48" i="24"/>
  <c r="F48" i="24"/>
  <c r="D45" i="24"/>
  <c r="F45" i="24"/>
  <c r="D41" i="24"/>
  <c r="F41" i="24"/>
  <c r="D36" i="24"/>
  <c r="F36" i="24"/>
  <c r="D30" i="24"/>
  <c r="F30" i="24"/>
  <c r="D29" i="24"/>
  <c r="F29" i="24"/>
  <c r="D27" i="24"/>
  <c r="F27" i="24"/>
  <c r="D24" i="24"/>
  <c r="F24" i="24"/>
  <c r="D20" i="24"/>
  <c r="F20" i="24"/>
  <c r="D15" i="24"/>
  <c r="F15" i="24"/>
  <c r="D9" i="24"/>
  <c r="F9" i="24"/>
  <c r="D38" i="15"/>
  <c r="E38" i="15" s="1"/>
  <c r="D37" i="15"/>
  <c r="E37" i="15" s="1"/>
  <c r="D35" i="15"/>
  <c r="E35" i="15" s="1"/>
  <c r="D32" i="15"/>
  <c r="E32" i="15" s="1"/>
  <c r="D28" i="15"/>
  <c r="E28" i="15" s="1"/>
  <c r="D23" i="15"/>
  <c r="D17" i="15"/>
  <c r="D10" i="15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G225" i="28" s="1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G252" i="28" s="1"/>
  <c r="F253" i="28"/>
  <c r="F254" i="28"/>
  <c r="G254" i="28" s="1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G271" i="28" s="1"/>
  <c r="F272" i="28"/>
  <c r="G272" i="28" s="1"/>
  <c r="F273" i="28"/>
  <c r="G273" i="28" s="1"/>
  <c r="F274" i="28"/>
  <c r="F275" i="28"/>
  <c r="G275" i="28" s="1"/>
  <c r="F276" i="28"/>
  <c r="G276" i="28" s="1"/>
  <c r="F277" i="28"/>
  <c r="G277" i="28" s="1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G296" i="28" s="1"/>
  <c r="F297" i="28"/>
  <c r="G297" i="28" s="1"/>
  <c r="F298" i="28"/>
  <c r="G298" i="28" s="1"/>
  <c r="F299" i="28"/>
  <c r="G299" i="28" s="1"/>
  <c r="F300" i="28"/>
  <c r="G300" i="28" s="1"/>
  <c r="F301" i="28"/>
  <c r="G301" i="28" s="1"/>
  <c r="F302" i="28"/>
  <c r="G302" i="28" s="1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G321" i="28" s="1"/>
  <c r="F322" i="28"/>
  <c r="F323" i="28"/>
  <c r="G323" i="28" s="1"/>
  <c r="F324" i="28"/>
  <c r="G324" i="28" s="1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G344" i="28" s="1"/>
  <c r="F345" i="28"/>
  <c r="G345" i="28" s="1"/>
  <c r="F346" i="28"/>
  <c r="G346" i="28" s="1"/>
  <c r="F347" i="28"/>
  <c r="G347" i="28" s="1"/>
  <c r="F348" i="28"/>
  <c r="G348" i="28" s="1"/>
  <c r="F349" i="28"/>
  <c r="G349" i="28" s="1"/>
  <c r="F350" i="28"/>
  <c r="G350" i="28" s="1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G363" i="28" s="1"/>
  <c r="F364" i="28"/>
  <c r="F365" i="28"/>
  <c r="G365" i="28" s="1"/>
  <c r="F366" i="28"/>
  <c r="F367" i="28"/>
  <c r="G367" i="28" s="1"/>
  <c r="F368" i="28"/>
  <c r="G368" i="28" s="1"/>
  <c r="F369" i="28"/>
  <c r="G369" i="28" s="1"/>
  <c r="F370" i="28"/>
  <c r="G370" i="28" s="1"/>
  <c r="F371" i="28"/>
  <c r="G371" i="28" s="1"/>
  <c r="F372" i="28"/>
  <c r="G372" i="28" s="1"/>
  <c r="F373" i="28"/>
  <c r="F374" i="28"/>
  <c r="F375" i="28"/>
  <c r="F376" i="28"/>
  <c r="F377" i="28"/>
  <c r="F378" i="28"/>
  <c r="F379" i="28"/>
  <c r="F380" i="28"/>
  <c r="G249" i="28"/>
  <c r="G253" i="28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G225" i="12" s="1"/>
  <c r="F226" i="12"/>
  <c r="G226" i="12" s="1"/>
  <c r="F227" i="12"/>
  <c r="G227" i="12" s="1"/>
  <c r="F228" i="12"/>
  <c r="G228" i="12" s="1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G248" i="12" s="1"/>
  <c r="F249" i="12"/>
  <c r="G249" i="12" s="1"/>
  <c r="F250" i="12"/>
  <c r="G250" i="12" s="1"/>
  <c r="F251" i="12"/>
  <c r="G251" i="12" s="1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G272" i="12" s="1"/>
  <c r="F273" i="12"/>
  <c r="F274" i="12"/>
  <c r="G274" i="12" s="1"/>
  <c r="F275" i="12"/>
  <c r="G275" i="12" s="1"/>
  <c r="F276" i="12"/>
  <c r="G276" i="12" s="1"/>
  <c r="F277" i="12"/>
  <c r="G277" i="12" s="1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G296" i="12" s="1"/>
  <c r="F297" i="12"/>
  <c r="F298" i="12"/>
  <c r="G298" i="12" s="1"/>
  <c r="F299" i="12"/>
  <c r="G299" i="12" s="1"/>
  <c r="F300" i="12"/>
  <c r="G300" i="12" s="1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G322" i="12" s="1"/>
  <c r="F323" i="12"/>
  <c r="G323" i="12" s="1"/>
  <c r="F324" i="12"/>
  <c r="G324" i="12" s="1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G345" i="12" s="1"/>
  <c r="F346" i="12"/>
  <c r="G346" i="12" s="1"/>
  <c r="F347" i="12"/>
  <c r="G347" i="12" s="1"/>
  <c r="F348" i="12"/>
  <c r="G348" i="12" s="1"/>
  <c r="F349" i="12"/>
  <c r="F350" i="12"/>
  <c r="G350" i="12" s="1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G370" i="12" s="1"/>
  <c r="F371" i="12"/>
  <c r="G371" i="12" s="1"/>
  <c r="F372" i="12"/>
  <c r="G372" i="12" s="1"/>
  <c r="F373" i="12"/>
  <c r="F374" i="12"/>
  <c r="F375" i="12"/>
  <c r="G375" i="12" s="1"/>
  <c r="F376" i="12"/>
  <c r="F377" i="12"/>
  <c r="F378" i="12"/>
  <c r="F379" i="12"/>
  <c r="F380" i="12"/>
  <c r="G252" i="12"/>
  <c r="G254" i="12"/>
  <c r="G257" i="12"/>
  <c r="G273" i="1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D72" i="24"/>
  <c r="D74" i="24"/>
  <c r="D77" i="24"/>
  <c r="D78" i="24"/>
  <c r="D80" i="24"/>
  <c r="D83" i="24"/>
  <c r="F72" i="24"/>
  <c r="F74" i="24"/>
  <c r="F77" i="24"/>
  <c r="F78" i="24"/>
  <c r="F80" i="24"/>
  <c r="F83" i="24"/>
  <c r="D59" i="24"/>
  <c r="D61" i="24"/>
  <c r="D62" i="24"/>
  <c r="D64" i="24"/>
  <c r="D67" i="24"/>
  <c r="D68" i="24"/>
  <c r="D69" i="24"/>
  <c r="D71" i="24"/>
  <c r="F59" i="24"/>
  <c r="F61" i="24"/>
  <c r="F62" i="24"/>
  <c r="F64" i="24"/>
  <c r="F67" i="24"/>
  <c r="F68" i="24"/>
  <c r="F69" i="24"/>
  <c r="F71" i="24"/>
  <c r="D33" i="24"/>
  <c r="D34" i="24"/>
  <c r="D35" i="24"/>
  <c r="D37" i="24"/>
  <c r="D38" i="24"/>
  <c r="D39" i="24"/>
  <c r="D40" i="24"/>
  <c r="D42" i="24"/>
  <c r="D43" i="24"/>
  <c r="D44" i="24"/>
  <c r="D46" i="24"/>
  <c r="D47" i="24"/>
  <c r="D49" i="24"/>
  <c r="D52" i="24"/>
  <c r="D53" i="24"/>
  <c r="D54" i="24"/>
  <c r="D55" i="24"/>
  <c r="D57" i="24"/>
  <c r="D58" i="24"/>
  <c r="F33" i="24"/>
  <c r="F34" i="24"/>
  <c r="F35" i="24"/>
  <c r="F37" i="24"/>
  <c r="F38" i="24"/>
  <c r="F39" i="24"/>
  <c r="F40" i="24"/>
  <c r="F42" i="24"/>
  <c r="F43" i="24"/>
  <c r="F44" i="24"/>
  <c r="F46" i="24"/>
  <c r="F47" i="24"/>
  <c r="F49" i="24"/>
  <c r="F52" i="24"/>
  <c r="F53" i="24"/>
  <c r="F54" i="24"/>
  <c r="F55" i="24"/>
  <c r="F57" i="24"/>
  <c r="F58" i="24"/>
  <c r="D32" i="24"/>
  <c r="F32" i="24"/>
  <c r="D31" i="24"/>
  <c r="F31" i="24"/>
  <c r="D28" i="24"/>
  <c r="F28" i="24"/>
  <c r="D26" i="24"/>
  <c r="F26" i="24"/>
  <c r="D25" i="24"/>
  <c r="F25" i="24"/>
  <c r="D23" i="24"/>
  <c r="F23" i="24"/>
  <c r="D22" i="24"/>
  <c r="F22" i="24"/>
  <c r="D21" i="24"/>
  <c r="F21" i="24"/>
  <c r="D19" i="24"/>
  <c r="F19" i="24"/>
  <c r="D18" i="24"/>
  <c r="F18" i="24"/>
  <c r="D17" i="24"/>
  <c r="F17" i="24"/>
  <c r="D16" i="24"/>
  <c r="F16" i="24"/>
  <c r="D14" i="24"/>
  <c r="F14" i="24"/>
  <c r="D13" i="24"/>
  <c r="F13" i="24"/>
  <c r="D12" i="24"/>
  <c r="F12" i="24"/>
  <c r="D11" i="24"/>
  <c r="F11" i="24"/>
  <c r="F4" i="24"/>
  <c r="F5" i="24"/>
  <c r="F6" i="24"/>
  <c r="F7" i="24"/>
  <c r="F8" i="24"/>
  <c r="F10" i="24"/>
  <c r="F3" i="24"/>
  <c r="D3" i="24"/>
  <c r="D4" i="24"/>
  <c r="D5" i="24"/>
  <c r="D6" i="24"/>
  <c r="D7" i="24"/>
  <c r="D8" i="24"/>
  <c r="D10" i="24"/>
  <c r="G380" i="2" l="1"/>
  <c r="G374" i="12"/>
  <c r="G231" i="12"/>
  <c r="G230" i="12"/>
  <c r="G253" i="12"/>
  <c r="G349" i="12"/>
  <c r="G354" i="12"/>
  <c r="G326" i="12"/>
  <c r="G302" i="12"/>
  <c r="G229" i="12"/>
  <c r="G301" i="12"/>
  <c r="G325" i="12"/>
  <c r="G373" i="12"/>
  <c r="G250" i="28"/>
  <c r="G331" i="28"/>
  <c r="G361" i="28"/>
  <c r="G274" i="28"/>
  <c r="G318" i="28"/>
  <c r="G355" i="28"/>
  <c r="G366" i="28"/>
  <c r="G320" i="28"/>
  <c r="G319" i="28"/>
  <c r="G224" i="28"/>
  <c r="G322" i="28"/>
  <c r="G286" i="28"/>
  <c r="G223" i="28"/>
  <c r="G251" i="28"/>
  <c r="G357" i="28"/>
  <c r="G230" i="28"/>
  <c r="G364" i="28"/>
  <c r="G338" i="28"/>
  <c r="G288" i="28"/>
  <c r="G337" i="28"/>
  <c r="G229" i="28"/>
  <c r="G228" i="28"/>
  <c r="G227" i="28"/>
  <c r="G342" i="28"/>
  <c r="G316" i="28"/>
  <c r="G291" i="28"/>
  <c r="G307" i="28"/>
  <c r="G267" i="28"/>
  <c r="G314" i="28"/>
  <c r="G290" i="28"/>
  <c r="G356" i="28"/>
  <c r="G334" i="28"/>
  <c r="G248" i="28"/>
  <c r="G243" i="28"/>
  <c r="G335" i="28"/>
  <c r="G263" i="28"/>
  <c r="G313" i="28"/>
  <c r="G293" i="28"/>
  <c r="G268" i="28"/>
  <c r="G213" i="28"/>
  <c r="G312" i="28"/>
  <c r="G373" i="28"/>
  <c r="G325" i="28"/>
  <c r="G317" i="28"/>
  <c r="G315" i="28"/>
  <c r="G336" i="28"/>
  <c r="G264" i="28"/>
  <c r="G310" i="28"/>
  <c r="G339" i="28"/>
  <c r="G362" i="28"/>
  <c r="G266" i="28"/>
  <c r="G289" i="28"/>
  <c r="G262" i="28"/>
  <c r="G352" i="28"/>
  <c r="G328" i="28"/>
  <c r="G306" i="28"/>
  <c r="G303" i="28"/>
  <c r="G305" i="28"/>
  <c r="G304" i="28"/>
  <c r="G280" i="28"/>
  <c r="G256" i="28"/>
  <c r="G215" i="28"/>
  <c r="G239" i="28"/>
  <c r="G257" i="28"/>
  <c r="G354" i="28"/>
  <c r="G353" i="28"/>
  <c r="G214" i="28"/>
  <c r="G292" i="28"/>
  <c r="G265" i="28"/>
  <c r="G311" i="28"/>
  <c r="G287" i="28"/>
  <c r="G358" i="28"/>
  <c r="G329" i="28"/>
  <c r="G245" i="28"/>
  <c r="G340" i="28"/>
  <c r="G255" i="28"/>
  <c r="G261" i="28"/>
  <c r="G351" i="28"/>
  <c r="G359" i="28"/>
  <c r="G258" i="28"/>
  <c r="G217" i="28"/>
  <c r="G259" i="28"/>
  <c r="G295" i="28"/>
  <c r="G247" i="28"/>
  <c r="G270" i="28"/>
  <c r="G221" i="28"/>
  <c r="G220" i="28"/>
  <c r="G219" i="28"/>
  <c r="G218" i="28"/>
  <c r="G332" i="28"/>
  <c r="G330" i="28"/>
  <c r="G234" i="28"/>
  <c r="G377" i="28"/>
  <c r="G281" i="28"/>
  <c r="G233" i="28"/>
  <c r="G376" i="28"/>
  <c r="G232" i="28"/>
  <c r="G294" i="28"/>
  <c r="G269" i="28"/>
  <c r="G309" i="28"/>
  <c r="G283" i="28"/>
  <c r="G282" i="28"/>
  <c r="L33" i="28"/>
  <c r="G327" i="28"/>
  <c r="G279" i="28"/>
  <c r="G374" i="28"/>
  <c r="G326" i="28"/>
  <c r="G278" i="28"/>
  <c r="G308" i="28"/>
  <c r="G378" i="28"/>
  <c r="G231" i="28"/>
  <c r="G375" i="28"/>
  <c r="L32" i="28"/>
  <c r="G238" i="28"/>
  <c r="G333" i="28"/>
  <c r="G260" i="28"/>
  <c r="G240" i="28"/>
  <c r="G285" i="28"/>
  <c r="G236" i="28"/>
  <c r="G237" i="28"/>
  <c r="G284" i="28"/>
  <c r="G235" i="28"/>
  <c r="G222" i="28"/>
  <c r="G244" i="28"/>
  <c r="G242" i="28"/>
  <c r="G241" i="28"/>
  <c r="G216" i="28"/>
  <c r="L34" i="28"/>
  <c r="L31" i="28"/>
  <c r="L35" i="28"/>
  <c r="G379" i="28"/>
  <c r="L36" i="28"/>
  <c r="G226" i="28"/>
  <c r="G246" i="28"/>
  <c r="G341" i="28"/>
  <c r="G360" i="28"/>
  <c r="G380" i="28"/>
  <c r="L37" i="28"/>
  <c r="G343" i="28"/>
  <c r="P104" i="22"/>
  <c r="G82" i="24"/>
  <c r="K11" i="24"/>
  <c r="I11" i="15"/>
  <c r="G321" i="12"/>
  <c r="G278" i="12"/>
  <c r="G232" i="12"/>
  <c r="G297" i="12"/>
  <c r="G360" i="12"/>
  <c r="G224" i="12"/>
  <c r="G222" i="12"/>
  <c r="G218" i="12"/>
  <c r="G335" i="12"/>
  <c r="G213" i="12"/>
  <c r="G236" i="12"/>
  <c r="G268" i="12"/>
  <c r="G304" i="12"/>
  <c r="G343" i="12"/>
  <c r="G358" i="12"/>
  <c r="G380" i="12"/>
  <c r="G320" i="12"/>
  <c r="G344" i="12"/>
  <c r="G216" i="12"/>
  <c r="G258" i="12"/>
  <c r="G316" i="12"/>
  <c r="G309" i="12"/>
  <c r="G261" i="12"/>
  <c r="G308" i="12"/>
  <c r="G334" i="12"/>
  <c r="G356" i="12"/>
  <c r="G223" i="12"/>
  <c r="G269" i="12"/>
  <c r="G332" i="12"/>
  <c r="G306" i="12"/>
  <c r="G317" i="12"/>
  <c r="G220" i="12"/>
  <c r="G263" i="12"/>
  <c r="G262" i="12"/>
  <c r="G246" i="12"/>
  <c r="G287" i="12"/>
  <c r="G311" i="12"/>
  <c r="G286" i="12"/>
  <c r="G314" i="12"/>
  <c r="G355" i="12"/>
  <c r="G221" i="12"/>
  <c r="G219" i="12"/>
  <c r="G361" i="12"/>
  <c r="G312" i="12"/>
  <c r="G365" i="12"/>
  <c r="G336" i="12"/>
  <c r="G341" i="12"/>
  <c r="G247" i="12"/>
  <c r="G342" i="12"/>
  <c r="G279" i="12"/>
  <c r="G329" i="12"/>
  <c r="G353" i="12"/>
  <c r="G352" i="12"/>
  <c r="G340" i="12"/>
  <c r="G305" i="12"/>
  <c r="G303" i="12"/>
  <c r="G359" i="12"/>
  <c r="G319" i="12"/>
  <c r="G318" i="12"/>
  <c r="G338" i="12"/>
  <c r="G215" i="12"/>
  <c r="G357" i="12"/>
  <c r="G214" i="12"/>
  <c r="G265" i="12"/>
  <c r="G264" i="12"/>
  <c r="G237" i="12"/>
  <c r="G284" i="12"/>
  <c r="G260" i="12"/>
  <c r="G330" i="12"/>
  <c r="G351" i="12"/>
  <c r="G327" i="12"/>
  <c r="G255" i="12"/>
  <c r="G266" i="12"/>
  <c r="G259" i="12"/>
  <c r="G331" i="12"/>
  <c r="G328" i="12"/>
  <c r="G256" i="12"/>
  <c r="G267" i="12"/>
  <c r="G333" i="12"/>
  <c r="G217" i="12"/>
  <c r="G239" i="12"/>
  <c r="G235" i="12"/>
  <c r="G378" i="12"/>
  <c r="G282" i="12"/>
  <c r="G234" i="12"/>
  <c r="G377" i="12"/>
  <c r="G281" i="12"/>
  <c r="G233" i="12"/>
  <c r="G270" i="12"/>
  <c r="G243" i="12"/>
  <c r="G313" i="12"/>
  <c r="G288" i="12"/>
  <c r="G271" i="12"/>
  <c r="G245" i="12"/>
  <c r="G292" i="12"/>
  <c r="G315" i="12"/>
  <c r="G289" i="12"/>
  <c r="G240" i="12"/>
  <c r="G307" i="12"/>
  <c r="G376" i="12"/>
  <c r="G285" i="12"/>
  <c r="G294" i="12"/>
  <c r="G337" i="12"/>
  <c r="G291" i="12"/>
  <c r="G310" i="12"/>
  <c r="G379" i="12"/>
  <c r="G280" i="12"/>
  <c r="G244" i="12"/>
  <c r="G242" i="12"/>
  <c r="G238" i="12"/>
  <c r="G283" i="12"/>
  <c r="G295" i="12"/>
  <c r="G293" i="12"/>
  <c r="G241" i="12"/>
  <c r="G367" i="12"/>
  <c r="G339" i="12"/>
  <c r="G290" i="12"/>
  <c r="G363" i="12"/>
  <c r="G364" i="12"/>
  <c r="G366" i="12"/>
  <c r="G362" i="12"/>
  <c r="G369" i="12"/>
  <c r="G368" i="12"/>
  <c r="G378" i="2"/>
  <c r="L35" i="2"/>
  <c r="L37" i="2"/>
  <c r="I112" i="26"/>
  <c r="I89" i="26"/>
  <c r="I128" i="26"/>
  <c r="I127" i="26"/>
  <c r="I126" i="26"/>
  <c r="I123" i="26"/>
  <c r="I122" i="26"/>
  <c r="I125" i="26"/>
  <c r="I121" i="26"/>
  <c r="I118" i="26"/>
  <c r="I119" i="26"/>
  <c r="I116" i="26"/>
  <c r="I113" i="26"/>
  <c r="I109" i="26"/>
  <c r="I111" i="26"/>
  <c r="I108" i="26"/>
  <c r="I106" i="26"/>
  <c r="I103" i="26"/>
  <c r="I102" i="26"/>
  <c r="I100" i="26"/>
  <c r="I97" i="26"/>
  <c r="I93" i="26"/>
  <c r="I92" i="26"/>
  <c r="I91" i="26"/>
  <c r="I88" i="26"/>
  <c r="I86" i="26"/>
  <c r="I83" i="26"/>
  <c r="I82" i="26"/>
  <c r="I80" i="26"/>
  <c r="I77" i="26"/>
  <c r="I73" i="26"/>
  <c r="I72" i="26"/>
  <c r="I70" i="26"/>
  <c r="I67" i="26"/>
  <c r="I63" i="26"/>
  <c r="I58" i="26"/>
  <c r="I57" i="26"/>
  <c r="I56" i="26"/>
  <c r="I54" i="26"/>
  <c r="I53" i="26"/>
  <c r="I51" i="26"/>
  <c r="I48" i="26"/>
  <c r="I47" i="26"/>
  <c r="I45" i="26"/>
  <c r="I42" i="26"/>
  <c r="I38" i="26"/>
  <c r="I37" i="26"/>
  <c r="I35" i="26"/>
  <c r="I32" i="26"/>
  <c r="I28" i="26"/>
  <c r="I23" i="26"/>
  <c r="I22" i="26"/>
  <c r="I20" i="26"/>
  <c r="I17" i="26"/>
  <c r="I8" i="26"/>
  <c r="I13" i="26"/>
  <c r="G84" i="24"/>
  <c r="G86" i="24"/>
  <c r="G81" i="24"/>
  <c r="G56" i="24"/>
  <c r="G66" i="24"/>
  <c r="G76" i="24"/>
  <c r="G51" i="24"/>
  <c r="G65" i="24"/>
  <c r="G75" i="24"/>
  <c r="G63" i="24"/>
  <c r="G73" i="24"/>
  <c r="G60" i="24"/>
  <c r="G70" i="24"/>
  <c r="G79" i="24"/>
  <c r="G20" i="24"/>
  <c r="G30" i="24"/>
  <c r="G50" i="24"/>
  <c r="G24" i="24"/>
  <c r="G36" i="24"/>
  <c r="G15" i="24"/>
  <c r="G29" i="24"/>
  <c r="G45" i="24"/>
  <c r="G9" i="24"/>
  <c r="G27" i="24"/>
  <c r="G41" i="24"/>
  <c r="G48" i="24"/>
  <c r="E17" i="15"/>
  <c r="E23" i="15"/>
  <c r="E10" i="15"/>
  <c r="L10" i="2"/>
  <c r="L32" i="2"/>
  <c r="L28" i="2"/>
  <c r="L23" i="2"/>
  <c r="L17" i="2"/>
  <c r="G377" i="2"/>
  <c r="G379" i="2"/>
  <c r="G376" i="2"/>
  <c r="G375" i="2"/>
  <c r="G360" i="2"/>
  <c r="G362" i="2"/>
  <c r="G361" i="2"/>
  <c r="G363" i="2"/>
  <c r="G364" i="2"/>
  <c r="G365" i="2"/>
  <c r="G328" i="2"/>
  <c r="G326" i="2"/>
  <c r="G327" i="2"/>
  <c r="G331" i="2"/>
  <c r="G329" i="2"/>
  <c r="G330" i="2"/>
  <c r="G332" i="2"/>
  <c r="G333" i="2"/>
  <c r="G334" i="2"/>
  <c r="G335" i="2"/>
  <c r="G269" i="2"/>
  <c r="G263" i="2"/>
  <c r="G261" i="2"/>
  <c r="G262" i="2"/>
  <c r="G264" i="2"/>
  <c r="G267" i="2"/>
  <c r="G265" i="2"/>
  <c r="G266" i="2"/>
  <c r="G268" i="2"/>
  <c r="G270" i="2"/>
  <c r="G273" i="2"/>
  <c r="G271" i="2"/>
  <c r="G272" i="2"/>
  <c r="G274" i="2"/>
  <c r="G373" i="2"/>
  <c r="G275" i="2"/>
  <c r="G374" i="2"/>
  <c r="G370" i="2"/>
  <c r="G371" i="2"/>
  <c r="G368" i="2"/>
  <c r="G367" i="2"/>
  <c r="G358" i="2"/>
  <c r="G359" i="2"/>
  <c r="G353" i="2"/>
  <c r="G356" i="2"/>
  <c r="G340" i="2"/>
  <c r="G350" i="2"/>
  <c r="G352" i="2"/>
  <c r="G346" i="2"/>
  <c r="G347" i="2"/>
  <c r="G344" i="2"/>
  <c r="G341" i="2"/>
  <c r="G338" i="2"/>
  <c r="G324" i="2"/>
  <c r="G325" i="2"/>
  <c r="G322" i="2"/>
  <c r="G319" i="2"/>
  <c r="G312" i="2"/>
  <c r="G315" i="2"/>
  <c r="G314" i="2"/>
  <c r="G302" i="2"/>
  <c r="G305" i="2"/>
  <c r="G309" i="2"/>
  <c r="G304" i="2"/>
  <c r="G299" i="2"/>
  <c r="G294" i="2"/>
  <c r="G295" i="2"/>
  <c r="G282" i="2"/>
  <c r="G285" i="2"/>
  <c r="G292" i="2"/>
  <c r="G289" i="2"/>
  <c r="G284" i="2"/>
  <c r="G244" i="2"/>
  <c r="G250" i="2"/>
  <c r="G257" i="2"/>
  <c r="G260" i="2"/>
  <c r="G279" i="2"/>
  <c r="G259" i="2"/>
  <c r="G245" i="2"/>
  <c r="G254" i="2"/>
  <c r="G242" i="2"/>
  <c r="G235" i="2"/>
  <c r="G239" i="2"/>
  <c r="G209" i="2"/>
  <c r="G214" i="2"/>
  <c r="G220" i="2"/>
  <c r="G227" i="2"/>
  <c r="G215" i="2"/>
  <c r="G224" i="2"/>
  <c r="G229" i="2"/>
  <c r="G230" i="2"/>
  <c r="G212" i="2"/>
  <c r="G199" i="2"/>
  <c r="G205" i="2"/>
  <c r="G200" i="2"/>
  <c r="G197" i="2"/>
  <c r="G194" i="2"/>
  <c r="G190" i="2"/>
  <c r="G151" i="2"/>
  <c r="G179" i="2"/>
  <c r="G184" i="2"/>
  <c r="G185" i="2"/>
  <c r="G182" i="2"/>
  <c r="G152" i="2"/>
  <c r="G175" i="2"/>
  <c r="G155" i="2"/>
  <c r="G153" i="2"/>
  <c r="G154" i="2"/>
  <c r="G158" i="2"/>
  <c r="G156" i="2"/>
  <c r="G159" i="2"/>
  <c r="G157" i="2"/>
  <c r="G160" i="2"/>
  <c r="G161" i="2"/>
  <c r="G164" i="2"/>
  <c r="G162" i="2"/>
  <c r="G163" i="2"/>
  <c r="G165" i="2"/>
  <c r="G166" i="2"/>
  <c r="G167" i="2"/>
  <c r="G168" i="2"/>
  <c r="G170" i="2"/>
  <c r="G169" i="2"/>
  <c r="G143" i="2"/>
  <c r="G148" i="2"/>
  <c r="G150" i="2"/>
  <c r="G149" i="2"/>
  <c r="G146" i="2"/>
  <c r="G139" i="2"/>
  <c r="G134" i="2"/>
  <c r="G122" i="2"/>
  <c r="G127" i="2"/>
  <c r="G128" i="2"/>
  <c r="G125" i="2"/>
  <c r="G113" i="2"/>
  <c r="G118" i="2"/>
  <c r="G106" i="2"/>
  <c r="G107" i="2"/>
  <c r="G104" i="2"/>
  <c r="G101" i="2"/>
  <c r="G97" i="2"/>
  <c r="G86" i="2"/>
  <c r="G92" i="2"/>
  <c r="G71" i="2"/>
  <c r="G85" i="2"/>
  <c r="G65" i="2"/>
  <c r="G76" i="2"/>
  <c r="G83" i="2"/>
  <c r="G80" i="2"/>
  <c r="G50" i="2"/>
  <c r="G44" i="2"/>
  <c r="G62" i="2"/>
  <c r="G41" i="2"/>
  <c r="G64" i="2"/>
  <c r="G59" i="2"/>
  <c r="G55" i="2"/>
  <c r="G43" i="2"/>
  <c r="G23" i="2"/>
  <c r="G34" i="2"/>
  <c r="G38" i="2"/>
  <c r="G17" i="2"/>
  <c r="G22" i="2"/>
  <c r="G29" i="2"/>
  <c r="G20" i="2"/>
  <c r="G13" i="2"/>
  <c r="G8" i="2"/>
  <c r="P72" i="22"/>
  <c r="O94" i="21"/>
  <c r="P93" i="22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40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124" i="26"/>
  <c r="I120" i="26"/>
  <c r="I117" i="26"/>
  <c r="I115" i="26"/>
  <c r="I114" i="26"/>
  <c r="I110" i="26"/>
  <c r="I107" i="26"/>
  <c r="I105" i="26"/>
  <c r="I104" i="26"/>
  <c r="I101" i="26"/>
  <c r="I96" i="26"/>
  <c r="I99" i="26"/>
  <c r="I98" i="26"/>
  <c r="I95" i="26"/>
  <c r="I90" i="26"/>
  <c r="I94" i="26"/>
  <c r="I87" i="26"/>
  <c r="I85" i="26"/>
  <c r="I84" i="26"/>
  <c r="I81" i="26"/>
  <c r="I79" i="26"/>
  <c r="I78" i="26"/>
  <c r="I76" i="26"/>
  <c r="I75" i="26"/>
  <c r="I74" i="26"/>
  <c r="I68" i="26"/>
  <c r="I71" i="26"/>
  <c r="I69" i="26"/>
  <c r="I66" i="26"/>
  <c r="I65" i="26"/>
  <c r="I64" i="26"/>
  <c r="I62" i="26"/>
  <c r="I61" i="26"/>
  <c r="I60" i="26"/>
  <c r="I59" i="26"/>
  <c r="I55" i="26"/>
  <c r="I52" i="26"/>
  <c r="I50" i="26"/>
  <c r="I44" i="26"/>
  <c r="I49" i="26"/>
  <c r="I46" i="26"/>
  <c r="I43" i="26"/>
  <c r="I41" i="26"/>
  <c r="I40" i="26"/>
  <c r="I39" i="26"/>
  <c r="I36" i="26"/>
  <c r="I33" i="26"/>
  <c r="I29" i="26"/>
  <c r="I34" i="26"/>
  <c r="I31" i="26"/>
  <c r="I30" i="26"/>
  <c r="I27" i="26"/>
  <c r="I26" i="26"/>
  <c r="I25" i="26"/>
  <c r="I24" i="26"/>
  <c r="I21" i="26"/>
  <c r="I19" i="26"/>
  <c r="I18" i="26"/>
  <c r="I16" i="26"/>
  <c r="I15" i="26"/>
  <c r="I14" i="26"/>
  <c r="I12" i="26"/>
  <c r="I11" i="26"/>
  <c r="I10" i="26"/>
  <c r="I9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55" i="24"/>
  <c r="G43" i="24"/>
  <c r="G33" i="24"/>
  <c r="G80" i="24"/>
  <c r="G77" i="24"/>
  <c r="G72" i="24"/>
  <c r="G78" i="24"/>
  <c r="G74" i="24"/>
  <c r="G83" i="24"/>
  <c r="G38" i="24"/>
  <c r="G54" i="24"/>
  <c r="G68" i="24"/>
  <c r="G47" i="24"/>
  <c r="G37" i="24"/>
  <c r="G69" i="24"/>
  <c r="G67" i="24"/>
  <c r="G39" i="24"/>
  <c r="G64" i="24"/>
  <c r="G62" i="24"/>
  <c r="G61" i="24"/>
  <c r="G59" i="24"/>
  <c r="G71" i="24"/>
  <c r="G53" i="24"/>
  <c r="G46" i="24"/>
  <c r="G35" i="24"/>
  <c r="G52" i="24"/>
  <c r="G34" i="24"/>
  <c r="G58" i="24"/>
  <c r="G57" i="24"/>
  <c r="G49" i="24"/>
  <c r="G44" i="24"/>
  <c r="G42" i="24"/>
  <c r="G32" i="24"/>
  <c r="G31" i="24"/>
  <c r="G28" i="24"/>
  <c r="G26" i="24"/>
  <c r="G25" i="24"/>
  <c r="G23" i="24"/>
  <c r="G22" i="24"/>
  <c r="G21" i="24"/>
  <c r="G19" i="24"/>
  <c r="G18" i="24"/>
  <c r="G17" i="24"/>
  <c r="G16" i="24"/>
  <c r="G14" i="24"/>
  <c r="G13" i="24"/>
  <c r="G12" i="24"/>
  <c r="G11" i="24"/>
  <c r="G10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1" i="15"/>
  <c r="D12" i="15"/>
  <c r="D13" i="15"/>
  <c r="D14" i="15"/>
  <c r="D15" i="15"/>
  <c r="D16" i="15"/>
  <c r="D18" i="15"/>
  <c r="D19" i="15"/>
  <c r="D20" i="15"/>
  <c r="D21" i="15"/>
  <c r="D22" i="15"/>
  <c r="D24" i="15"/>
  <c r="D25" i="15"/>
  <c r="D26" i="15"/>
  <c r="D27" i="15"/>
  <c r="D29" i="15"/>
  <c r="D30" i="15"/>
  <c r="D31" i="15"/>
  <c r="D33" i="15"/>
  <c r="D34" i="15"/>
  <c r="D36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K31" i="28" l="1"/>
  <c r="M31" i="28" s="1"/>
  <c r="K35" i="28"/>
  <c r="M35" i="28" s="1"/>
  <c r="K33" i="28"/>
  <c r="M33" i="28" s="1"/>
  <c r="K32" i="28"/>
  <c r="M32" i="28" s="1"/>
  <c r="K37" i="28"/>
  <c r="M37" i="28" s="1"/>
  <c r="K34" i="28"/>
  <c r="M34" i="28" s="1"/>
  <c r="K36" i="28"/>
  <c r="M36" i="28" s="1"/>
  <c r="L11" i="26"/>
  <c r="N11" i="26" s="1"/>
  <c r="L35" i="12"/>
  <c r="L32" i="12"/>
  <c r="L31" i="12"/>
  <c r="L33" i="12"/>
  <c r="C15" i="20"/>
  <c r="L37" i="12"/>
  <c r="L34" i="12"/>
  <c r="L36" i="12"/>
  <c r="H11" i="15"/>
  <c r="J11" i="15" s="1"/>
  <c r="J11" i="24"/>
  <c r="L11" i="24" s="1"/>
  <c r="K37" i="2"/>
  <c r="M37" i="2" s="1"/>
  <c r="K35" i="2"/>
  <c r="M35" i="2" s="1"/>
  <c r="K32" i="2"/>
  <c r="M32" i="2" s="1"/>
  <c r="K28" i="2"/>
  <c r="M28" i="2" s="1"/>
  <c r="K23" i="2"/>
  <c r="M23" i="2" s="1"/>
  <c r="K17" i="2"/>
  <c r="M17" i="2" s="1"/>
  <c r="K10" i="2"/>
  <c r="M10" i="2" s="1"/>
  <c r="O26" i="18"/>
  <c r="N18" i="21"/>
  <c r="O52" i="21"/>
  <c r="O4" i="16"/>
  <c r="O39" i="16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6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31" i="15"/>
  <c r="E34" i="15"/>
  <c r="E33" i="15"/>
  <c r="E29" i="15"/>
  <c r="E30" i="15"/>
  <c r="E13" i="15"/>
  <c r="E18" i="15"/>
  <c r="E22" i="15"/>
  <c r="E27" i="15"/>
  <c r="E7" i="15"/>
  <c r="E16" i="15"/>
  <c r="E21" i="15"/>
  <c r="E26" i="15"/>
  <c r="E8" i="15"/>
  <c r="E6" i="15"/>
  <c r="E11" i="15"/>
  <c r="E15" i="15"/>
  <c r="E20" i="15"/>
  <c r="E25" i="15"/>
  <c r="E4" i="15"/>
  <c r="E5" i="15"/>
  <c r="E14" i="15"/>
  <c r="E19" i="15"/>
  <c r="E24" i="15"/>
  <c r="E12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369" i="2"/>
  <c r="G354" i="2"/>
  <c r="G345" i="2"/>
  <c r="G337" i="2"/>
  <c r="G320" i="2"/>
  <c r="G313" i="2"/>
  <c r="G307" i="2"/>
  <c r="G300" i="2"/>
  <c r="G293" i="2"/>
  <c r="G287" i="2"/>
  <c r="G258" i="2"/>
  <c r="G252" i="2"/>
  <c r="G247" i="2"/>
  <c r="G240" i="2"/>
  <c r="G234" i="2"/>
  <c r="G228" i="2"/>
  <c r="G222" i="2"/>
  <c r="G217" i="2"/>
  <c r="G210" i="2"/>
  <c r="G204" i="2"/>
  <c r="G198" i="2"/>
  <c r="G192" i="2"/>
  <c r="G187" i="2"/>
  <c r="G180" i="2"/>
  <c r="G174" i="2"/>
  <c r="G147" i="2"/>
  <c r="G141" i="2"/>
  <c r="G136" i="2"/>
  <c r="G131" i="2"/>
  <c r="G124" i="2"/>
  <c r="G119" i="2"/>
  <c r="G114" i="2"/>
  <c r="G109" i="2"/>
  <c r="G102" i="2"/>
  <c r="G96" i="2"/>
  <c r="G91" i="2"/>
  <c r="G87" i="2"/>
  <c r="G79" i="2"/>
  <c r="G74" i="2"/>
  <c r="G69" i="2"/>
  <c r="G63" i="2"/>
  <c r="G57" i="2"/>
  <c r="G52" i="2"/>
  <c r="G47" i="2"/>
  <c r="G40" i="2"/>
  <c r="G35" i="2"/>
  <c r="G30" i="2"/>
  <c r="G25" i="2"/>
  <c r="G18" i="2"/>
  <c r="G12" i="2"/>
  <c r="G7" i="2"/>
  <c r="G3" i="2"/>
  <c r="G280" i="2"/>
  <c r="G366" i="2"/>
  <c r="G343" i="2"/>
  <c r="G318" i="2"/>
  <c r="G306" i="2"/>
  <c r="G291" i="2"/>
  <c r="G286" i="2"/>
  <c r="G278" i="2"/>
  <c r="G256" i="2"/>
  <c r="G251" i="2"/>
  <c r="G246" i="2"/>
  <c r="G238" i="2"/>
  <c r="G233" i="2"/>
  <c r="G226" i="2"/>
  <c r="G221" i="2"/>
  <c r="G216" i="2"/>
  <c r="G208" i="2"/>
  <c r="G203" i="2"/>
  <c r="G196" i="2"/>
  <c r="G191" i="2"/>
  <c r="G186" i="2"/>
  <c r="G178" i="2"/>
  <c r="G173" i="2"/>
  <c r="G145" i="2"/>
  <c r="G140" i="2"/>
  <c r="G135" i="2"/>
  <c r="G130" i="2"/>
  <c r="G123" i="2"/>
  <c r="G117" i="2"/>
  <c r="G112" i="2"/>
  <c r="G108" i="2"/>
  <c r="G100" i="2"/>
  <c r="G95" i="2"/>
  <c r="G90" i="2"/>
  <c r="G84" i="2"/>
  <c r="G78" i="2"/>
  <c r="G73" i="2"/>
  <c r="G68" i="2"/>
  <c r="G61" i="2"/>
  <c r="G56" i="2"/>
  <c r="G51" i="2"/>
  <c r="G46" i="2"/>
  <c r="G39" i="2"/>
  <c r="G33" i="2"/>
  <c r="G28" i="2"/>
  <c r="G24" i="2"/>
  <c r="G16" i="2"/>
  <c r="G11" i="2"/>
  <c r="G6" i="2"/>
  <c r="G351" i="2"/>
  <c r="G336" i="2"/>
  <c r="G311" i="2"/>
  <c r="G298" i="2"/>
  <c r="G357" i="2"/>
  <c r="G342" i="2"/>
  <c r="G317" i="2"/>
  <c r="G303" i="2"/>
  <c r="G283" i="2"/>
  <c r="G255" i="2"/>
  <c r="G349" i="2"/>
  <c r="G323" i="2"/>
  <c r="G310" i="2"/>
  <c r="G297" i="2"/>
  <c r="G290" i="2"/>
  <c r="G277" i="2"/>
  <c r="G249" i="2"/>
  <c r="G243" i="2"/>
  <c r="G237" i="2"/>
  <c r="G232" i="2"/>
  <c r="G225" i="2"/>
  <c r="G219" i="2"/>
  <c r="G213" i="2"/>
  <c r="G207" i="2"/>
  <c r="G202" i="2"/>
  <c r="G195" i="2"/>
  <c r="G189" i="2"/>
  <c r="G183" i="2"/>
  <c r="G177" i="2"/>
  <c r="G172" i="2"/>
  <c r="G144" i="2"/>
  <c r="G138" i="2"/>
  <c r="G133" i="2"/>
  <c r="G129" i="2"/>
  <c r="G121" i="2"/>
  <c r="G116" i="2"/>
  <c r="G111" i="2"/>
  <c r="G105" i="2"/>
  <c r="G99" i="2"/>
  <c r="G94" i="2"/>
  <c r="G89" i="2"/>
  <c r="G82" i="2"/>
  <c r="G77" i="2"/>
  <c r="G72" i="2"/>
  <c r="G67" i="2"/>
  <c r="G60" i="2"/>
  <c r="G54" i="2"/>
  <c r="G49" i="2"/>
  <c r="G45" i="2"/>
  <c r="G37" i="2"/>
  <c r="G32" i="2"/>
  <c r="G27" i="2"/>
  <c r="G21" i="2"/>
  <c r="G15" i="2"/>
  <c r="G10" i="2"/>
  <c r="G5" i="2"/>
  <c r="G355" i="2"/>
  <c r="G339" i="2"/>
  <c r="G316" i="2"/>
  <c r="G301" i="2"/>
  <c r="G288" i="2"/>
  <c r="G276" i="2"/>
  <c r="G248" i="2"/>
  <c r="G236" i="2"/>
  <c r="G223" i="2"/>
  <c r="G211" i="2"/>
  <c r="G201" i="2"/>
  <c r="G188" i="2"/>
  <c r="G176" i="2"/>
  <c r="G142" i="2"/>
  <c r="G132" i="2"/>
  <c r="G115" i="2"/>
  <c r="G103" i="2"/>
  <c r="G93" i="2"/>
  <c r="G81" i="2"/>
  <c r="G70" i="2"/>
  <c r="G58" i="2"/>
  <c r="G48" i="2"/>
  <c r="G36" i="2"/>
  <c r="G26" i="2"/>
  <c r="G14" i="2"/>
  <c r="G4" i="2"/>
  <c r="G372" i="2"/>
  <c r="G348" i="2"/>
  <c r="G321" i="2"/>
  <c r="G308" i="2"/>
  <c r="G281" i="2"/>
  <c r="G253" i="2"/>
  <c r="G241" i="2"/>
  <c r="G231" i="2"/>
  <c r="G218" i="2"/>
  <c r="G206" i="2"/>
  <c r="G193" i="2"/>
  <c r="G181" i="2"/>
  <c r="G171" i="2"/>
  <c r="G137" i="2"/>
  <c r="G126" i="2"/>
  <c r="G120" i="2"/>
  <c r="G110" i="2"/>
  <c r="G98" i="2"/>
  <c r="G88" i="2"/>
  <c r="G75" i="2"/>
  <c r="G66" i="2"/>
  <c r="G53" i="2"/>
  <c r="G42" i="2"/>
  <c r="G31" i="2"/>
  <c r="G19" i="2"/>
  <c r="G9" i="2"/>
  <c r="L20" i="2"/>
  <c r="G296" i="2"/>
  <c r="L15" i="2"/>
  <c r="L11" i="2"/>
  <c r="L6" i="2"/>
  <c r="L22" i="2"/>
  <c r="L18" i="2"/>
  <c r="L13" i="2"/>
  <c r="L30" i="2"/>
  <c r="L21" i="2"/>
  <c r="L16" i="2"/>
  <c r="L12" i="2"/>
  <c r="L7" i="2"/>
  <c r="L36" i="2"/>
  <c r="L27" i="2"/>
  <c r="L29" i="2"/>
  <c r="L24" i="2"/>
  <c r="L19" i="2"/>
  <c r="L14" i="2"/>
  <c r="L8" i="2"/>
  <c r="L4" i="2"/>
  <c r="L26" i="2"/>
  <c r="L25" i="2"/>
  <c r="L9" i="2"/>
  <c r="L5" i="2"/>
  <c r="L3" i="2"/>
  <c r="L31" i="2"/>
  <c r="L34" i="2"/>
  <c r="L33" i="2"/>
  <c r="K32" i="12" l="1"/>
  <c r="M32" i="12" s="1"/>
  <c r="K34" i="12"/>
  <c r="M34" i="12" s="1"/>
  <c r="K31" i="12"/>
  <c r="M31" i="12" s="1"/>
  <c r="K37" i="12"/>
  <c r="M37" i="12" s="1"/>
  <c r="K33" i="12"/>
  <c r="M33" i="12" s="1"/>
  <c r="K35" i="12"/>
  <c r="M35" i="12" s="1"/>
  <c r="K36" i="12"/>
  <c r="M36" i="12" s="1"/>
  <c r="E20" i="22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4" i="2"/>
  <c r="M14" i="2" s="1"/>
  <c r="K29" i="2"/>
  <c r="M29" i="2" s="1"/>
  <c r="K34" i="2"/>
  <c r="M34" i="2" s="1"/>
  <c r="K8" i="2"/>
  <c r="M8" i="2" s="1"/>
  <c r="K30" i="2"/>
  <c r="M30" i="2" s="1"/>
  <c r="K9" i="2"/>
  <c r="M9" i="2" s="1"/>
  <c r="K25" i="2"/>
  <c r="M25" i="2" s="1"/>
  <c r="K16" i="2"/>
  <c r="M16" i="2" s="1"/>
  <c r="K33" i="2"/>
  <c r="M33" i="2" s="1"/>
  <c r="K21" i="2"/>
  <c r="M21" i="2" s="1"/>
  <c r="K3" i="2"/>
  <c r="M3" i="2" s="1"/>
  <c r="K36" i="2"/>
  <c r="M36" i="2" s="1"/>
  <c r="K7" i="2"/>
  <c r="M7" i="2" s="1"/>
  <c r="K19" i="2"/>
  <c r="M19" i="2" s="1"/>
  <c r="K27" i="2"/>
  <c r="M27" i="2" s="1"/>
  <c r="K24" i="2"/>
  <c r="M24" i="2" s="1"/>
  <c r="K5" i="2"/>
  <c r="M5" i="2" s="1"/>
  <c r="K26" i="2"/>
  <c r="M26" i="2" s="1"/>
  <c r="K4" i="2"/>
  <c r="M4" i="2" s="1"/>
  <c r="K12" i="2"/>
  <c r="M12" i="2" s="1"/>
  <c r="K6" i="2"/>
  <c r="M6" i="2" s="1"/>
  <c r="K11" i="2"/>
  <c r="M11" i="2" s="1"/>
  <c r="K31" i="2"/>
  <c r="M31" i="2" s="1"/>
  <c r="K13" i="2"/>
  <c r="M13" i="2" s="1"/>
  <c r="K22" i="2"/>
  <c r="M22" i="2" s="1"/>
  <c r="K20" i="2"/>
  <c r="M20" i="2" s="1"/>
  <c r="K15" i="2"/>
  <c r="M15" i="2" s="1"/>
  <c r="K18" i="2"/>
  <c r="M18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<sst xmlns="http://schemas.openxmlformats.org/spreadsheetml/2006/main" count="28329" uniqueCount="1662">
  <si>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</si>
  <si>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</si>
  <si>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</si>
  <si>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</si>
  <si>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</si>
  <si>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</si>
  <si>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</si>
  <si>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</si>
  <si>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</si>
  <si>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</si>
  <si>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</si>
  <si>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</si>
  <si>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</si>
  <si>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</si>
  <si>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</si>
  <si>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</si>
  <si>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</si>
  <si>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</si>
  <si>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</si>
  <si>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</si>
  <si>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</si>
  <si>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</si>
  <si>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</si>
  <si>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</si>
  <si>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</si>
  <si>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</si>
  <si>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</si>
  <si>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</si>
  <si>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</si>
  <si>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</si>
  <si>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</si>
  <si>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</si>
  <si>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</si>
  <si>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</si>
  <si>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</si>
  <si>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</si>
  <si>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</si>
  <si>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</si>
  <si>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</si>
  <si>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</si>
  <si>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</si>
  <si>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</si>
  <si>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</si>
  <si>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</si>
  <si>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</si>
  <si>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</si>
  <si>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</si>
  <si>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</si>
  <si>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</si>
  <si>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</si>
  <si>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</si>
  <si>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</si>
  <si>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</si>
  <si>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</si>
  <si>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</si>
  <si>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</si>
  <si>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</si>
  <si>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</si>
  <si>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</si>
  <si>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</si>
  <si>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</si>
  <si>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</si>
  <si>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</si>
  <si>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</si>
  <si>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</si>
  <si>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</si>
  <si>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</si>
  <si>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</si>
  <si>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</si>
  <si>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</si>
  <si>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</si>
  <si>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</si>
  <si>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</si>
  <si>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</si>
  <si>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</si>
  <si>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</si>
  <si>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</si>
  <si>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</si>
  <si>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</si>
  <si>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</si>
  <si>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</si>
  <si>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</si>
  <si>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</si>
  <si>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</si>
  <si>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</si>
  <si>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</si>
  <si>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</si>
  <si>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</si>
  <si>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</si>
  <si>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</si>
  <si>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</si>
  <si>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</si>
  <si>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</si>
  <si>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</si>
  <si>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</si>
  <si>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</si>
  <si>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</si>
  <si>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</si>
  <si>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</si>
  <si>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</si>
  <si>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</si>
  <si>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</si>
  <si>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</si>
  <si>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</si>
  <si>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</si>
  <si>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</si>
  <si>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</si>
  <si>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</si>
  <si>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</si>
  <si>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</si>
  <si>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</si>
  <si>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</si>
  <si>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</si>
  <si>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</si>
  <si>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</si>
  <si>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</si>
  <si>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</si>
  <si>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</si>
  <si>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</si>
  <si>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</si>
  <si>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</si>
  <si>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</si>
  <si>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</si>
  <si>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</si>
  <si>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</si>
  <si>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</si>
  <si>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</si>
  <si>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</si>
  <si>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</si>
  <si>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</si>
  <si>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</si>
  <si>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</si>
  <si>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</si>
  <si>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</si>
  <si>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</si>
  <si>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</si>
  <si>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</si>
  <si>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</si>
  <si>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</si>
  <si>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</si>
  <si>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</si>
  <si>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</si>
  <si>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</si>
  <si>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</si>
  <si>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</si>
  <si>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</si>
  <si>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</si>
  <si>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</si>
  <si>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</si>
  <si>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</si>
  <si>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</si>
  <si>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</si>
  <si>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</si>
  <si>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</si>
  <si>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</si>
  <si>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</si>
  <si>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</si>
  <si>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</si>
  <si>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</si>
  <si>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</si>
  <si>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</si>
  <si>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</si>
  <si>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</si>
  <si>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</si>
  <si>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</si>
  <si>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</si>
  <si>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</si>
  <si>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</si>
  <si>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</si>
  <si>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</si>
  <si>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</si>
  <si>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</si>
  <si>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</si>
  <si>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</si>
  <si>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</si>
  <si>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</si>
  <si>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</si>
  <si>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</si>
  <si>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</si>
  <si>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</si>
  <si>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</si>
  <si>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</si>
  <si>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</si>
  <si>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</si>
  <si>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</si>
  <si>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</si>
  <si>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</si>
  <si>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</si>
  <si>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</si>
  <si>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</si>
  <si>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</si>
  <si>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</si>
  <si>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</si>
  <si>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</si>
  <si>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</si>
  <si>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</si>
  <si>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</si>
  <si>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</si>
  <si>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</si>
  <si>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</si>
  <si>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</si>
  <si>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</si>
  <si>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</si>
  <si>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</si>
  <si>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</si>
  <si>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</si>
  <si>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</si>
  <si>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</si>
  <si>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</si>
  <si>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</si>
  <si>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</si>
  <si>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</si>
  <si>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</si>
  <si>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</si>
  <si>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</si>
  <si>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</si>
  <si>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</si>
  <si>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</si>
  <si>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</si>
  <si>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</si>
  <si>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</si>
  <si>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</si>
  <si>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</si>
  <si>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</si>
  <si>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</si>
  <si>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</si>
  <si>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</si>
  <si>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navarch</t>
  </si>
  <si>
    <t>11-duelist</t>
  </si>
  <si>
    <t>12-swift-reflexes</t>
  </si>
  <si>
    <t>13-reload</t>
  </si>
  <si>
    <t>21-boarding</t>
  </si>
  <si>
    <t>22-smoke-cloud</t>
  </si>
  <si>
    <t>23-enhanced-charges</t>
  </si>
  <si>
    <t>31-skillful-trick</t>
  </si>
  <si>
    <t>32-shellback</t>
  </si>
  <si>
    <t>33-gunslinger</t>
  </si>
  <si>
    <t>41-fortune</t>
  </si>
  <si>
    <t>42-bomb-toss</t>
  </si>
  <si>
    <t>43-piercing-shot</t>
  </si>
  <si>
    <t>kopis</t>
  </si>
  <si>
    <t>gun</t>
  </si>
  <si>
    <t>kopis 2</t>
  </si>
  <si>
    <t>kopis 3</t>
  </si>
  <si>
    <t>gun 2</t>
  </si>
  <si>
    <t>gun 3</t>
  </si>
  <si>
    <t>b849f9c0-14c6-11ee-986b-fdea520a7f2c</t>
  </si>
  <si>
    <t>480e5a30-14cf-11ee-986b-fdea520a7f2c</t>
  </si>
  <si>
    <t>1f971a50-14d5-11ee-986b-fdea520a7f2c</t>
  </si>
  <si>
    <t>a5e5acb0-14db-11ee-986b-fdea520a7f2c</t>
  </si>
  <si>
    <t>88d551f0-14e2-11ee-986b-fdea520a7f2c</t>
  </si>
  <si>
    <t>aecb2b30-14e9-11ee-986b-fdea520a7f2c</t>
  </si>
  <si>
    <t>f308f3d0-14f4-11ee-986b-fdea520a7f2c</t>
  </si>
  <si>
    <t>f9209e90-14fd-11ee-986b-fdea520a7f2c</t>
  </si>
  <si>
    <t>b7567360-1505-11ee-986b-fdea520a7f2c</t>
  </si>
  <si>
    <t>a2580660-150d-11ee-986b-fdea520a7f2c</t>
  </si>
  <si>
    <t>772840c0-1514-11ee-986b-fdea520a7f2c</t>
  </si>
  <si>
    <t>0b455450-151a-11ee-986b-fdea520a7f2c</t>
  </si>
  <si>
    <t>b22318e0-1522-11ee-986b-fdea520a7f2c</t>
  </si>
  <si>
    <t>3deccc10-152b-11ee-986b-fdea520a7f2c</t>
  </si>
  <si>
    <t>f07774e0-1533-11ee-986b-fdea520a7f2c</t>
  </si>
  <si>
    <t>98a4d900-153e-11ee-986b-fdea520a7f2c</t>
  </si>
  <si>
    <t>5e42e6b0-154a-11ee-986b-fdea520a7f2c</t>
  </si>
  <si>
    <t>8c6fc010-158d-11ee-8104-372b9e590ddf</t>
  </si>
  <si>
    <t>368cd880-1593-11ee-8104-372b9e590ddf</t>
  </si>
  <si>
    <t>ad682870-159c-11ee-8104-372b9e590ddf</t>
  </si>
  <si>
    <t>d6337ac0-15a1-11ee-8104-372b9e590ddf</t>
  </si>
  <si>
    <t>15650670-15aa-11ee-8104-372b9e590ddf</t>
  </si>
  <si>
    <t>6cec8a60-15b1-11ee-8104-372b9e590ddf</t>
  </si>
  <si>
    <t>aa777250-15b6-11ee-8104-372b9e590ddf</t>
  </si>
  <si>
    <t>e6672400-15bf-11ee-8104-372b9e590ddf</t>
  </si>
  <si>
    <t>00b10df0-15c8-11ee-8104-372b9e590ddf</t>
  </si>
  <si>
    <t>d8d734a0-15cf-11ee-8104-372b9e590ddf</t>
  </si>
  <si>
    <t>7960d2f0-15d5-11ee-8104-372b9e590ddf</t>
  </si>
  <si>
    <t>e76bee30-15dd-11ee-8104-372b9e590ddf</t>
  </si>
  <si>
    <t>c8bd85c0-15e2-11ee-8104-372b9e590ddf</t>
  </si>
  <si>
    <t>cc4a8e00-15eb-11ee-8104-372b9e590ddf</t>
  </si>
  <si>
    <t>69f8f8d0-15f1-11ee-8104-372b9e590ddf</t>
  </si>
  <si>
    <t>b1383e70-15f8-11ee-8104-372b9e590ddf</t>
  </si>
  <si>
    <t>38f1aea0-1603-11ee-8104-372b9e590ddf</t>
  </si>
  <si>
    <t>db975250-160c-11ee-8104-372b9e590ddf</t>
  </si>
  <si>
    <t>e0656d70-1612-11ee-8104-372b9e590ddf</t>
  </si>
  <si>
    <t>7ef07540-161b-11ee-8104-372b9e590ddf</t>
  </si>
  <si>
    <t>79a161f0-1623-11ee-8104-372b9e590ddf</t>
  </si>
  <si>
    <t>6cd5d830-162c-11ee-8104-372b9e590ddf</t>
  </si>
  <si>
    <t>bfd85e50-1635-11ee-8104-372b9e590ddf</t>
  </si>
  <si>
    <t>322ac790-163b-11ee-8104-372b9e590ddf</t>
  </si>
  <si>
    <t>c18f3fd0-1666-11ee-8085-15813aa97af7</t>
  </si>
  <si>
    <t>c4eed6d0-166c-11ee-8085-15813aa97af7</t>
  </si>
  <si>
    <t>9f680020-1672-11ee-8085-15813aa97af7</t>
  </si>
  <si>
    <t>7296f120-167a-11ee-8085-15813aa97af7</t>
  </si>
  <si>
    <t>d5adeda0-167e-11ee-8085-15813aa97af7</t>
  </si>
  <si>
    <t>acdcdbb0-1689-11ee-8085-15813aa97af7</t>
  </si>
  <si>
    <t>570cdfe0-168f-11ee-8085-15813aa97af7</t>
  </si>
  <si>
    <t>ef183d40-1697-11ee-8085-15813aa97af7</t>
  </si>
  <si>
    <t>b382bbb0-169d-11ee-8085-15813aa97af7</t>
  </si>
  <si>
    <t>80579630-16a6-11ee-8085-15813aa97af7</t>
  </si>
  <si>
    <t>d3232dd0-16af-11ee-8085-15813aa97af7</t>
  </si>
  <si>
    <t>9aec5280-16b3-11ee-8085-15813aa97af7</t>
  </si>
  <si>
    <t>b93d7430-16b8-11ee-8085-15813aa97af7</t>
  </si>
  <si>
    <t>f78d8410-16c1-11ee-8085-15813aa97af7</t>
  </si>
  <si>
    <t>15b241c0-16cb-11ee-8085-15813aa97af7</t>
  </si>
  <si>
    <t>9bde3b80-16d2-11ee-8085-15813aa97af7</t>
  </si>
  <si>
    <t>2a981bb0-16d9-11ee-8085-15813aa97af7</t>
  </si>
  <si>
    <t>b01fdba0-16df-11ee-8085-15813aa97af7</t>
  </si>
  <si>
    <t>9fb8d870-16e4-11ee-8085-15813aa97af7</t>
  </si>
  <si>
    <t>e8271310-16e9-11ee-8085-15813aa97af7</t>
  </si>
  <si>
    <t>acdf46e0-16f0-11ee-8085-15813aa97af7</t>
  </si>
  <si>
    <t>9c00a2b0-16f5-11ee-8085-15813aa97af7</t>
  </si>
  <si>
    <t>c76dfaa0-16fb-11ee-8085-15813aa97af7</t>
  </si>
  <si>
    <t>f2f39580-1701-11ee-8085-15813aa97af7</t>
  </si>
  <si>
    <t>2c78e8d0-1709-11ee-8085-15813aa97af7</t>
  </si>
  <si>
    <t>98f88210-1711-11ee-8085-15813aa97af7</t>
  </si>
  <si>
    <t>7d406450-1718-11ee-8085-15813aa97af7</t>
  </si>
  <si>
    <t>68262760-171f-11ee-8085-15813aa97af7</t>
  </si>
  <si>
    <t>f1d8e170-1727-11ee-8085-15813aa97af7</t>
  </si>
  <si>
    <t>3d894760-1730-11ee-8085-15813aa97af7</t>
  </si>
  <si>
    <t>57e75cf0-1735-11ee-8085-15813aa97af7</t>
  </si>
  <si>
    <t>3aeddb00-173b-11ee-8085-15813aa97af7</t>
  </si>
  <si>
    <t>675aac20-1742-11ee-8085-15813aa97af7</t>
  </si>
  <si>
    <t>a98e3f20-1748-11ee-8085-15813aa97af7</t>
  </si>
  <si>
    <t>c07da8e0-174f-11ee-8085-15813aa97af7</t>
  </si>
  <si>
    <t>5404fa30-1757-11ee-8085-15813aa97af7</t>
  </si>
  <si>
    <t>c8019760-1764-11ee-8085-15813aa97af7</t>
  </si>
  <si>
    <t>4793d660-1769-11ee-8085-15813aa97af7</t>
  </si>
  <si>
    <t>1088ad00-1771-11ee-8085-15813aa97af7</t>
  </si>
  <si>
    <t>af497230-1776-11ee-8085-15813aa97af7</t>
  </si>
  <si>
    <t>c9f92a30-177b-11ee-8085-15813aa97af7</t>
  </si>
  <si>
    <t>841235b0-1781-11ee-8085-15813aa97af7</t>
  </si>
  <si>
    <t>bafbe170-1786-11ee-8085-15813aa97af7</t>
  </si>
  <si>
    <t>b7732450-1790-11ee-8085-15813aa97af7</t>
  </si>
  <si>
    <t>55b287b0-179a-11ee-8085-15813aa97af7</t>
  </si>
  <si>
    <t>84cb5b70-17a0-11ee-8085-15813aa97af7</t>
  </si>
  <si>
    <t>4ffdb0e0-17a6-11ee-8085-15813aa97af7</t>
  </si>
  <si>
    <t>77285940-17b0-11ee-8085-15813aa97af7</t>
  </si>
  <si>
    <t>96358280-17b6-11ee-8085-15813aa97af7</t>
  </si>
  <si>
    <t>abf7b6e0-17bd-11ee-8085-15813aa97af7</t>
  </si>
  <si>
    <t>0c38a8a0-17c5-11ee-8085-15813aa97af7</t>
  </si>
  <si>
    <t>ef0a9740-17cc-11ee-8085-15813aa97af7</t>
  </si>
  <si>
    <t>9b4babb0-17d3-11ee-8085-15813aa97af7</t>
  </si>
  <si>
    <t>70abf110-17da-11ee-8085-15813aa97af7</t>
  </si>
  <si>
    <t>2df54300-17e2-11ee-8085-15813aa97af7</t>
  </si>
  <si>
    <t>1e2a46d0-17e9-11ee-8085-15813aa97af7</t>
  </si>
  <si>
    <t>264155f0-17f0-11ee-8085-15813aa97af7</t>
  </si>
  <si>
    <t>aa484cd0-17f7-11ee-8085-15813aa97af7</t>
  </si>
  <si>
    <t>d04e2110-17fd-11ee-8085-15813aa97af7</t>
  </si>
  <si>
    <t>7cbd3540-1802-11ee-8085-15813aa97af7</t>
  </si>
  <si>
    <t>5221ae70-180b-11ee-8085-15813aa97af7</t>
  </si>
  <si>
    <t>a082bcd0-1810-11ee-8085-15813aa97af7</t>
  </si>
  <si>
    <t>b30488b0-1816-11ee-8085-15813aa97af7</t>
  </si>
  <si>
    <t>860c4d30-181f-11ee-8085-15813aa97af7</t>
  </si>
  <si>
    <t>05ee6f00-1826-11ee-8085-15813aa97af7</t>
  </si>
  <si>
    <t>74d1cc60-182f-11ee-8085-15813aa97af7</t>
  </si>
  <si>
    <t>1ce0cfe0-1836-11ee-8085-15813aa97af7</t>
  </si>
  <si>
    <t>d2218610-1840-11ee-8085-15813aa97af7</t>
  </si>
  <si>
    <t>db0e2a20-1846-11ee-8085-15813aa97af7</t>
  </si>
  <si>
    <t>32ba7eb0-184f-11ee-8085-15813aa97af7</t>
  </si>
  <si>
    <t>2b4c3f70-1858-11ee-8085-15813aa97af7</t>
  </si>
  <si>
    <t>e5eca360-185d-11ee-8085-15813aa97af7</t>
  </si>
  <si>
    <t>48d1a120-1867-11ee-8085-15813aa97af7</t>
  </si>
  <si>
    <t>272b4380-186e-11ee-8085-15813aa97af7</t>
  </si>
  <si>
    <t>37973570-1879-11ee-8085-15813aa97af7</t>
  </si>
  <si>
    <t>615bd480-1881-11ee-8085-15813aa97af7</t>
  </si>
  <si>
    <t>02e07f30-1888-11ee-8085-15813aa97af7</t>
  </si>
  <si>
    <t>f64caea0-188d-11ee-8085-15813aa97af7</t>
  </si>
  <si>
    <t>61127800-1898-11ee-8085-15813aa97af7</t>
  </si>
  <si>
    <t>9a1293e0-199e-11ee-8b83-d33b344f3f82</t>
  </si>
  <si>
    <t>1d93cd10-19b3-11ee-8b83-d33b344f3f82</t>
  </si>
  <si>
    <t>6a351b50-19be-11ee-8b83-d33b344f3f82</t>
  </si>
  <si>
    <t>df115400-19d4-11ee-8b83-d33b344f3f82</t>
  </si>
  <si>
    <t>46875d80-19dc-11ee-8b83-d33b344f3f82</t>
  </si>
  <si>
    <t>e64cf310-19e2-11ee-8b83-d33b344f3f82</t>
  </si>
  <si>
    <t>1bf046b0-19e9-11ee-8b83-d33b344f3f82</t>
  </si>
  <si>
    <t>13566dd0-19f4-11ee-8b83-d33b344f3f82</t>
  </si>
  <si>
    <t>9a0bff60-19fa-11ee-8b83-d33b344f3f82</t>
  </si>
  <si>
    <t>adc66af0-1a03-11ee-8b83-d33b344f3f82</t>
  </si>
  <si>
    <t>e4e60180-1a0d-11ee-8b83-d33b344f3f82</t>
  </si>
  <si>
    <t>a0623490-1a15-11ee-8b83-d33b344f3f82</t>
  </si>
  <si>
    <t>45849f70-1a1c-11ee-8b83-d33b344f3f82</t>
  </si>
  <si>
    <t>1dc24290-1a20-11ee-8b83-d33b344f3f82</t>
  </si>
  <si>
    <t>466f61b0-1a29-11ee-8b83-d33b344f3f82</t>
  </si>
  <si>
    <t>2a730470-1a2f-11ee-8b83-d33b344f3f82</t>
  </si>
  <si>
    <t>7ed10dd0-1a36-11ee-8b83-d33b344f3f82</t>
  </si>
  <si>
    <t>4c6c3070-1a3d-11ee-8b83-d33b344f3f82</t>
  </si>
  <si>
    <t>c35cdd20-1a46-11ee-8b83-d33b344f3f82</t>
  </si>
  <si>
    <t>ac2063d0-1a4a-11ee-8b83-d33b344f3f82</t>
  </si>
  <si>
    <t>13baf730-1a50-11ee-8b83-d33b344f3f82</t>
  </si>
  <si>
    <t>84d6aaa0-1a54-11ee-8b83-d33b344f3f82</t>
  </si>
  <si>
    <t>177be3e0-1a5d-11ee-8b83-d33b344f3f82</t>
  </si>
  <si>
    <t>b99e2e20-1a63-11ee-8b83-d33b344f3f82</t>
  </si>
  <si>
    <t>97aa6940-1a69-11ee-8b83-d33b344f3f82</t>
  </si>
  <si>
    <t>fa097580-1a6f-11ee-8b83-d33b344f3f82</t>
  </si>
  <si>
    <t>eb77a780-1a74-11ee-8b83-d33b344f3f82</t>
  </si>
  <si>
    <t>49f25830-1a7c-11ee-8b83-d33b344f3f82</t>
  </si>
  <si>
    <t>aefbe070-1a81-11ee-8b83-d33b344f3f82</t>
  </si>
  <si>
    <t>85568b60-1a88-11ee-8b83-d33b344f3f82</t>
  </si>
  <si>
    <t>6268d620-1a8e-11ee-8b83-d33b344f3f82</t>
  </si>
  <si>
    <t>a6685a10-1a95-11ee-8b83-d33b344f3f82</t>
  </si>
  <si>
    <t>bfc86b20-1a9b-11ee-8b83-d33b344f3f82</t>
  </si>
  <si>
    <t>af13dcd0-1aa3-11ee-8b83-d33b344f3f82</t>
  </si>
  <si>
    <t>b332a520-1aa9-11ee-8b83-d33b344f3f82</t>
  </si>
  <si>
    <t>6a487b60-1ab2-11ee-8b83-d33b344f3f82</t>
  </si>
  <si>
    <t>07f3c700-1aba-11ee-8b83-d33b344f3f82</t>
  </si>
  <si>
    <t>f02227b0-1abf-11ee-8b83-d33b344f3f82</t>
  </si>
  <si>
    <t>659b1ac0-1ac4-11ee-8b83-d33b344f3f82</t>
  </si>
  <si>
    <t>11424e40-1acd-11ee-8b83-d33b344f3f82</t>
  </si>
  <si>
    <t>df84fb80-1ad3-11ee-8b83-d33b344f3f82</t>
  </si>
  <si>
    <t>ffb9c9f0-1adb-11ee-8b83-d33b344f3f82</t>
  </si>
  <si>
    <t>5da499e0-1ae7-11ee-8b83-d33b344f3f82</t>
  </si>
  <si>
    <t>53d37650-1aee-11ee-8b83-d33b344f3f82</t>
  </si>
  <si>
    <t>bd5737e0-1afa-11ee-8b83-d33b344f3f82</t>
  </si>
  <si>
    <t>78cf8540-1b00-11ee-8b83-d33b344f3f82</t>
  </si>
  <si>
    <t>4fb3f570-1b0e-11ee-8b83-d33b344f3f82</t>
  </si>
  <si>
    <t>fcdb1990-1b13-11ee-8b83-d33b344f3f82</t>
  </si>
  <si>
    <t>8f44b3f0-1b1d-11ee-8b83-d33b344f3f82</t>
  </si>
  <si>
    <t>295b6720-1b25-11ee-8b83-d33b344f3f82</t>
  </si>
  <si>
    <t>e2b2c8f0-1b2d-11ee-8b83-d33b344f3f82</t>
  </si>
  <si>
    <t>7642b7b0-1b33-11ee-8b83-d33b344f3f82</t>
  </si>
  <si>
    <t>a722a1c0-1b37-11ee-8b83-d33b344f3f82</t>
  </si>
  <si>
    <t>c88da640-1b3f-11ee-8b83-d33b344f3f82</t>
  </si>
  <si>
    <t>c88b74a0-1b45-11ee-8b83-d33b344f3f82</t>
  </si>
  <si>
    <t>c7174700-1b4c-11ee-8b83-d33b344f3f82</t>
  </si>
  <si>
    <t>7aa3fde0-1b52-11ee-8b83-d33b344f3f82</t>
  </si>
  <si>
    <t>511d22c0-1b58-11ee-8b83-d33b344f3f82</t>
  </si>
  <si>
    <t>00afddc0-1b60-11ee-8b83-d33b344f3f82</t>
  </si>
  <si>
    <t>b3c91580-1b69-11ee-8b83-d33b344f3f82</t>
  </si>
  <si>
    <t>d23d5a20-1b6f-11ee-8b83-d33b344f3f82</t>
  </si>
  <si>
    <t>7388e8e0-1b75-11ee-8b83-d33b344f3f82</t>
  </si>
  <si>
    <t>66f8ec10-1b7f-11ee-8b83-d33b344f3f82</t>
  </si>
  <si>
    <t>1c30d760-1b84-11ee-8b83-d33b344f3f82</t>
  </si>
  <si>
    <t>88635780-1b8b-11ee-8b83-d33b344f3f82</t>
  </si>
  <si>
    <t>fd86b3b0-1b93-11ee-8b83-d33b344f3f82</t>
  </si>
  <si>
    <t>e5bb4b60-1b98-11ee-8b83-d33b344f3f82</t>
  </si>
  <si>
    <t>df75aa70-1b9d-11ee-8b83-d33b344f3f82</t>
  </si>
  <si>
    <t>cbd62e00-1ba1-11ee-8b83-d33b344f3f82</t>
  </si>
  <si>
    <t>5bb75020-1ba8-11ee-8b83-d33b344f3f82</t>
  </si>
  <si>
    <t>018029a0-1bae-11ee-8b83-d33b344f3f82</t>
  </si>
  <si>
    <t>a657b360-1bb5-11ee-8b83-d33b344f3f82</t>
  </si>
  <si>
    <t>297981c0-1bba-11ee-8b83-d33b344f3f82</t>
  </si>
  <si>
    <t>9abd92d0-1bc0-11ee-8b83-d33b344f3f82</t>
  </si>
  <si>
    <t>ac5b71e0-1bc7-11ee-8b83-d33b344f3f82</t>
  </si>
  <si>
    <t>1cb91000-1bcd-11ee-8b83-d33b344f3f82</t>
  </si>
  <si>
    <t>ea773910-1bd5-11ee-8b83-d33b344f3f82</t>
  </si>
  <si>
    <t>55147a90-1bda-11ee-8b83-d33b344f3f82</t>
  </si>
  <si>
    <t>09491c20-1bde-11ee-8b83-d33b344f3f82</t>
  </si>
  <si>
    <t>a62add90-1be2-11ee-8b83-d33b344f3f82</t>
  </si>
  <si>
    <t>3feed250-1be9-11ee-8b83-d33b344f3f82</t>
  </si>
  <si>
    <t>d7f830b0-1bed-11ee-8b83-d33b344f3f82</t>
  </si>
  <si>
    <t>fa0d7790-1bf8-11ee-80a4-5538fc77167c</t>
  </si>
  <si>
    <t>e1ac6980-1bfe-11ee-80a4-5538fc77167c</t>
  </si>
  <si>
    <t>e004ec50-1c04-11ee-80a4-5538fc77167c</t>
  </si>
  <si>
    <t>9cf47af0-1c0b-11ee-80a4-5538fc77167c</t>
  </si>
  <si>
    <t>64f08490-1c11-11ee-80a4-5538fc77167c</t>
  </si>
  <si>
    <t>7d431d40-1c17-11ee-80a4-5538fc77167c</t>
  </si>
  <si>
    <t>cfaeec30-1c21-11ee-80a4-5538fc77167c</t>
  </si>
  <si>
    <t>a5f50510-1c25-11ee-80a4-5538fc77167c</t>
  </si>
  <si>
    <t>b3b8afd0-1c2f-11ee-80a4-5538fc77167c</t>
  </si>
  <si>
    <t>c505a530-1c35-11ee-80a4-5538fc77167c</t>
  </si>
  <si>
    <t>5af3cf40-1c3b-11ee-80a4-5538fc77167c</t>
  </si>
  <si>
    <t>a824c210-1c40-11ee-80a4-5538fc77167c</t>
  </si>
  <si>
    <t>08b83610-1c47-11ee-80a4-5538fc77167c</t>
  </si>
  <si>
    <t>1e396270-1c51-11ee-80a4-5538fc77167c</t>
  </si>
  <si>
    <t>c7daecd0-1c57-11ee-80a4-5538fc77167c</t>
  </si>
  <si>
    <t>fd78a5b0-1c5e-11ee-80a4-5538fc77167c</t>
  </si>
  <si>
    <t>b113db80-1c64-11ee-80a4-5538fc77167c</t>
  </si>
  <si>
    <t>bf83c8a0-1c6a-11ee-80a4-5538fc77167c</t>
  </si>
  <si>
    <t>61c18a20-1c71-11ee-80a4-5538fc77167c</t>
  </si>
  <si>
    <t>daf804f0-1c76-11ee-80a4-5538fc77167c</t>
  </si>
  <si>
    <t>2231b730-1c7c-11ee-80a4-5538fc77167c</t>
  </si>
  <si>
    <t>83100c50-1c81-11ee-80a4-5538fc77167c</t>
  </si>
  <si>
    <t>bf94e400-1c88-11ee-80a4-5538fc77167c</t>
  </si>
  <si>
    <t>42740470-1cd7-11ee-9b37-bf2ede31f324</t>
  </si>
  <si>
    <t>c0e87000-1cde-11ee-9b37-bf2ede31f324</t>
  </si>
  <si>
    <t>2c346b40-1ce7-11ee-9b37-bf2ede31f324</t>
  </si>
  <si>
    <t>e9c9ebf0-1cef-11ee-9b37-bf2ede31f324</t>
  </si>
  <si>
    <t>94e39760-1cf6-11ee-9b37-bf2ede31f324</t>
  </si>
  <si>
    <t>e22c9420-1cfd-11ee-9b37-bf2ede31f324</t>
  </si>
  <si>
    <t>74bdbb10-1d04-11ee-9b37-bf2ede31f324</t>
  </si>
  <si>
    <t>8c96f320-1d0c-11ee-9b37-bf2ede31f324</t>
  </si>
  <si>
    <t>4a236130-1d17-11ee-9b37-bf2ede31f324</t>
  </si>
  <si>
    <t>244e11d0-1d1c-11ee-9b37-bf2ede31f324</t>
  </si>
  <si>
    <t>582e0a90-1d22-11ee-9b37-bf2ede31f324</t>
  </si>
  <si>
    <t>da273aa0-1d2a-11ee-9b37-bf2ede31f324</t>
  </si>
  <si>
    <t>02fd8970-1d30-11ee-9b37-bf2ede31f324</t>
  </si>
  <si>
    <t>0e057a20-1d3b-11ee-9b37-bf2ede31f324</t>
  </si>
  <si>
    <t>4918f210-1d43-11ee-9b37-bf2ede31f324</t>
  </si>
  <si>
    <t>43bef430-1d49-11ee-9b37-bf2ede31f324</t>
  </si>
  <si>
    <t>dc9ee700-1d4e-11ee-9b37-bf2ede31f324</t>
  </si>
  <si>
    <t>8df746d0-1d56-11ee-9b37-bf2ede31f324</t>
  </si>
  <si>
    <t>167fce30-1d5e-11ee-9b37-bf2ede31f324</t>
  </si>
  <si>
    <t>6e29f880-1d69-11ee-9b37-bf2ede31f324</t>
  </si>
  <si>
    <t>6d6bc9e0-1d6f-11ee-9b37-bf2ede31f324</t>
  </si>
  <si>
    <t>b78650c0-1d7b-11ee-9b37-bf2ede31f324</t>
  </si>
  <si>
    <t>210dca90-1d82-11ee-9b37-bf2ede31f324</t>
  </si>
  <si>
    <t>e523a3e0-1d88-11ee-9b37-bf2ede31f324</t>
  </si>
  <si>
    <t>1a53dfd0-1d8e-11ee-9b37-bf2ede31f324</t>
  </si>
  <si>
    <t>28cbbc30-1d94-11ee-9b37-bf2ede31f324</t>
  </si>
  <si>
    <t>58d5b8a0-1d98-11ee-9b37-bf2ede31f324</t>
  </si>
  <si>
    <t>c2ef1990-1d9b-11ee-9b37-bf2ede31f324</t>
  </si>
  <si>
    <t>3c3fd650-1da5-11ee-9b37-bf2ede31f324</t>
  </si>
  <si>
    <t>dfe1db60-1dae-11ee-9b37-bf2ede31f324</t>
  </si>
  <si>
    <t>e6e42680-1db2-11ee-9b37-bf2ede31f324</t>
  </si>
  <si>
    <t>7a08be60-1dba-11ee-9b37-bf2ede31f324</t>
  </si>
  <si>
    <t>ce09a910-1dc0-11ee-9b37-bf2ede31f324</t>
  </si>
  <si>
    <t>0fa47e80-1dc7-11ee-9b37-bf2ede31f324</t>
  </si>
  <si>
    <t>b7bbf860-1dcb-11ee-9b37-bf2ede31f324</t>
  </si>
  <si>
    <t>4506b830-1dd2-11ee-9b37-bf2ede31f324</t>
  </si>
  <si>
    <t>9881c680-1dd7-11ee-9b37-bf2ede31f324</t>
  </si>
  <si>
    <t>2233a0c0-1de1-11ee-9b37-bf2ede31f324</t>
  </si>
  <si>
    <t>adad9830-1de7-11ee-9b37-bf2ede31f324</t>
  </si>
  <si>
    <t>ce81cf60-1df9-11ee-9b37-bf2ede31f324</t>
  </si>
  <si>
    <t>2e7dfa80-1e02-11ee-9b37-bf2ede31f324</t>
  </si>
  <si>
    <t>12d848c0-1e08-11ee-9b37-bf2ede31f324</t>
  </si>
  <si>
    <t>47e2d770-1e11-11ee-9b37-bf2ede31f324</t>
  </si>
  <si>
    <t>094b7d00-1e16-11ee-9b37-bf2ede31f324</t>
  </si>
  <si>
    <t>a6ad0050-1e1b-11ee-9b37-bf2ede31f324</t>
  </si>
  <si>
    <t>b1b267b0-1e20-11ee-9b37-bf2ede31f324</t>
  </si>
  <si>
    <t>4e2de5e0-1e28-11ee-9b37-bf2ede31f324</t>
  </si>
  <si>
    <t>31987cf0-1e2e-11ee-9b37-bf2ede31f324</t>
  </si>
  <si>
    <t>07b66270-1e34-11ee-9b37-bf2ede31f324</t>
  </si>
  <si>
    <t>d9ba3660-1e3a-11ee-9b37-bf2ede31f324</t>
  </si>
  <si>
    <t>d3525ce0-1e3e-11ee-9b37-bf2ede31f324</t>
  </si>
  <si>
    <t>07a5b0e0-1e45-11ee-9b37-bf2ede31f324</t>
  </si>
  <si>
    <t>e85e8ae0-1e49-11ee-9b37-bf2ede31f324</t>
  </si>
  <si>
    <t>7215eac0-1e50-11ee-9b37-bf2ede31f324</t>
  </si>
  <si>
    <t>1baa9950-1e56-11ee-9b37-bf2ede31f324</t>
  </si>
  <si>
    <t>57463ef0-1e5c-11ee-9b37-bf2ede31f324</t>
  </si>
  <si>
    <t>b789b6d0-1e65-11ee-9b37-bf2ede31f324</t>
  </si>
  <si>
    <t>bd6cd650-1e69-11ee-9b37-bf2ede31f324</t>
  </si>
  <si>
    <t>444fdc50-1e77-11ee-9b37-bf2ede31f324</t>
  </si>
  <si>
    <t>1672fb40-1e82-11ee-9b37-bf2ede31f324</t>
  </si>
  <si>
    <t>e0d110c0-1e87-11ee-9b37-bf2ede31f324</t>
  </si>
  <si>
    <t>b92fc910-1e8e-11ee-9b37-bf2ede31f324</t>
  </si>
  <si>
    <t>a456a940-1e94-11ee-9b37-bf2ede31f324</t>
  </si>
  <si>
    <t>d9613f50-1e9a-11ee-9b37-bf2ede31f324</t>
  </si>
  <si>
    <t>6dd30d20-1ea1-11ee-9b37-bf2ede31f324</t>
  </si>
  <si>
    <t>073946f0-1ea7-11ee-9b37-bf2ede31f324</t>
  </si>
  <si>
    <t>cfe5dbe0-1eac-11ee-9b37-bf2ede31f324</t>
  </si>
  <si>
    <t>eee41100-1eb2-11ee-9b37-bf2ede31f324</t>
  </si>
  <si>
    <t>97f21bb0-1ebe-11ee-9b37-bf2ede31f324</t>
  </si>
  <si>
    <t>0a5f9190-1ec5-11ee-9b37-bf2ede31f324</t>
  </si>
  <si>
    <t>d8a6c0c0-1ecd-11ee-9b37-bf2ede31f324</t>
  </si>
  <si>
    <t>16a7bbb0-1ed6-11ee-9b37-bf2ede31f324</t>
  </si>
  <si>
    <t>68985970-1edb-11ee-9b37-bf2ede31f324</t>
  </si>
  <si>
    <t>b3ba25e0-1ee1-11ee-9b37-bf2ede31f324</t>
  </si>
  <si>
    <t>f41fd6b0-1ee7-11ee-9b37-bf2ede31f324</t>
  </si>
  <si>
    <t>a9f27b60-1eec-11ee-9b37-bf2ede31f324</t>
  </si>
  <si>
    <t>4913baa0-1ef3-11ee-9b37-bf2ede31f324</t>
  </si>
  <si>
    <t>d60bf830-1efa-11ee-9b37-bf2ede31f324</t>
  </si>
  <si>
    <t>ec1defb0-1f00-11ee-9b37-bf2ede31f324</t>
  </si>
  <si>
    <t>32790c50-1f07-11ee-9b37-bf2ede31f324</t>
  </si>
  <si>
    <t>f2092150-1f0b-11ee-9b37-bf2ede31f324</t>
  </si>
  <si>
    <t>644bddb0-1f12-11ee-9b37-bf2ede31f324</t>
  </si>
  <si>
    <t>9fdfd5d0-1f52-11ee-ba29-81902a1c9615</t>
  </si>
  <si>
    <t>3ff75160-1f58-11ee-ba29-81902a1c9615</t>
  </si>
  <si>
    <t>73de7940-1f62-11ee-ba29-81902a1c9615</t>
  </si>
  <si>
    <t>409ffa30-1f68-11ee-ba29-81902a1c9615</t>
  </si>
  <si>
    <t>e4840e20-1f6d-11ee-ba29-81902a1c9615</t>
  </si>
  <si>
    <t>61f832a0-1f73-11ee-ba29-81902a1c9615</t>
  </si>
  <si>
    <t>a512dc30-1f77-11ee-ba29-81902a1c9615</t>
  </si>
  <si>
    <t>9ed69f30-1f7e-11ee-ba29-81902a1c9615</t>
  </si>
  <si>
    <t>6a691600-1f84-11ee-ba29-81902a1c9615</t>
  </si>
  <si>
    <t>e6fdba80-1f8a-11ee-ba29-81902a1c9615</t>
  </si>
  <si>
    <t>48c29480-1f8f-11ee-ba29-81902a1c9615</t>
  </si>
  <si>
    <t>da82e170-1f96-11ee-ba29-81902a1c9615</t>
  </si>
  <si>
    <t>2041f710-1f9b-11ee-ba29-81902a1c9615</t>
  </si>
  <si>
    <t>6dc0b130-1f9f-11ee-ba29-81902a1c9615</t>
  </si>
  <si>
    <t>1c309710-1fa7-11ee-ba29-81902a1c9615</t>
  </si>
  <si>
    <t>3bf09cf0-1faa-11ee-ba29-81902a1c9615</t>
  </si>
  <si>
    <t>db263970-1fae-11ee-ba29-81902a1c9615</t>
  </si>
  <si>
    <t>f5fe80b0-1fb6-11ee-ba29-81902a1c9615</t>
  </si>
  <si>
    <t>dcaf2590-1fbd-11ee-ba29-81902a1c9615</t>
  </si>
  <si>
    <t>a9bf6d50-1fc4-11ee-ba29-81902a1c9615</t>
  </si>
  <si>
    <t>eb51f040-1fc8-11ee-ba29-81902a1c9615</t>
  </si>
  <si>
    <t>7cc969d0-1fcf-11ee-ba29-81902a1c9615</t>
  </si>
  <si>
    <t>046869a0-1fd9-11ee-ba29-81902a1c9615</t>
  </si>
  <si>
    <t>a55f5340-1fdf-11ee-ba29-81902a1c9615</t>
  </si>
  <si>
    <t>e0179990-1fec-11ee-ba29-81902a1c9615</t>
  </si>
  <si>
    <t>f1fefa30-1ff2-11ee-ba29-81902a1c9615</t>
  </si>
  <si>
    <t>2f647870-1ffb-11ee-ba29-81902a1c9615</t>
  </si>
  <si>
    <t>7c96f1e0-2000-11ee-ba29-81902a1c9615</t>
  </si>
  <si>
    <t>ebc3ea20-2003-11ee-ba29-81902a1c9615</t>
  </si>
  <si>
    <t>6a2d75b0-200a-11ee-ba29-81902a1c9615</t>
  </si>
  <si>
    <t>23d23b90-2010-11ee-ba29-81902a1c9615</t>
  </si>
  <si>
    <t>2b05f6f0-2014-11ee-ba29-81902a1c9615</t>
  </si>
  <si>
    <t>b084a110-2018-11ee-ba29-81902a1c9615</t>
  </si>
  <si>
    <t>fdbe6d80-201d-11ee-ba29-81902a1c9615</t>
  </si>
  <si>
    <t>40636750-2021-11ee-ba29-81902a1c9615</t>
  </si>
  <si>
    <t>4c749c90-202a-11ee-ba29-81902a1c9615</t>
  </si>
  <si>
    <t>029b90e0-2031-11ee-ba29-81902a1c9615</t>
  </si>
  <si>
    <t>70d74e80-2038-11ee-ba29-81902a1c9615</t>
  </si>
  <si>
    <t>cdd44360-2040-11ee-ba29-81902a1c9615</t>
  </si>
  <si>
    <t>f95857a0-2046-11ee-ba29-81902a1c9615</t>
  </si>
  <si>
    <t>0af8f5d0-204e-11ee-ba29-81902a1c9615</t>
  </si>
  <si>
    <t>ccfea940-2053-11ee-ba29-81902a1c9615</t>
  </si>
  <si>
    <t>87151cb0-2059-11ee-ba29-81902a1c9615</t>
  </si>
  <si>
    <t>ea86f120-2062-11ee-ba29-81902a1c9615</t>
  </si>
  <si>
    <t>96800aa0-206a-11ee-ba29-81902a1c9615</t>
  </si>
  <si>
    <t>44412f60-2071-11ee-ba29-81902a1c9615</t>
  </si>
  <si>
    <t>7f34d530-2077-11ee-ba29-81902a1c9615</t>
  </si>
  <si>
    <t>195b4730-207c-11ee-ba29-81902a1c9615</t>
  </si>
  <si>
    <t>6bf53260-2083-11ee-ba29-81902a1c9615</t>
  </si>
  <si>
    <t>0bbcead0-208a-11ee-ba29-81902a1c9615</t>
  </si>
  <si>
    <t>3014d2e0-208e-11ee-ba29-81902a1c9615</t>
  </si>
  <si>
    <t>2e9ab1d0-2095-11ee-ba29-81902a1c9615</t>
  </si>
  <si>
    <t>6dd15880-209b-11ee-ba29-81902a1c9615</t>
  </si>
  <si>
    <t>81853bc0-20a1-11ee-ba29-81902a1c9615</t>
  </si>
  <si>
    <t>f60c1bc0-20a7-11ee-ba29-81902a1c9615</t>
  </si>
  <si>
    <t>a9b67eb0-20ab-11ee-ba29-81902a1c9615</t>
  </si>
  <si>
    <t>36227740-20b2-11ee-ba29-81902a1c9615</t>
  </si>
  <si>
    <t>6e872d70-20bb-11ee-ba29-81902a1c9615</t>
  </si>
  <si>
    <t>41d77400-20c1-11ee-ba29-81902a1c9615</t>
  </si>
  <si>
    <t>5bc66220-20c8-11ee-ba29-81902a1c9615</t>
  </si>
  <si>
    <t>5ebd2530-20ce-11ee-ba29-81902a1c9615</t>
  </si>
  <si>
    <t>a12db6a0-20d3-11ee-ba29-81902a1c9615</t>
  </si>
  <si>
    <t>e5d44570-20d9-11ee-ba29-81902a1c9615</t>
  </si>
  <si>
    <t>187c0c50-20e0-11ee-ba29-81902a1c9615</t>
  </si>
  <si>
    <t>ffc02980-20e4-11ee-ba29-81902a1c9615</t>
  </si>
  <si>
    <t>259aeb90-20ea-11ee-ba29-81902a1c9615</t>
  </si>
  <si>
    <t>a6f618d0-20f0-11ee-ba29-81902a1c9615</t>
  </si>
  <si>
    <t>25108f70-20f6-11ee-ba29-81902a1c9615</t>
  </si>
  <si>
    <t>67cd6f50-20ff-11ee-ba29-81902a1c9615</t>
  </si>
  <si>
    <t>93aaee30-2105-11ee-ba29-81902a1c9615</t>
  </si>
  <si>
    <t>59928c30-210a-11ee-ba29-81902a1c9615</t>
  </si>
  <si>
    <t>ff23ecb0-1724-11ee-a7c5-2fa970ff9066</t>
  </si>
  <si>
    <t>df483590-172e-11ee-a7c5-2fa970ff9066</t>
  </si>
  <si>
    <t>3a30d3f0-1738-11ee-a7c5-2fa970ff9066</t>
  </si>
  <si>
    <t>a236ac40-173d-11ee-a7c5-2fa970ff9066</t>
  </si>
  <si>
    <t>06c26900-17f3-11ee-9874-57ac0c4b43ac</t>
  </si>
  <si>
    <t>4b64b540-17fd-11ee-9874-57ac0c4b43ac</t>
  </si>
  <si>
    <t>8fa4d690-1802-11ee-9874-57ac0c4b43ac</t>
  </si>
  <si>
    <t>6a758e60-180b-11ee-9874-57ac0c4b43ac</t>
  </si>
  <si>
    <t>1ad79ff0-1816-11ee-9874-57ac0c4b43ac</t>
  </si>
  <si>
    <t>38ad48b0-181e-11ee-9874-57ac0c4b43ac</t>
  </si>
  <si>
    <t>55867af0-1824-11ee-9874-57ac0c4b43ac</t>
  </si>
  <si>
    <t>4b79adf0-182b-11ee-9874-57ac0c4b43ac</t>
  </si>
  <si>
    <t>7cf02b50-1832-11ee-9874-57ac0c4b43ac</t>
  </si>
  <si>
    <t>c39c7530-1838-11ee-9874-57ac0c4b43ac</t>
  </si>
  <si>
    <t>41af38c0-1840-11ee-9874-57ac0c4b43ac</t>
  </si>
  <si>
    <t>38a13e20-1847-11ee-9874-57ac0c4b43ac</t>
  </si>
  <si>
    <t>626de340-199e-11ee-9bd7-378c5aef5566</t>
  </si>
  <si>
    <t>d79ff000-19a7-11ee-9bd7-378c5aef5566</t>
  </si>
  <si>
    <t>ce2386b0-19af-11ee-9bd7-378c5aef5566</t>
  </si>
  <si>
    <t>c2887890-19b6-11ee-9bd7-378c5aef5566</t>
  </si>
  <si>
    <t>4b0c2880-19bf-11ee-9bd7-378c5aef5566</t>
  </si>
  <si>
    <t>4b5b07a0-19c6-11ee-9bd7-378c5aef5566</t>
  </si>
  <si>
    <t>29fd2f40-19ce-11ee-9bd7-378c5aef5566</t>
  </si>
  <si>
    <t>dcd064b0-19d4-11ee-9bd7-378c5aef5566</t>
  </si>
  <si>
    <t>4dbaa080-19dc-11ee-9bd7-378c5aef5566</t>
  </si>
  <si>
    <t>78b611e0-19e4-11ee-9bd7-378c5aef5566</t>
  </si>
  <si>
    <t>b5d23270-19e9-11ee-9bd7-378c5aef5566</t>
  </si>
  <si>
    <t>0db50910-1a2e-11ee-9019-c1b0de67d55d</t>
  </si>
  <si>
    <t>e21a7e40-1a35-11ee-9019-c1b0de67d55d</t>
  </si>
  <si>
    <t>00395a70-1a3d-11ee-9019-c1b0de67d55d</t>
  </si>
  <si>
    <t>d8002da0-1a45-11ee-9019-c1b0de67d55d</t>
  </si>
  <si>
    <t>c3829e80-1a4f-11ee-9019-c1b0de67d55d</t>
  </si>
  <si>
    <t>494a3ee0-1a5c-11ee-9019-c1b0de67d55d</t>
  </si>
  <si>
    <t>4358bbf0-1a62-11ee-9019-c1b0de67d55d</t>
  </si>
  <si>
    <t>53c2d920-1a6d-11ee-9019-c1b0de67d55d</t>
  </si>
  <si>
    <t>b9653410-1a74-11ee-9019-c1b0de67d55d</t>
  </si>
  <si>
    <t>4f0548b0-1a7b-11ee-9019-c1b0de67d55d</t>
  </si>
  <si>
    <t>f422d190-1a81-11ee-9019-c1b0de67d55d</t>
  </si>
  <si>
    <t>837fa120-1a8b-11ee-9019-c1b0de67d55d</t>
  </si>
  <si>
    <t>935160d0-1a94-11ee-9019-c1b0de67d55d</t>
  </si>
  <si>
    <t>16741990-1a99-11ee-9019-c1b0de67d55d</t>
  </si>
  <si>
    <t>0e1e3da0-1a9b-11ee-9019-c1b0de67d55d</t>
  </si>
  <si>
    <t>5ddcb120-1af8-11ee-a565-253c3fe8198a</t>
  </si>
  <si>
    <t>6d9264b0-1afe-11ee-a565-253c3fe8198a</t>
  </si>
  <si>
    <t>65894c60-1b04-11ee-a565-253c3fe8198a</t>
  </si>
  <si>
    <t>0393f610-1b0c-11ee-a565-253c3fe8198a</t>
  </si>
  <si>
    <t>bd42edc0-1b14-11ee-a565-253c3fe8198a</t>
  </si>
  <si>
    <t>05761e60-1b1e-11ee-a565-253c3fe8198a</t>
  </si>
  <si>
    <t>2780dac0-1b25-11ee-a565-253c3fe8198a</t>
  </si>
  <si>
    <t>4a3bad40-1b2c-11ee-a565-253c3fe8198a</t>
  </si>
  <si>
    <t>88158310-1b32-11ee-a565-253c3fe8198a</t>
  </si>
  <si>
    <t>4a84ff60-1b39-11ee-a565-253c3fe8198a</t>
  </si>
  <si>
    <t>a6819b40-1b41-11ee-a565-253c3fe8198a</t>
  </si>
  <si>
    <t>64e393b0-1b4a-11ee-a565-253c3fe8198a</t>
  </si>
  <si>
    <t>a3cc0870-1b52-11ee-a565-253c3fe8198a</t>
  </si>
  <si>
    <t>19036930-1b58-11ee-a565-253c3fe8198a</t>
  </si>
  <si>
    <t>97c61bd0-1b5f-11ee-a565-253c3fe8198a</t>
  </si>
  <si>
    <t>10c8e700-1b66-11ee-a565-253c3fe8198a</t>
  </si>
  <si>
    <t>4af253d0-1bc0-11ee-a81d-6d7102f9a5a9</t>
  </si>
  <si>
    <t>27637530-1bc9-11ee-a81d-6d7102f9a5a9</t>
  </si>
  <si>
    <t>835ce750-1bd2-11ee-a81d-6d7102f9a5a9</t>
  </si>
  <si>
    <t>384c5090-1bda-11ee-a81d-6d7102f9a5a9</t>
  </si>
  <si>
    <t>f775ad20-1be1-11ee-a81d-6d7102f9a5a9</t>
  </si>
  <si>
    <t>be42fdf0-1beb-11ee-a81d-6d7102f9a5a9</t>
  </si>
  <si>
    <t>070ff300-1bf4-11ee-a81d-6d7102f9a5a9</t>
  </si>
  <si>
    <t>9444cef0-1bfc-11ee-a81d-6d7102f9a5a9</t>
  </si>
  <si>
    <t>bb54dfe0-1c05-11ee-a81d-6d7102f9a5a9</t>
  </si>
  <si>
    <t>3bcb8410-1c0d-11ee-a81d-6d7102f9a5a9</t>
  </si>
  <si>
    <t>7b4a4ff0-1c16-11ee-a81d-6d7102f9a5a9</t>
  </si>
  <si>
    <t>78ea5830-1c1c-11ee-a81d-6d7102f9a5a9</t>
  </si>
  <si>
    <t>bf992260-1c8b-11ee-9486-ad52a3484fe9</t>
  </si>
  <si>
    <t>0b2d9150-1c93-11ee-9486-ad52a3484fe9</t>
  </si>
  <si>
    <t>d366fca0-1c99-11ee-9486-ad52a3484fe9</t>
  </si>
  <si>
    <t>46827ae0-1ca2-11ee-9486-ad52a3484fe9</t>
  </si>
  <si>
    <t>bf83f870-1ca6-11ee-9486-ad52a3484fe9</t>
  </si>
  <si>
    <t>a41d87b0-1cae-11ee-9486-ad52a3484fe9</t>
  </si>
  <si>
    <t>c286fa10-1cb8-11ee-9486-ad52a3484fe9</t>
  </si>
  <si>
    <t>f8c8c5b0-1cc0-11ee-9486-ad52a3484fe9</t>
  </si>
  <si>
    <t>8b71a870-1cc9-11ee-9486-ad52a3484fe9</t>
  </si>
  <si>
    <t>8adab0e0-1ccf-11ee-9486-ad52a3484fe9</t>
  </si>
  <si>
    <t>94ff9bf0-1cd7-11ee-9486-ad52a3484fe9</t>
  </si>
  <si>
    <t>95e6c370-1cde-11ee-9486-ad52a3484fe9</t>
  </si>
  <si>
    <t>c3378160-1ce4-11ee-9486-ad52a3484fe9</t>
  </si>
  <si>
    <t>cb471670-1ceb-11ee-9486-ad52a3484fe9</t>
  </si>
  <si>
    <t>562afd80-1cf4-11ee-9486-ad52a3484fe9</t>
  </si>
  <si>
    <t>57ac6930-1cfb-11ee-9486-ad52a3484fe9</t>
  </si>
  <si>
    <t>2da2b820-1d72-11ee-9fb7-75d186b606c3</t>
  </si>
  <si>
    <t>8f3d62f0-1d78-11ee-9fb7-75d186b606c3</t>
  </si>
  <si>
    <t>41777790-1d7d-11ee-9fb7-75d186b606c3</t>
  </si>
  <si>
    <t>20649240-1d82-11ee-9fb7-75d186b606c3</t>
  </si>
  <si>
    <t>13015f90-1d8f-11ee-9fb7-75d186b606c3</t>
  </si>
  <si>
    <t>3c593930-1e3e-11ee-a2ef-fde865ebed45</t>
  </si>
  <si>
    <t>59025360-1e47-11ee-a2ef-fde865ebed45</t>
  </si>
  <si>
    <t>6b83ad40-1e51-11ee-a2ef-fde865ebed45</t>
  </si>
  <si>
    <t>afc5df80-1e58-11ee-a2ef-fde865ebed45</t>
  </si>
  <si>
    <t>07672270-1e5f-11ee-a2ef-fde865ebed45</t>
  </si>
  <si>
    <t>2e321b70-1e65-11ee-a2ef-fde865ebed45</t>
  </si>
  <si>
    <t>444858b0-1e6b-11ee-a2ef-fde865ebed45</t>
  </si>
  <si>
    <t>d09b2e80-1e72-11ee-a2ef-fde865ebed45</t>
  </si>
  <si>
    <t>32195360-1ef7-11ee-979c-c38a57081db7</t>
  </si>
  <si>
    <t>2d1b1f30-1eff-11ee-979c-c38a57081db7</t>
  </si>
  <si>
    <t>6bb3ed50-1f07-11ee-979c-c38a57081db7</t>
  </si>
  <si>
    <t>d91899f0-1f10-11ee-979c-c38a57081db7</t>
  </si>
  <si>
    <t>58123080-1f17-11ee-979c-c38a57081db7</t>
  </si>
  <si>
    <t>31f01950-1f1f-11ee-979c-c38a57081db7</t>
  </si>
  <si>
    <t>9615dbd0-1f25-11ee-979c-c38a57081db7</t>
  </si>
  <si>
    <t>1f307490-1f2e-11ee-979c-c38a57081db7</t>
  </si>
  <si>
    <t>16dd3710-1f38-11ee-979c-c38a57081db7</t>
  </si>
  <si>
    <t>3b89bce0-1f3e-11ee-979c-c38a57081db7</t>
  </si>
  <si>
    <t>57dc4810-1f46-11ee-979c-c38a57081db7</t>
  </si>
  <si>
    <t>895971a0-1f4c-11ee-979c-c38a57081db7</t>
  </si>
  <si>
    <t>d7712580-1f52-11ee-979c-c38a57081db7</t>
  </si>
  <si>
    <t>4c91da40-1fb6-11ee-a4b4-8d9dfb3f9041</t>
  </si>
  <si>
    <t>429878c0-1fbe-11ee-a4b4-8d9dfb3f9041</t>
  </si>
  <si>
    <t>75962070-1fc7-11ee-a4b4-8d9dfb3f9041</t>
  </si>
  <si>
    <t>f5a3ad20-1fcf-11ee-a4b4-8d9dfb3f9041</t>
  </si>
  <si>
    <t>16db7730-1fd9-11ee-a4b4-8d9dfb3f9041</t>
  </si>
  <si>
    <t>f65e5750-1fdf-11ee-a4b4-8d9dfb3f9041</t>
  </si>
  <si>
    <t>2dd1d710-1fe6-11ee-a4b4-8d9dfb3f9041</t>
  </si>
  <si>
    <t>c9b2c2f0-1fed-11ee-a4b4-8d9dfb3f9041</t>
  </si>
  <si>
    <t>9ac41490-2078-11ee-896a-2f820f92f258</t>
  </si>
  <si>
    <t>a16e9400-2082-11ee-896a-2f820f92f258</t>
  </si>
  <si>
    <t>fd463830-2089-11ee-896a-2f820f92f258</t>
  </si>
  <si>
    <t>e1e89680-2090-11ee-896a-2f820f92f258</t>
  </si>
  <si>
    <t>dd5f5420-20ac-11ee-8caa-11ced38bab35</t>
  </si>
  <si>
    <t>c60f9230-20b6-11ee-8caa-11ced38bab35</t>
  </si>
  <si>
    <t>830429e0-20bd-11ee-8caa-11ced38bab35</t>
  </si>
  <si>
    <t>0f8533d0-2142-11ee-88b2-13ce9e2cbdee</t>
  </si>
  <si>
    <t>91e49fc0-214a-11ee-88b2-13ce9e2cbdee</t>
  </si>
  <si>
    <t>07522120-214f-11ee-88b2-13ce9e2cbdee</t>
  </si>
  <si>
    <t>b9291c40-2155-11ee-88b2-13ce9e2cbdee</t>
  </si>
  <si>
    <t>746d3a40-215b-11ee-88b2-13ce9e2cbdee</t>
  </si>
  <si>
    <t>64eea5d0-2161-11ee-88b2-13ce9e2cbdee</t>
  </si>
  <si>
    <t>21e4af00-2166-11ee-88b2-13ce9e2cbdee</t>
  </si>
  <si>
    <t>4db6edd0-216d-11ee-88b2-13ce9e2cbdee</t>
  </si>
  <si>
    <t>35978730-2174-11ee-88b2-13ce9e2cbdee</t>
  </si>
  <si>
    <t>223fb030-217a-11ee-88b2-13ce9e2cbdee</t>
  </si>
  <si>
    <t>bc528840-2180-11ee-88b2-13ce9e2cbdee</t>
  </si>
  <si>
    <t>3f27a0c0-2186-11ee-88b2-13ce9e2cbdee</t>
  </si>
  <si>
    <t>a47fb6d0-218e-11ee-88b2-13ce9e2cbdee</t>
  </si>
  <si>
    <t>d0ebd690-2193-11ee-88b2-13ce9e2cbdee</t>
  </si>
  <si>
    <t>bb2c91f0-2198-11ee-88b2-13ce9e2cbdee</t>
  </si>
  <si>
    <t>d8c1c130-219e-11ee-88b2-13ce9e2cbdee</t>
  </si>
  <si>
    <t>50cda940-21a5-11ee-88b2-13ce9e2cbdee</t>
  </si>
  <si>
    <t>c63cd850-21a9-11ee-88b2-13ce9e2cbdee</t>
  </si>
  <si>
    <t>42d02f30-21ae-11ee-88b2-13ce9e2cbdee</t>
  </si>
  <si>
    <t>f423d0e0-21b1-11ee-88b2-13ce9e2cbdee</t>
  </si>
  <si>
    <t>38b5a260-21bc-11ee-88b2-13ce9e2cbdee</t>
  </si>
  <si>
    <t>20248a60-2214-11ee-afc8-a57afae68643</t>
  </si>
  <si>
    <t>b6b543c0-221e-11ee-afc8-a57afae68643</t>
  </si>
  <si>
    <t>5c6e29a0-2222-11ee-afc8-a57afae68643</t>
  </si>
  <si>
    <t>06af6150-2227-11ee-afc8-a57afae68643</t>
  </si>
  <si>
    <t>5d8c4d60-222e-11ee-afc8-a57afae68643</t>
  </si>
  <si>
    <t>15d422b0-2231-11ee-afc8-a57afae68643</t>
  </si>
  <si>
    <t>363aac50-2235-11ee-afc8-a57afae68643</t>
  </si>
  <si>
    <t>9f893bd0-223b-11ee-afc8-a57afae68643</t>
  </si>
  <si>
    <t>17bdba80-2242-11ee-afc8-a57afae68643</t>
  </si>
  <si>
    <t>f55c2a90-2245-11ee-afc8-a57afae68643</t>
  </si>
  <si>
    <t>f00795d0-2249-11ee-afc8-a57afae68643</t>
  </si>
  <si>
    <t>0532e160-2251-11ee-afc8-a57afae68643</t>
  </si>
  <si>
    <t>afe629e0-2257-11ee-afc8-a57afae68643</t>
  </si>
  <si>
    <t>baba1670-225b-11ee-afc8-a57afae68643</t>
  </si>
  <si>
    <t>d6bddad0-2262-11ee-afc8-a57afae68643</t>
  </si>
  <si>
    <t>3882f100-2269-11ee-afc8-a57afae68643</t>
  </si>
  <si>
    <t>800c7b80-226f-11ee-afc8-a57afae68643</t>
  </si>
  <si>
    <t>f6125a60-2275-11ee-afc8-a57afae68643</t>
  </si>
  <si>
    <t>337c3050-227c-11ee-afc8-a57afae68643</t>
  </si>
  <si>
    <t>da61b9e0-2280-11ee-afc8-a57afae68643</t>
  </si>
  <si>
    <t>eb926a20-2285-11ee-afc8-a57afae68643</t>
  </si>
  <si>
    <t>7a0a6d70-22db-11ee-a2de-8532fd791e97</t>
  </si>
  <si>
    <t>074c53a0-22e2-11ee-a2de-8532fd791e97</t>
  </si>
  <si>
    <t>861da1b0-22e8-11ee-a2de-8532fd791e97</t>
  </si>
  <si>
    <t>81f67e80-22ee-11ee-a2de-8532fd791e97</t>
  </si>
  <si>
    <t>9272cb80-22f6-11ee-a2de-8532fd791e97</t>
  </si>
  <si>
    <t>0ea8d870-2301-11ee-a2de-8532fd791e97</t>
  </si>
  <si>
    <t>84b1c490-2307-11ee-a2de-8532fd791e97</t>
  </si>
  <si>
    <t>d8720420-230a-11ee-a2de-8532fd791e97</t>
  </si>
  <si>
    <t>a3863fb0-230f-11ee-a2de-8532fd791e97</t>
  </si>
  <si>
    <t>871aeca0-2318-11ee-a2de-8532fd791e97</t>
  </si>
  <si>
    <t>db2876f0-231d-11ee-a2de-8532fd791e97</t>
  </si>
  <si>
    <t>5f212b10-2327-11ee-a2de-8532fd791e97</t>
  </si>
  <si>
    <t>c2bd9620-2329-11ee-a2de-8532fd791e97</t>
  </si>
  <si>
    <t>18e02fb0-232d-11ee-a2de-8532fd791e97</t>
  </si>
  <si>
    <t>5fd1f8f0-2331-11ee-a2de-8532fd791e97</t>
  </si>
  <si>
    <t>30fb19c0-2337-11ee-a2de-8532fd791e97</t>
  </si>
  <si>
    <t>88aaf820-233c-11ee-a2de-8532fd791e97</t>
  </si>
  <si>
    <t>438a27e0-2344-11ee-a2de-8532fd791e97</t>
  </si>
  <si>
    <t>f79c6630-23bc-11ee-afa6-f31c86351337</t>
  </si>
  <si>
    <t>1730fd00-23c5-11ee-afa6-f31c86351337</t>
  </si>
  <si>
    <t>0f630700-23cd-11ee-afa6-f31c86351337</t>
  </si>
  <si>
    <t>7d61bba0-23d4-11ee-afa6-f31c86351337</t>
  </si>
  <si>
    <t>edbc7390-23d9-11ee-afa6-f31c86351337</t>
  </si>
  <si>
    <t>e4381b00-23e1-11ee-afa6-f31c86351337</t>
  </si>
  <si>
    <t>5f51ff00-23eb-11ee-afa6-f31c86351337</t>
  </si>
  <si>
    <t>8a3edc50-23f1-11ee-afa6-f31c86351337</t>
  </si>
  <si>
    <t>3e464f30-23fc-11ee-afa6-f31c86351337</t>
  </si>
  <si>
    <t>aad658a0-2403-11ee-afa6-f31c86351337</t>
  </si>
  <si>
    <t>cc75b390-240b-11ee-afa6-f31c86351337</t>
  </si>
  <si>
    <t>d3fa3750-246d-11ee-a698-cd31ee91c1d9</t>
  </si>
  <si>
    <t>750f73d0-2473-11ee-a698-cd31ee91c1d9</t>
  </si>
  <si>
    <t>f2b0a650-2479-11ee-a698-cd31ee91c1d9</t>
  </si>
  <si>
    <t>94aa4f60-247f-11ee-a698-cd31ee91c1d9</t>
  </si>
  <si>
    <t>ed3352e0-2488-11ee-a698-cd31ee91c1d9</t>
  </si>
  <si>
    <t>3ecd1380-248d-11ee-a698-cd31ee91c1d9</t>
  </si>
  <si>
    <t>473a9fb0-2497-11ee-a698-cd31ee91c1d9</t>
  </si>
  <si>
    <t>ed3f5ed0-249e-11ee-a698-cd31ee91c1d9</t>
  </si>
  <si>
    <t>9d6284e0-24a4-11ee-a698-cd31ee91c1d9</t>
  </si>
  <si>
    <t>2fb93050-24aa-11ee-a698-cd31ee91c1d9</t>
  </si>
  <si>
    <t>da7e2180-24af-11ee-a698-cd31ee91c1d9</t>
  </si>
  <si>
    <t>0acb7da0-24b6-11ee-a698-cd31ee91c1d9</t>
  </si>
  <si>
    <t>fab83860-24bd-11ee-a698-cd31ee91c1d9</t>
  </si>
  <si>
    <t>d741c090-24c2-11ee-a698-cd31ee91c1d9</t>
  </si>
  <si>
    <t>80040e80-24c9-11ee-a698-cd31ee91c1d9</t>
  </si>
  <si>
    <t>07dc8720-24ce-11ee-a698-cd31ee91c1d9</t>
  </si>
  <si>
    <t>17114050-24d3-11ee-a698-cd31ee91c1d9</t>
  </si>
  <si>
    <t>ecc61c10-24de-11ee-a698-cd31ee91c1d9</t>
  </si>
  <si>
    <t>e8e9c810-24e5-11ee-a698-cd31ee91c1d9</t>
  </si>
  <si>
    <t>4849fe20-24ea-11ee-a698-cd31ee91c1d9</t>
  </si>
  <si>
    <t>8e952350-253f-11ee-a2e4-2dcbf6772fba</t>
  </si>
  <si>
    <t>c03fbaf0-2544-11ee-a2e4-2dcbf6772fba</t>
  </si>
  <si>
    <t>748ffe00-254c-11ee-a2e4-2dcbf6772fba</t>
  </si>
  <si>
    <t>70b3aa00-2553-11ee-a2e4-2dcbf6772fba</t>
  </si>
  <si>
    <t>af976b30-2558-11ee-a2e4-2dcbf6772fba</t>
  </si>
  <si>
    <t>639d2d30-255f-11ee-a2e4-2dcbf6772fba</t>
  </si>
  <si>
    <t>5a642af0-2566-11ee-a2e4-2dcbf6772fba</t>
  </si>
  <si>
    <t>07467350-256b-11ee-a2e4-2dcbf6772fba</t>
  </si>
  <si>
    <t>07bd13d0-2574-11ee-a2e4-2dcbf6772fba</t>
  </si>
  <si>
    <t>92c20ce0-257b-11ee-a2e4-2dcbf6772fba</t>
  </si>
  <si>
    <t>b25bbeb0-2581-11ee-a2e4-2dcbf6772fba</t>
  </si>
  <si>
    <t>577b6a70-2588-11ee-a2e4-2dcbf6772fba</t>
  </si>
  <si>
    <t>c5bd0990-2591-11ee-a2e4-2dcbf6772fba</t>
  </si>
  <si>
    <t>741dded0-259a-11ee-a2e4-2dcbf6772fba</t>
  </si>
  <si>
    <t>f3172740-25a0-11ee-a2e4-2dcbf6772fba</t>
  </si>
  <si>
    <t>9b316d60-25ff-11ee-a2cd-059481e51cdb</t>
  </si>
  <si>
    <t>ee2107c0-2608-11ee-a2cd-059481e51cdb</t>
  </si>
  <si>
    <t>08a88c60-2610-11ee-a2cd-059481e51cdb</t>
  </si>
  <si>
    <t>8ffd2040-261a-11ee-a2cd-059481e51cdb</t>
  </si>
  <si>
    <t>cd65fd10-2626-11ee-a2cd-059481e51cdb</t>
  </si>
  <si>
    <t>63043cf0-262d-11ee-a2cd-059481e51cdb</t>
  </si>
  <si>
    <t>cba34b30-2636-11ee-a2cd-059481e51cdb</t>
  </si>
  <si>
    <t>f182cb60-263f-11ee-a2cd-059481e51cdb</t>
  </si>
  <si>
    <t>eb553460-2646-11ee-a2cd-059481e51cdb</t>
  </si>
  <si>
    <t>868c99d0-264e-11ee-a2cd-059481e51cdb</t>
  </si>
  <si>
    <t>2f896340-2656-11ee-a2cd-059481e51cdb</t>
  </si>
  <si>
    <t>682e1000-265c-11ee-a2cd-059481e51cdb</t>
  </si>
  <si>
    <t>5d290050-2663-11ee-a2cd-059481e51cdb</t>
  </si>
  <si>
    <t>dd51d760-26d2-11ee-a034-8bb799eee94d</t>
  </si>
  <si>
    <t>3562d6a0-26da-11ee-a034-8bb799eee94d</t>
  </si>
  <si>
    <t>4a8ee580-26e1-11ee-a034-8bb799eee94d</t>
  </si>
  <si>
    <t>87a46bd0-26e5-11ee-a034-8bb799eee94d</t>
  </si>
  <si>
    <t>6c3bec50-26fa-11ee-a034-8bb799eee94d</t>
  </si>
  <si>
    <t>2abdac50-2704-11ee-a034-8bb799eee94d</t>
  </si>
  <si>
    <t>3d8afbf0-2711-11ee-a034-8bb799eee94d</t>
  </si>
  <si>
    <t>463788c0-2722-11ee-a034-8bb799eee94d</t>
  </si>
  <si>
    <t>725639e0-2729-11ee-a034-8bb799eee94d</t>
  </si>
  <si>
    <t>679f00d0-2798-11ee-91c9-7fc2342b572c</t>
  </si>
  <si>
    <t>7c17b9b0-27a9-11ee-91c9-7fc2342b572c</t>
  </si>
  <si>
    <t>8e0fc9e0-27b4-11ee-91c9-7fc2342b572c</t>
  </si>
  <si>
    <t>28cecd30-27cb-11ee-91c9-7fc2342b572c</t>
  </si>
  <si>
    <t>9ed9f7b0-27db-11ee-91c9-7fc2342b572c</t>
  </si>
  <si>
    <t>cb921f20-27e1-11ee-91c9-7fc2342b572c</t>
  </si>
  <si>
    <t>efef1040-27e5-11ee-91c9-7fc2342b572c</t>
  </si>
  <si>
    <t>c76b2960-27ef-11ee-91c9-7fc2342b572c</t>
  </si>
  <si>
    <t>d86d3da0-27f6-11ee-91c9-7fc2342b572c</t>
  </si>
  <si>
    <t>4dcfc280-27fb-11ee-91c9-7fc2342b572c</t>
  </si>
  <si>
    <t>0e6319e0-2804-11ee-91c9-7fc2342b572c</t>
  </si>
  <si>
    <t>9861d870-2809-11ee-91c9-7fc2342b572c</t>
  </si>
  <si>
    <t>9643fae0-28a0-11ee-a610-710745b0e16b</t>
  </si>
  <si>
    <t>91583d40-28a8-11ee-a610-710745b0e16b</t>
  </si>
  <si>
    <t>31a56ed0-28ae-11ee-a610-710745b0e16b</t>
  </si>
  <si>
    <t>4c41d6d0-28bc-11ee-a610-710745b0e16b</t>
  </si>
  <si>
    <t>3e2bd970-28ca-11ee-a610-710745b0e16b</t>
  </si>
  <si>
    <t>9583aff0-28d3-11ee-a610-710745b0e16b</t>
  </si>
  <si>
    <t>edd37a50-29f5-11ee-97d5-b13ec78ac8a3</t>
  </si>
  <si>
    <t>73a71e10-2a01-11ee-97d5-b13ec78ac8a3</t>
  </si>
  <si>
    <t>e230a630-2a0b-11ee-97d5-b13ec78ac8a3</t>
  </si>
  <si>
    <t>795e8d20-2a1a-11ee-97d5-b13ec78ac8a3</t>
  </si>
  <si>
    <t>1f1d4290-2a22-11ee-97d5-b13ec78ac8a3</t>
  </si>
  <si>
    <t>4ce4afc0-2a2b-11ee-97d5-b13ec78ac8a3</t>
  </si>
  <si>
    <t>1d075280-2a30-11ee-97d5-b13ec78ac8a3</t>
  </si>
  <si>
    <t>fd763c20-2a3d-11ee-97d5-b13ec78ac8a3</t>
  </si>
  <si>
    <t>597b3c70-2a46-11ee-97d5-b13ec78ac8a3</t>
  </si>
  <si>
    <t>ad56a420-2a54-11ee-97d5-b13ec78ac8a3</t>
  </si>
  <si>
    <t>d29a5650-2a59-11ee-97d5-b13ec78ac8a3</t>
  </si>
  <si>
    <t>1e4e7d70-2abd-11ee-843c-f5fac7cde77c</t>
  </si>
  <si>
    <t>6d057730-2ac6-11ee-843c-f5fac7cde77c</t>
  </si>
  <si>
    <t>236d08e0-2acb-11ee-843c-f5fac7cde77c</t>
  </si>
  <si>
    <t>db06dc30-2ad3-11ee-843c-f5fac7cde77c</t>
  </si>
  <si>
    <t>5c5fad90-2adc-11ee-843c-f5fac7cde77c</t>
  </si>
  <si>
    <t>0721ad30-2b11-11ee-843c-f5fac7cde77c</t>
  </si>
  <si>
    <t>87b5a7f0-2b19-11ee-843c-f5fac7cde77c</t>
  </si>
  <si>
    <t>ec73b2d0-2b1f-11ee-843c-f5fac7cde77c</t>
  </si>
  <si>
    <t>2d5a77e0-21cd-11ee-83aa-a97ebda4bf1f</t>
  </si>
  <si>
    <t>aff8c8f0-21d2-11ee-83aa-a97ebda4bf1f</t>
  </si>
  <si>
    <t>b9e5a120-21e7-11ee-83aa-a97ebda4bf1f</t>
  </si>
  <si>
    <t>90a09050-21f5-11ee-83aa-a97ebda4bf1f</t>
  </si>
  <si>
    <t>23b69eb0-21fc-11ee-83aa-a97ebda4bf1f</t>
  </si>
  <si>
    <t>87776b90-2207-11ee-83aa-a97ebda4bf1f</t>
  </si>
  <si>
    <t>3e3ed3b0-2210-11ee-83aa-a97ebda4bf1f</t>
  </si>
  <si>
    <t>59f768d0-2218-11ee-83aa-a97ebda4bf1f</t>
  </si>
  <si>
    <t>310c8a20-221f-11ee-83aa-a97ebda4bf1f</t>
  </si>
  <si>
    <t>f6ab2220-222c-11ee-83aa-a97ebda4bf1f</t>
  </si>
  <si>
    <t>6a580290-2243-11ee-83aa-a97ebda4bf1f</t>
  </si>
  <si>
    <t>3d653030-224a-11ee-83aa-a97ebda4bf1f</t>
  </si>
  <si>
    <t>76221550-224f-11ee-83aa-a97ebda4bf1f</t>
  </si>
  <si>
    <t>1dd1d310-225c-11ee-83aa-a97ebda4bf1f</t>
  </si>
  <si>
    <t>867cd4f0-2275-11ee-83aa-a97ebda4bf1f</t>
  </si>
  <si>
    <t>74229900-2295-11ee-83aa-a97ebda4bf1f</t>
  </si>
  <si>
    <t>9c5de050-229a-11ee-83aa-a97ebda4bf1f</t>
  </si>
  <si>
    <t>98ce1b20-22a0-11ee-83aa-a97ebda4bf1f</t>
  </si>
  <si>
    <t>bd3925f0-22b8-11ee-83aa-a97ebda4bf1f</t>
  </si>
  <si>
    <t>6dae9ba0-22c7-11ee-83aa-a97ebda4bf1f</t>
  </si>
  <si>
    <t>008f76f0-22d3-11ee-83aa-a97ebda4bf1f</t>
  </si>
  <si>
    <t>247060a0-22df-11ee-83aa-a97ebda4bf1f</t>
  </si>
  <si>
    <t>c77da2f0-22ec-11ee-83aa-a97ebda4bf1f</t>
  </si>
  <si>
    <t>cf4d8730-2304-11ee-83aa-a97ebda4bf1f</t>
  </si>
  <si>
    <t>c0a8cc70-2314-11ee-83aa-a97ebda4bf1f</t>
  </si>
  <si>
    <t>c8db8e00-2328-11ee-83aa-a97ebda4bf1f</t>
  </si>
  <si>
    <t>d47ffe10-2339-11ee-83aa-a97ebda4bf1f</t>
  </si>
  <si>
    <t>1c19df70-2344-11ee-83aa-a97ebda4bf1f</t>
  </si>
  <si>
    <t>11273590-2367-11ee-83aa-a97ebda4bf1f</t>
  </si>
  <si>
    <t>412a73e0-236e-11ee-83aa-a97ebda4bf1f</t>
  </si>
  <si>
    <t>c742f030-2376-11ee-83aa-a97ebda4bf1f</t>
  </si>
  <si>
    <t>2a0bf6f0-237f-11ee-83aa-a97ebda4bf1f</t>
  </si>
  <si>
    <t>d20a0320-2388-11ee-83aa-a97ebda4bf1f</t>
  </si>
  <si>
    <t>21fc8c50-23a1-11ee-83aa-a97ebda4bf1f</t>
  </si>
  <si>
    <t>4c9ec180-23a6-11ee-83aa-a97ebda4bf1f</t>
  </si>
  <si>
    <t>b5a296f0-23ad-11ee-83aa-a97ebda4bf1f</t>
  </si>
  <si>
    <t>305861f0-23b7-11ee-83aa-a97ebda4bf1f</t>
  </si>
  <si>
    <t>90e88fb0-23bf-11ee-83aa-a97ebda4bf1f</t>
  </si>
  <si>
    <t>91844ef0-23c9-11ee-83aa-a97ebda4bf1f</t>
  </si>
  <si>
    <t>01414040-23cf-11ee-83aa-a97ebda4bf1f</t>
  </si>
  <si>
    <t>af877e10-23d6-11ee-83aa-a97ebda4bf1f</t>
  </si>
  <si>
    <t>d4a674c0-23dc-11ee-83aa-a97ebda4bf1f</t>
  </si>
  <si>
    <t>0caf68a0-23e1-11ee-83aa-a97ebda4bf1f</t>
  </si>
  <si>
    <t>6404e010-23e8-11ee-83aa-a97ebda4bf1f</t>
  </si>
  <si>
    <t>ef2c7c50-23ef-11ee-83aa-a97ebda4bf1f</t>
  </si>
  <si>
    <t>e94125d0-23f3-11ee-83aa-a97ebda4bf1f</t>
  </si>
  <si>
    <t>3a5fed40-23fc-11ee-83aa-a97ebda4bf1f</t>
  </si>
  <si>
    <t>70f01940-23ff-11ee-83aa-a97ebda4bf1f</t>
  </si>
  <si>
    <t>fb820530-2406-11ee-83aa-a97ebda4bf1f</t>
  </si>
  <si>
    <t>f58c4e70-240a-11ee-83aa-a97ebda4bf1f</t>
  </si>
  <si>
    <t>79e5b270-240f-11ee-83aa-a97ebda4bf1f</t>
  </si>
  <si>
    <t>58648580-2415-11ee-83aa-a97ebda4bf1f</t>
  </si>
  <si>
    <t>b36feaf0-241a-11ee-83aa-a97ebda4bf1f</t>
  </si>
  <si>
    <t>ec5f3fd0-2421-11ee-83aa-a97ebda4bf1f</t>
  </si>
  <si>
    <t>9db3b9f0-2427-11ee-83aa-a97ebda4bf1f</t>
  </si>
  <si>
    <t>82a0b5d0-242e-11ee-83aa-a97ebda4bf1f</t>
  </si>
  <si>
    <t>622bd350-2435-11ee-83aa-a97ebda4bf1f</t>
  </si>
  <si>
    <t>99eb7310-2442-11ee-83aa-a97ebda4bf1f</t>
  </si>
  <si>
    <t>e03a0200-2447-11ee-83aa-a97ebda4bf1f</t>
  </si>
  <si>
    <t>15e8aad0-244f-11ee-83aa-a97ebda4bf1f</t>
  </si>
  <si>
    <t>16445b30-2456-11ee-83aa-a97ebda4bf1f</t>
  </si>
  <si>
    <t>a7feffa0-2459-11ee-83aa-a97ebda4bf1f</t>
  </si>
  <si>
    <t>109ef510-245f-11ee-83aa-a97ebda4bf1f</t>
  </si>
  <si>
    <t>b00ff770-2464-11ee-83aa-a97ebda4bf1f</t>
  </si>
  <si>
    <t>c23b9460-2467-11ee-83aa-a97ebda4bf1f</t>
  </si>
  <si>
    <t>7c929dd0-246e-11ee-83aa-a97ebda4bf1f</t>
  </si>
  <si>
    <t>01296e10-2475-11ee-83aa-a97ebda4bf1f</t>
  </si>
  <si>
    <t>0d14d330-247b-11ee-83aa-a97ebda4bf1f</t>
  </si>
  <si>
    <t>8bca2d70-2484-11ee-83aa-a97ebda4bf1f</t>
  </si>
  <si>
    <t>db371870-2487-11ee-83aa-a97ebda4bf1f</t>
  </si>
  <si>
    <t>a00d3480-248e-11ee-83aa-a97ebda4bf1f</t>
  </si>
  <si>
    <t>4156dc90-2496-11ee-83aa-a97ebda4bf1f</t>
  </si>
  <si>
    <t>b67d7470-249b-11ee-83aa-a97ebda4bf1f</t>
  </si>
  <si>
    <t>5047e3c0-24a0-11ee-83aa-a97ebda4bf1f</t>
  </si>
  <si>
    <t>4b2fed60-24a5-11ee-83aa-a97ebda4bf1f</t>
  </si>
  <si>
    <t>1a5c1ad0-24ad-11ee-83aa-a97ebda4bf1f</t>
  </si>
  <si>
    <t>f60aa4f0-24b4-11ee-83aa-a97ebda4bf1f</t>
  </si>
  <si>
    <t>08845db0-24bf-11ee-83aa-a97ebda4bf1f</t>
  </si>
  <si>
    <t>cb763b50-24c3-11ee-83aa-a97ebda4bf1f</t>
  </si>
  <si>
    <t>0926fdf0-24cd-11ee-83aa-a97ebda4bf1f</t>
  </si>
  <si>
    <t>4c8c4510-24d1-11ee-83aa-a97ebda4bf1f</t>
  </si>
  <si>
    <t>d725b270-24d5-11ee-83aa-a97ebda4bf1f</t>
  </si>
  <si>
    <t>db497940-24da-11ee-83aa-a97ebda4bf1f</t>
  </si>
  <si>
    <t>630799d0-24e4-11ee-83aa-a97ebda4bf1f</t>
  </si>
  <si>
    <t>887a19a0-24e8-11ee-83aa-a97ebda4bf1f</t>
  </si>
  <si>
    <t>0e9c4d00-0770-11ee-9a83-19f5debdc37b</t>
  </si>
  <si>
    <t>1cd9b870-0776-11ee-9a83-19f5debdc37b</t>
  </si>
  <si>
    <t>61d12660-077c-11ee-9a83-19f5debdc37b</t>
  </si>
  <si>
    <t>dacd5420-077d-11ee-9a83-19f5debdc37b</t>
  </si>
  <si>
    <t>36b6b2f0-0782-11ee-9a83-19f5debdc37b</t>
  </si>
  <si>
    <t>5320b000-0785-11ee-9a83-19f5debdc37b</t>
  </si>
  <si>
    <t>397c2570-078b-11ee-9a83-19f5debdc37b</t>
  </si>
  <si>
    <t>858c29d0-078e-11ee-9a83-19f5debdc37b</t>
  </si>
  <si>
    <t>7ef81030-0792-11ee-9a83-19f5debdc37b</t>
  </si>
  <si>
    <t>83297d80-0795-11ee-9a83-19f5debdc37b</t>
  </si>
  <si>
    <t>b332be00-0796-11ee-9a83-19f5debdc37b</t>
  </si>
  <si>
    <t>7378bce0-0798-11ee-9a83-19f5debdc37b</t>
  </si>
  <si>
    <t>1737e080-079a-11ee-9a83-19f5debdc37b</t>
  </si>
  <si>
    <t>a9ae9e70-079c-11ee-9a83-19f5debdc37b</t>
  </si>
  <si>
    <t>b1873740-079e-11ee-9a83-19f5debdc37b</t>
  </si>
  <si>
    <t>72d5fe20-07a1-11ee-9a83-19f5debdc37b</t>
  </si>
  <si>
    <t>b6b97d50-07a2-11ee-9a83-19f5debdc37b</t>
  </si>
  <si>
    <t>64b8c3e0-07a6-11ee-9a83-19f5debdc37b</t>
  </si>
  <si>
    <t>0b862700-07aa-11ee-9a83-19f5debdc37b</t>
  </si>
  <si>
    <t>bcbc55a0-07ad-11ee-9a83-19f5debdc37b</t>
  </si>
  <si>
    <t>ce6ac8c0-07af-11ee-9a83-19f5debdc37b</t>
  </si>
  <si>
    <t>92519fa0-07b2-11ee-9a83-19f5debdc37b</t>
  </si>
  <si>
    <t>a2e4d430-07b3-11ee-9a83-19f5debdc37b</t>
  </si>
  <si>
    <t>1cefb2d0-07b5-11ee-9a83-19f5debdc37b</t>
  </si>
  <si>
    <t>c4ca0400-07b6-11ee-9a83-19f5debdc37b</t>
  </si>
  <si>
    <t>3dc658d0-07b8-11ee-9a83-19f5debdc37b</t>
  </si>
  <si>
    <t>5a4e2900-07b9-11ee-9a83-19f5debdc37b</t>
  </si>
  <si>
    <t>dbc29ce0-07ba-11ee-9a83-19f5debdc37b</t>
  </si>
  <si>
    <t>3a5e5c60-07bd-11ee-9a83-19f5debdc37b</t>
  </si>
  <si>
    <t>f8b42400-07be-11ee-9a83-19f5debdc37b</t>
  </si>
  <si>
    <t>0a952360-07c2-11ee-9a83-19f5debdc37b</t>
  </si>
  <si>
    <t>335c1ad0-07c5-11ee-9a83-19f5debdc37b</t>
  </si>
  <si>
    <t>ff66cbb0-07c6-11ee-9a83-19f5debdc37b</t>
  </si>
  <si>
    <t>a2ac5d10-07c9-11ee-9a83-19f5debdc37b</t>
  </si>
  <si>
    <t>48c18930-07cc-11ee-9a83-19f5debdc37b</t>
  </si>
  <si>
    <t>a6474f60-07cf-11ee-9a83-19f5debdc37b</t>
  </si>
  <si>
    <t>0b7a34c0-07d9-11ee-987b-99c000724219</t>
  </si>
  <si>
    <t>d1aacd30-07de-11ee-987b-99c000724219</t>
  </si>
  <si>
    <t>62e28930-07e6-11ee-987b-99c000724219</t>
  </si>
  <si>
    <t>3137d0e0-07e9-11ee-987b-99c000724219</t>
  </si>
  <si>
    <t>4c196e50-07ee-11ee-987b-99c000724219</t>
  </si>
  <si>
    <t>c46e9bc0-07f1-11ee-987b-99c000724219</t>
  </si>
  <si>
    <t>6de126e0-07f8-11ee-987b-99c000724219</t>
  </si>
  <si>
    <t>48ccabf0-07fc-11ee-987b-99c000724219</t>
  </si>
  <si>
    <t>167a9aa0-0800-11ee-987b-99c000724219</t>
  </si>
  <si>
    <t>e7c16780-0803-11ee-987b-99c000724219</t>
  </si>
  <si>
    <t>2f501460-0805-11ee-987b-99c000724219</t>
  </si>
  <si>
    <t>83671160-0806-11ee-987b-99c000724219</t>
  </si>
  <si>
    <t>53146470-0808-11ee-987b-99c000724219</t>
  </si>
  <si>
    <t>4d0ff290-080a-11ee-987b-99c000724219</t>
  </si>
  <si>
    <t>d516bc40-0810-11ee-987b-99c000724219</t>
  </si>
  <si>
    <t>a3475a60-0812-11ee-987b-99c000724219</t>
  </si>
  <si>
    <t>62bbd870-0814-11ee-987b-99c000724219</t>
  </si>
  <si>
    <t>7be003e0-0818-11ee-987b-99c000724219</t>
  </si>
  <si>
    <t>9bcc49e0-081b-11ee-987b-99c000724219</t>
  </si>
  <si>
    <t>e4de45f0-081d-11ee-987b-99c000724219</t>
  </si>
  <si>
    <t>80c58cb0-0820-11ee-987b-99c000724219</t>
  </si>
  <si>
    <t>2bd7e1f0-0823-11ee-987b-99c000724219</t>
  </si>
  <si>
    <t>45993f20-0824-11ee-987b-99c000724219</t>
  </si>
  <si>
    <t>c702b680-0825-11ee-987b-99c000724219</t>
  </si>
  <si>
    <t>844c6550-0827-11ee-987b-99c000724219</t>
  </si>
  <si>
    <t>7a17a550-082b-11ee-987b-99c000724219</t>
  </si>
  <si>
    <t>9df50d90-082c-11ee-987b-99c000724219</t>
  </si>
  <si>
    <t>4c6bb8f0-082e-11ee-987b-99c000724219</t>
  </si>
  <si>
    <t>ab184150-0830-11ee-987b-99c000724219</t>
  </si>
  <si>
    <t>24414b70-0832-11ee-987b-99c000724219</t>
  </si>
  <si>
    <t>74915ff0-0834-11ee-987b-99c000724219</t>
  </si>
  <si>
    <t>8d47a3d0-0837-11ee-987b-99c000724219</t>
  </si>
  <si>
    <t>cf33f170-0839-11ee-987b-99c000724219</t>
  </si>
  <si>
    <t>eb91d600-083b-11ee-987b-99c000724219</t>
  </si>
  <si>
    <t>d511b260-0840-11ee-987b-99c000724219</t>
  </si>
  <si>
    <t>469a7f80-0845-11ee-987b-99c000724219</t>
  </si>
  <si>
    <t>cc2e3a50-076f-11ee-8da6-375afd979f27</t>
  </si>
  <si>
    <t>9ac4da50-077e-11ee-8da6-375afd979f27</t>
  </si>
  <si>
    <t>5e490ce0-0783-11ee-8da6-375afd979f27</t>
  </si>
  <si>
    <t>4aad8810-0787-11ee-8da6-375afd979f27</t>
  </si>
  <si>
    <t>0f67f0b0-078c-11ee-8da6-375afd979f27</t>
  </si>
  <si>
    <t>4fdc2e30-0797-11ee-8da6-375afd979f27</t>
  </si>
  <si>
    <t>1c2c8be0-079f-11ee-8da6-375afd979f27</t>
  </si>
  <si>
    <t>0f62c4f0-07aa-11ee-8da6-375afd979f27</t>
  </si>
  <si>
    <t>2e4a7290-07b5-11ee-8da6-375afd979f27</t>
  </si>
  <si>
    <t>1c3b9cb0-07c3-11ee-8da6-375afd979f27</t>
  </si>
  <si>
    <t>7b039350-0828-11ee-ba11-f789fcb0194c</t>
  </si>
  <si>
    <t>7aa3a5c0-0838-11ee-ba11-f789fcb0194c</t>
  </si>
  <si>
    <t>21394b80-0846-11ee-ba11-f789fcb0194c</t>
  </si>
  <si>
    <t>1686eb80-0854-11ee-ba11-f789fcb0194c</t>
  </si>
  <si>
    <t>15586ee0-085a-11ee-ba11-f789fcb0194c</t>
  </si>
  <si>
    <t>8f3e9fc0-0861-11ee-ba11-f789fcb0194c</t>
  </si>
  <si>
    <t>66fda790-0866-11ee-ba11-f789fcb0194c</t>
  </si>
  <si>
    <t>8b187f40-086d-11ee-ba11-f789fcb0194c</t>
  </si>
  <si>
    <t>52c9b9b0-0872-11ee-ba11-f789fcb0194c</t>
  </si>
  <si>
    <t>d55613f0-0878-11ee-ba11-f789fcb0194c</t>
  </si>
  <si>
    <t>f91f7e00-0884-11ee-ba11-f789fcb0194c</t>
  </si>
  <si>
    <t>a8f73bd0-088d-11ee-ba11-f789fcb0194c</t>
  </si>
  <si>
    <t>e36416b0-0899-11ee-ba11-f789fcb0194c</t>
  </si>
  <si>
    <t>20d3b530-08f1-11ee-8034-1d216189c500</t>
  </si>
  <si>
    <t>4a7209c0-0908-11ee-8812-a306dccf68b4</t>
  </si>
  <si>
    <t>d5bc68e0-0912-11ee-8812-a306dccf68b4</t>
  </si>
  <si>
    <t>5a1991e0-0921-11ee-8812-a306dccf68b4</t>
  </si>
  <si>
    <t>fdc01c10-0930-11ee-8812-a306dccf68b4</t>
  </si>
  <si>
    <t>619d26b0-0940-11ee-8812-a306dccf68b4</t>
  </si>
  <si>
    <t>251d3a90-0945-11ee-8812-a306dccf68b4</t>
  </si>
  <si>
    <t>b9d47d30-0948-11ee-8812-a306dccf68b4</t>
  </si>
  <si>
    <t>59967e60-0951-11ee-8812-a306dccf68b4</t>
  </si>
  <si>
    <t>a69aa0e0-0a7f-11ee-886a-a3e78b62152c</t>
  </si>
  <si>
    <t>cb8090c0-0a86-11ee-886a-a3e78b62152c</t>
  </si>
  <si>
    <t>ffb24ed0-0a93-11ee-886a-a3e78b62152c</t>
  </si>
  <si>
    <t>5d461760-0a9a-11ee-886a-a3e78b62152c</t>
  </si>
  <si>
    <t>8c5f4b30-0a9e-11ee-886a-a3e78b62152c</t>
  </si>
  <si>
    <t>f16a6f30-0aa5-11ee-886a-a3e78b62152c</t>
  </si>
  <si>
    <t>84582a80-0aab-11ee-886a-a3e78b62152c</t>
  </si>
  <si>
    <t>5297f190-0ab2-11ee-886a-a3e78b62152c</t>
  </si>
  <si>
    <t>5f6a9ee0-0ab7-11ee-886a-a3e78b62152c</t>
  </si>
  <si>
    <t>cbebacd0-0ac1-11ee-886a-a3e78b62152c</t>
  </si>
  <si>
    <t>cf349210-0ac8-11ee-886a-a3e78b62152c</t>
  </si>
  <si>
    <t>c0510520-0ace-11ee-886a-a3e78b62152c</t>
  </si>
  <si>
    <t>2e9a5eb0-0ad3-11ee-886a-a3e78b62152c</t>
  </si>
  <si>
    <t>db761760-0ad7-11ee-886a-a3e78b62152c</t>
  </si>
  <si>
    <t>cd74f0a0-0adc-11ee-886a-a3e78b62152c</t>
  </si>
  <si>
    <t>b84d9120-0adf-11ee-886a-a3e78b62152c</t>
  </si>
  <si>
    <t>7aa06fa0-0ae4-11ee-886a-a3e78b62152c</t>
  </si>
  <si>
    <t>775ca030-0aed-11ee-886a-a3e78b62152c</t>
  </si>
  <si>
    <t>3a48b170-0af2-11ee-886a-a3e78b62152c</t>
  </si>
  <si>
    <t>f8ac3a70-0b50-11ee-a02d-f1095a4d15bb</t>
  </si>
  <si>
    <t>64ff0940-0b57-11ee-a02d-f1095a4d15bb</t>
  </si>
  <si>
    <t>bf9369f0-0b5c-11ee-a02d-f1095a4d15bb</t>
  </si>
  <si>
    <t>e3a61630-0b61-11ee-a02d-f1095a4d15bb</t>
  </si>
  <si>
    <t>6085c2e0-0b67-11ee-a02d-f1095a4d15bb</t>
  </si>
  <si>
    <t>d9893f70-0b6f-11ee-a02d-f1095a4d15bb</t>
  </si>
  <si>
    <t>13f73db0-0b7a-11ee-a02d-f1095a4d15bb</t>
  </si>
  <si>
    <t>773c71f0-0b85-11ee-a02d-f1095a4d15bb</t>
  </si>
  <si>
    <t>4fe8f190-0b8b-11ee-a02d-f1095a4d15bb</t>
  </si>
  <si>
    <t>427ffe10-0b8e-11ee-a02d-f1095a4d15bb</t>
  </si>
  <si>
    <t>8462bfb0-0b99-11ee-a02d-f1095a4d15bb</t>
  </si>
  <si>
    <t>afeae0b0-0ba1-11ee-a02d-f1095a4d15bb</t>
  </si>
  <si>
    <t>6a31ef20-0ba9-11ee-a02d-f1095a4d15bb</t>
  </si>
  <si>
    <t>4c1ad2c0-0bb0-11ee-a02d-f1095a4d15bb</t>
  </si>
  <si>
    <t>c6e71350-0bb6-11ee-a02d-f1095a4d15bb</t>
  </si>
  <si>
    <t>1aab7520-0c08-11ee-8f5f-6fb926b9c228</t>
  </si>
  <si>
    <t>cc3dabd0-0c1e-11ee-aec8-2dbb972b2318</t>
  </si>
  <si>
    <t>1e4c8a80-0c25-11ee-aec8-2dbb972b2318</t>
  </si>
  <si>
    <t>3eca9e50-0c2a-11ee-aec8-2dbb972b2318</t>
  </si>
  <si>
    <t>37a4cc00-0c2e-11ee-aec8-2dbb972b2318</t>
  </si>
  <si>
    <t>ce75fbb0-0c36-11ee-aec8-2dbb972b2318</t>
  </si>
  <si>
    <t>d4bcf3d0-0c3f-11ee-aec8-2dbb972b2318</t>
  </si>
  <si>
    <t>806bd730-0c42-11ee-aec8-2dbb972b2318</t>
  </si>
  <si>
    <t>10a79c70-0c49-11ee-aec8-2dbb972b2318</t>
  </si>
  <si>
    <t>82a6f920-0c4d-11ee-aec8-2dbb972b2318</t>
  </si>
  <si>
    <t>654fd8c0-0c51-11ee-aec8-2dbb972b2318</t>
  </si>
  <si>
    <t>97fb8220-0c55-11ee-aec8-2dbb972b2318</t>
  </si>
  <si>
    <t>b4503ac0-0c5e-11ee-aec8-2dbb972b2318</t>
  </si>
  <si>
    <t>414daba0-0c6a-11ee-aec8-2dbb972b2318</t>
  </si>
  <si>
    <t>bc6557a0-0c71-11ee-aec8-2dbb972b2318</t>
  </si>
  <si>
    <t>e0c41d80-0c75-11ee-aec8-2dbb972b2318</t>
  </si>
  <si>
    <t>90e7dfd0-0c7b-11ee-aec8-2dbb972b2318</t>
  </si>
  <si>
    <t>eecbb9a0-0c80-11ee-aec8-2dbb972b2318</t>
  </si>
  <si>
    <t>b564fe50-0cdb-11ee-af00-07a1137463b2</t>
  </si>
  <si>
    <t>58e13670-0ce6-11ee-af00-07a1137463b2</t>
  </si>
  <si>
    <t>787dadc0-0cf4-11ee-af00-07a1137463b2</t>
  </si>
  <si>
    <t>c26e1760-0d00-11ee-af00-07a1137463b2</t>
  </si>
  <si>
    <t>5a739cd0-0d13-11ee-af00-07a1137463b2</t>
  </si>
  <si>
    <t>1471f030-0d20-11ee-af00-07a1137463b2</t>
  </si>
  <si>
    <t>5efa0920-0d30-11ee-af00-07a1137463b2</t>
  </si>
  <si>
    <t>ad648600-0d38-11ee-af00-07a1137463b2</t>
  </si>
  <si>
    <t>a474fdf0-0d41-11ee-af00-07a1137463b2</t>
  </si>
  <si>
    <t>02f04ae0-0d49-11ee-af00-07a1137463b2</t>
  </si>
  <si>
    <t>186c0e20-0d55-11ee-af00-07a1137463b2</t>
  </si>
  <si>
    <t>1d0d7ab0-0dad-11ee-8181-5d9b346cb93c</t>
  </si>
  <si>
    <t>a18add40-0db8-11ee-8181-5d9b346cb93c</t>
  </si>
  <si>
    <t>7c9ca370-0dc6-11ee-8181-5d9b346cb93c</t>
  </si>
  <si>
    <t>ae3e0f20-0dd2-11ee-8181-5d9b346cb93c</t>
  </si>
  <si>
    <t>da88b570-0ddd-11ee-8181-5d9b346cb93c</t>
  </si>
  <si>
    <t>df0936b0-0dec-11ee-8181-5d9b346cb93c</t>
  </si>
  <si>
    <t>45938e60-0df9-11ee-8181-5d9b346cb93c</t>
  </si>
  <si>
    <t>ab84b020-0e01-11ee-8181-5d9b346cb93c</t>
  </si>
  <si>
    <t>923a62d0-0e70-11ee-9cb2-d9138aecbc54</t>
  </si>
  <si>
    <t>73bdd770-0e83-11ee-9cb2-d9138aecbc54</t>
  </si>
  <si>
    <t>7626a6d0-0e93-11ee-9cb2-d9138aecbc54</t>
  </si>
  <si>
    <t>c73d2220-0ea1-11ee-9cb2-d9138aecbc54</t>
  </si>
  <si>
    <t>2e14dde0-0eab-11ee-9cb2-d9138aecbc54</t>
  </si>
  <si>
    <t>f232f7c0-0eb5-11ee-9cb2-d9138aecbc54</t>
  </si>
  <si>
    <t>4d1edf90-0ec1-11ee-9cb2-d9138aecbc54</t>
  </si>
  <si>
    <t>22389eb0-0ecb-11ee-9cb2-d9138aecbc54</t>
  </si>
  <si>
    <t>1a787c00-0f2e-11ee-8e50-3d434acc0889</t>
  </si>
  <si>
    <t>26e3f020-0f40-11ee-8e50-3d434acc0889</t>
  </si>
  <si>
    <t>bb0af850-0f51-11ee-8e50-3d434acc0889</t>
  </si>
  <si>
    <t>c23902d0-0f5f-11ee-8e50-3d434acc0889</t>
  </si>
  <si>
    <t>5612b8e0-0f72-11ee-8e50-3d434acc0889</t>
  </si>
  <si>
    <t>35051f30-0f81-11ee-8e50-3d434acc0889</t>
  </si>
  <si>
    <t>a69b31c0-0f90-11ee-8e50-3d434acc0889</t>
  </si>
  <si>
    <t>04aa03d0-0ff1-11ee-9267-019c6fe0b3ff</t>
  </si>
  <si>
    <t>58a6d960-1003-11ee-9267-019c6fe0b3ff</t>
  </si>
  <si>
    <t>4b913500-1011-11ee-9267-019c6fe0b3ff</t>
  </si>
  <si>
    <t>c06a7df0-101b-11ee-9267-019c6fe0b3ff</t>
  </si>
  <si>
    <t>07f35a40-1024-11ee-9267-019c6fe0b3ff</t>
  </si>
  <si>
    <t>baca7890-1030-11ee-9267-019c6fe0b3ff</t>
  </si>
  <si>
    <t>0e8ec810-103a-11ee-9267-019c6fe0b3ff</t>
  </si>
  <si>
    <t>78ab6e40-1046-11ee-9267-019c6fe0b3ff</t>
  </si>
  <si>
    <t>3722d130-1054-11ee-9267-019c6fe0b3ff</t>
  </si>
  <si>
    <t>68edc870-1061-11ee-9267-019c6fe0b3ff</t>
  </si>
  <si>
    <t>c7221d20-106f-11ee-9267-019c6fe0b3ff</t>
  </si>
  <si>
    <t>5c7809c0-10c0-11ee-bd1b-cf0729950668</t>
  </si>
  <si>
    <t>2ab48dc0-10cd-11ee-bd1b-cf0729950668</t>
  </si>
  <si>
    <t>6dc6a7a0-10d8-11ee-bd1b-cf0729950668</t>
  </si>
  <si>
    <t>d668ed60-10e5-11ee-bd1b-cf0729950668</t>
  </si>
  <si>
    <t>86df9860-10f0-11ee-bd1b-cf0729950668</t>
  </si>
  <si>
    <t>3702afb0-10fc-11ee-bd1b-cf0729950668</t>
  </si>
  <si>
    <t>19417a80-110e-11ee-bd1b-cf0729950668</t>
  </si>
  <si>
    <t>83f8b630-111e-11ee-bd1b-cf0729950668</t>
  </si>
  <si>
    <t>320d5880-112d-11ee-bd1b-cf0729950668</t>
  </si>
  <si>
    <t>d1346e10-1189-11ee-bf30-c732a706dd2e</t>
  </si>
  <si>
    <t>dd9c4010-1198-11ee-bf30-c732a706dd2e</t>
  </si>
  <si>
    <t>548e52b0-11aa-11ee-bf30-c732a706dd2e</t>
  </si>
  <si>
    <t>b8675f50-11b1-11ee-bf30-c732a706dd2e</t>
  </si>
  <si>
    <t>32050e20-11bc-11ee-bf30-c732a706dd2e</t>
  </si>
  <si>
    <t>12bdc440-11c5-11ee-bf30-c732a706dd2e</t>
  </si>
  <si>
    <t>4c480eb0-11ce-11ee-bf30-c732a706dd2e</t>
  </si>
  <si>
    <t>9f25c430-11d6-11ee-bf30-c732a706dd2e</t>
  </si>
  <si>
    <t>e107e990-11e1-11ee-bf30-c732a706dd2e</t>
  </si>
  <si>
    <t>d0abb040-11f0-11ee-bf30-c732a706dd2e</t>
  </si>
  <si>
    <t>4b2cea30-125c-11ee-a0ee-859f61d2402b</t>
  </si>
  <si>
    <t>6af0e6b0-126a-11ee-a0ee-859f61d2402b</t>
  </si>
  <si>
    <t>7d241930-1277-11ee-a0ee-859f61d2402b</t>
  </si>
  <si>
    <t>73072d50-1283-11ee-a0ee-859f61d2402b</t>
  </si>
  <si>
    <t>cc293fb0-1290-11ee-a0ee-859f61d2402b</t>
  </si>
  <si>
    <t>b10f72e0-1299-11ee-a0ee-859f61d2402b</t>
  </si>
  <si>
    <t>12d52880-12a4-11ee-a0ee-859f61d2402b</t>
  </si>
  <si>
    <t>d65c2090-12b0-11ee-a0ee-859f61d2402b</t>
  </si>
  <si>
    <t>1f189ae0-12b9-11ee-a0ee-859f61d2402b</t>
  </si>
  <si>
    <t>066004b0-12c4-11ee-a0ee-859f61d2402b</t>
  </si>
  <si>
    <t>dbf7d660-132e-11ee-8ff5-4d1fa59552d3</t>
  </si>
  <si>
    <t>e64c7210-1338-11ee-8ff5-4d1fa59552d3</t>
  </si>
  <si>
    <t>0a419950-1340-11ee-8ff5-4d1fa59552d3</t>
  </si>
  <si>
    <t>531b9bd0-134a-11ee-8ff5-4d1fa59552d3</t>
  </si>
  <si>
    <t>9035fcc0-1351-11ee-8ff5-4d1fa59552d3</t>
  </si>
  <si>
    <t>5b307c80-135b-11ee-8ff5-4d1fa59552d3</t>
  </si>
  <si>
    <t>90c0f650-135f-11ee-8ff5-4d1fa59552d3</t>
  </si>
  <si>
    <t>06dfccb0-136c-11ee-8ff5-4d1fa59552d3</t>
  </si>
  <si>
    <t>a35e4960-1379-11ee-8ff5-4d1fa59552d3</t>
  </si>
  <si>
    <t>b2e14240-1381-11ee-8ff5-4d1fa59552d3</t>
  </si>
  <si>
    <t>2c323b30-138d-11ee-8ff5-4d1fa59552d3</t>
  </si>
  <si>
    <t>b549acc0-13ef-11ee-94e3-9bc319079055</t>
  </si>
  <si>
    <t>4298d200-13f9-11ee-94e3-9bc319079055</t>
  </si>
  <si>
    <t>bb509830-1404-11ee-94e3-9bc319079055</t>
  </si>
  <si>
    <t>bbee0520-140e-11ee-94e3-9bc319079055</t>
  </si>
  <si>
    <t>b9925980-141c-11ee-94e3-9bc319079055</t>
  </si>
  <si>
    <t>fc585690-1424-11ee-94e3-9bc319079055</t>
  </si>
  <si>
    <t>26fe50c0-1434-11ee-94e3-9bc319079055</t>
  </si>
  <si>
    <t>ed335930-143d-11ee-94e3-9bc319079055</t>
  </si>
  <si>
    <t>97fee3a0-144f-11ee-94e3-9bc319079055</t>
  </si>
  <si>
    <t>d05054c0-14ac-11ee-94c2-db1778f4e792</t>
  </si>
  <si>
    <t>815d56e0-14b8-11ee-94c2-db1778f4e792</t>
  </si>
  <si>
    <t>778fe330-14c7-11ee-94c2-db1778f4e792</t>
  </si>
  <si>
    <t>fd634ac0-14d0-11ee-94c2-db1778f4e792</t>
  </si>
  <si>
    <t>9bf44600-14d9-11ee-94c2-db1778f4e792</t>
  </si>
  <si>
    <t>91db1bf0-14eb-11ee-94c2-db1778f4e792</t>
  </si>
  <si>
    <t>e97e84f0-14f5-11ee-94c2-db1778f4e792</t>
  </si>
  <si>
    <t>04564510-1500-11ee-94c2-db1778f4e792</t>
  </si>
  <si>
    <t>dd510790-150c-11ee-94c2-db1778f4e792</t>
  </si>
  <si>
    <t>e9903fc0-1517-11ee-94c2-db1778f4e792</t>
  </si>
  <si>
    <t>aa19d320-1520-11ee-94c2-db1778f4e792</t>
  </si>
  <si>
    <t>cde5c350-152e-11ee-94c2-db1778f4e792</t>
  </si>
  <si>
    <t>f00f5e40-1575-11ee-a800-b9177f9d27c2</t>
  </si>
  <si>
    <t>4311c080-1583-11ee-a800-b9177f9d27c2</t>
  </si>
  <si>
    <t>1c0bf580-158a-11ee-a800-b9177f9d27c2</t>
  </si>
  <si>
    <t>22ec2390-1597-11ee-a800-b9177f9d27c2</t>
  </si>
  <si>
    <t>4d45a0e0-15a5-11ee-a800-b9177f9d27c2</t>
  </si>
  <si>
    <t>314b0cd0-15b5-11ee-a800-b9177f9d27c2</t>
  </si>
  <si>
    <t>6eb2c310-15bf-11ee-a800-b9177f9d27c2</t>
  </si>
  <si>
    <t>0d437030-15c8-11ee-a800-b9177f9d27c2</t>
  </si>
  <si>
    <t>e065f000-15cd-11ee-a800-b9177f9d27c2</t>
  </si>
  <si>
    <t>6c12bda0-15dc-11ee-a800-b9177f9d27c2</t>
  </si>
  <si>
    <t>96b6f1d0-15e5-11ee-a800-b9177f9d27c2</t>
  </si>
  <si>
    <t>3a7b1de0-163c-11ee-ac07-43d081bb0aaa</t>
  </si>
  <si>
    <t>a620d510-1648-11ee-ac07-43d081bb0aaa</t>
  </si>
  <si>
    <t>04e877d0-1651-11ee-ac07-43d081bb0aaa</t>
  </si>
  <si>
    <t>8776bbf0-1659-11ee-ac07-43d081bb0aaa</t>
  </si>
  <si>
    <t>d97060c0-1666-11ee-ac07-43d081bb0aaa</t>
  </si>
  <si>
    <t>16904320-1672-11ee-ac07-43d081bb0aaa</t>
  </si>
  <si>
    <t>ed062c50-167a-11ee-ac07-43d081bb0aaa</t>
  </si>
  <si>
    <t>5a3eca70-1685-11ee-ac07-43d081bb0aaa</t>
  </si>
  <si>
    <t>caeda6c0-1693-11ee-ac07-43d081bb0aaa</t>
  </si>
  <si>
    <t>196b3380-09c4-11ee-987b-99c000724219</t>
  </si>
  <si>
    <t>9d293320-09ce-11ee-987b-99c000724219</t>
  </si>
  <si>
    <t>5b60dbb0-09e1-11ee-987b-99c000724219</t>
  </si>
  <si>
    <t>666f9510-09ea-11ee-987b-99c000724219</t>
  </si>
  <si>
    <t>1d26c930-09f6-11ee-987b-99c000724219</t>
  </si>
  <si>
    <t>6420fd40-0a02-11ee-987b-99c000724219</t>
  </si>
  <si>
    <t>50fd9930-0a07-11ee-987b-99c000724219</t>
  </si>
  <si>
    <t>d516bfe0-0a0b-11ee-987b-99c000724219</t>
  </si>
  <si>
    <t>b4e50740-0a1a-11ee-987b-99c000724219</t>
  </si>
  <si>
    <t>e4642070-0a2c-11ee-987b-99c000724219</t>
  </si>
  <si>
    <t>afa25890-0a39-11ee-987b-99c000724219</t>
  </si>
  <si>
    <t>acb72d40-0a3e-11ee-987b-99c000724219</t>
  </si>
  <si>
    <t>138debb0-0a55-11ee-987b-99c000724219</t>
  </si>
  <si>
    <t>d8971b20-0a5a-11ee-987b-99c000724219</t>
  </si>
  <si>
    <t>b6118770-0a69-11ee-987b-99c000724219</t>
  </si>
  <si>
    <t>43118900-0a78-11ee-987b-99c000724219</t>
  </si>
  <si>
    <t>39c96b90-0a7f-11ee-987b-99c000724219</t>
  </si>
  <si>
    <t>28d28470-0a84-11ee-987b-99c000724219</t>
  </si>
  <si>
    <t>80ce6cb0-0a99-11ee-987b-99c000724219</t>
  </si>
  <si>
    <t>1c1a95d0-0aa5-11ee-987b-99c000724219</t>
  </si>
  <si>
    <t>b76953d0-0aac-11ee-987b-99c000724219</t>
  </si>
  <si>
    <t>01a6d030-0ab2-11ee-987b-99c000724219</t>
  </si>
  <si>
    <t>e0fc1730-0ae5-11ee-987b-99c000724219</t>
  </si>
  <si>
    <t>0d20b130-0aec-11ee-987b-99c000724219</t>
  </si>
  <si>
    <t>13d6bba0-0af1-11ee-987b-99c000724219</t>
  </si>
  <si>
    <t>5b00e2e0-0b09-11ee-987b-99c000724219</t>
  </si>
  <si>
    <t>db7a0a00-0b0e-11ee-987b-99c000724219</t>
  </si>
  <si>
    <t>85f600c0-0b13-11ee-987b-99c000724219</t>
  </si>
  <si>
    <t>fb109fd0-0b1a-11ee-987b-99c000724219</t>
  </si>
  <si>
    <t>a96fc000-0b26-11ee-987b-99c000724219</t>
  </si>
  <si>
    <t>153c6ee0-0b2d-11ee-987b-99c000724219</t>
  </si>
  <si>
    <t>e9df4d20-0b32-11ee-987b-99c000724219</t>
  </si>
  <si>
    <t>0cbf1980-0b4a-11ee-987b-99c000724219</t>
  </si>
  <si>
    <t>9c7015d0-0b4e-11ee-987b-99c000724219</t>
  </si>
  <si>
    <t>dae81480-0b61-11ee-987b-99c000724219</t>
  </si>
  <si>
    <t>4f988770-0b66-11ee-987b-99c000724219</t>
  </si>
  <si>
    <t>f0e33230-0b73-11ee-987b-99c000724219</t>
  </si>
  <si>
    <t>25a4d100-0b7d-11ee-987b-99c000724219</t>
  </si>
  <si>
    <t>90764640-0b9f-11ee-987b-99c000724219</t>
  </si>
  <si>
    <t>1fd8d9d0-0bb7-11ee-987b-99c000724219</t>
  </si>
  <si>
    <t>a22ada70-0bce-11ee-987b-99c000724219</t>
  </si>
  <si>
    <t>6d709e90-0bd9-11ee-987b-99c000724219</t>
  </si>
  <si>
    <t>12e17360-0be7-11ee-987b-99c000724219</t>
  </si>
  <si>
    <t>81788580-0bf0-11ee-987b-99c000724219</t>
  </si>
  <si>
    <t>fd7cd410-0bfa-11ee-987b-99c000724219</t>
  </si>
  <si>
    <t>95c8fd40-0bfe-11ee-987b-99c000724219</t>
  </si>
  <si>
    <t>a08c4e60-0c0a-11ee-987b-99c000724219</t>
  </si>
  <si>
    <t>8ad32770-0c13-11ee-987b-99c000724219</t>
  </si>
  <si>
    <t>b22afd80-0c21-11ee-987b-99c000724219</t>
  </si>
  <si>
    <t>ae99d8c0-0c27-11ee-987b-99c000724219</t>
  </si>
  <si>
    <t>b9fdafa0-0c33-11ee-987b-99c000724219</t>
  </si>
  <si>
    <t>d86d2760-0c3b-11ee-987b-99c000724219</t>
  </si>
  <si>
    <t>fc3bc4c0-0c4b-11ee-987b-99c000724219</t>
  </si>
  <si>
    <t>da4e32b0-0c57-11ee-987b-99c000724219</t>
  </si>
  <si>
    <t>cd75c290-0c5e-11ee-987b-99c000724219</t>
  </si>
  <si>
    <t>c22a3b60-0c62-11ee-987b-99c000724219</t>
  </si>
  <si>
    <t>dffdeeb0-0c72-11ee-987b-99c000724219</t>
  </si>
  <si>
    <t>1d2a0610-0c7e-11ee-987b-99c000724219</t>
  </si>
  <si>
    <t>2a4fd510-0c86-11ee-987b-99c000724219</t>
  </si>
  <si>
    <t>ba8b3a40-0c8e-11ee-987b-99c000724219</t>
  </si>
  <si>
    <t>ef4fc270-0c9b-11ee-987b-99c000724219</t>
  </si>
  <si>
    <t>2f708590-0ca3-11ee-987b-99c000724219</t>
  </si>
  <si>
    <t>349ac440-0cc6-11ee-987b-99c000724219</t>
  </si>
  <si>
    <t>7c74c670-0cd1-11ee-987b-99c000724219</t>
  </si>
  <si>
    <t>85c14980-0cf2-11ee-987b-99c000724219</t>
  </si>
  <si>
    <t>246b2520-0d15-11ee-987b-99c000724219</t>
  </si>
  <si>
    <t>18d342f0-0d2a-11ee-987b-99c000724219</t>
  </si>
  <si>
    <t>fddde100-0e85-11ee-ac0b-713d29c71999</t>
  </si>
  <si>
    <t>b581bae0-0e98-11ee-ac0b-713d29c71999</t>
  </si>
  <si>
    <t>761f63c0-0ea7-11ee-ac0b-713d29c71999</t>
  </si>
  <si>
    <t>a888a6c0-0ec8-11ee-ac0b-713d29c71999</t>
  </si>
  <si>
    <t>6f5919f0-0ed4-11ee-ac0b-713d29c71999</t>
  </si>
  <si>
    <t>757fbc00-0ee1-11ee-ac0b-713d29c71999</t>
  </si>
  <si>
    <t>fa574750-0efe-11ee-ac0b-713d29c71999</t>
  </si>
  <si>
    <t>9df7c290-0f04-11ee-ac0b-713d29c71999</t>
  </si>
  <si>
    <t>b9bad470-0f0b-11ee-ac0b-713d29c71999</t>
  </si>
  <si>
    <t>415d4190-0f13-11ee-ac0b-713d29c71999</t>
  </si>
  <si>
    <t>0a167850-0f27-11ee-ac0b-713d29c71999</t>
  </si>
  <si>
    <t>4c6c1cd0-0f2e-11ee-ac0b-713d29c71999</t>
  </si>
  <si>
    <t>4a16f8b0-0f6f-11ee-986b-fdea520a7f2c</t>
  </si>
  <si>
    <t>e1059410-0f7a-11ee-986b-fdea520a7f2c</t>
  </si>
  <si>
    <t>7c8393e0-0f8c-11ee-986b-fdea520a7f2c</t>
  </si>
  <si>
    <t>6dc3e4d0-0fa1-11ee-986b-fdea520a7f2c</t>
  </si>
  <si>
    <t>3102fe70-0fae-11ee-986b-fdea520a7f2c</t>
  </si>
  <si>
    <t>ceb0b080-0fb4-11ee-986b-fdea520a7f2c</t>
  </si>
  <si>
    <t>b8154a70-0fbe-11ee-986b-fdea520a7f2c</t>
  </si>
  <si>
    <t>84404c30-0fce-11ee-986b-fdea520a7f2c</t>
  </si>
  <si>
    <t>d5085d90-0fd5-11ee-986b-fdea520a7f2c</t>
  </si>
  <si>
    <t>2db07440-0fff-11ee-986b-fdea520a7f2c</t>
  </si>
  <si>
    <t>871d8340-1015-11ee-986b-fdea520a7f2c</t>
  </si>
  <si>
    <t>c43f0490-1026-11ee-986b-fdea520a7f2c</t>
  </si>
  <si>
    <t>a72288f0-103a-11ee-986b-fdea520a7f2c</t>
  </si>
  <si>
    <t>c372adb0-1043-11ee-986b-fdea520a7f2c</t>
  </si>
  <si>
    <t>464fdc80-1049-11ee-986b-fdea520a7f2c</t>
  </si>
  <si>
    <t>624ca690-1051-11ee-986b-fdea520a7f2c</t>
  </si>
  <si>
    <t>b312e000-1054-11ee-986b-fdea520a7f2c</t>
  </si>
  <si>
    <t>2a4f4310-105b-11ee-986b-fdea520a7f2c</t>
  </si>
  <si>
    <t>967f27f0-105e-11ee-986b-fdea520a7f2c</t>
  </si>
  <si>
    <t>380f5970-1067-11ee-986b-fdea520a7f2c</t>
  </si>
  <si>
    <t>f8c6fe80-106b-11ee-986b-fdea520a7f2c</t>
  </si>
  <si>
    <t>75d73010-107c-11ee-986b-fdea520a7f2c</t>
  </si>
  <si>
    <t>bf27f7f0-1080-11ee-986b-fdea520a7f2c</t>
  </si>
  <si>
    <t>70c608c0-1087-11ee-986b-fdea520a7f2c</t>
  </si>
  <si>
    <t>41b036b0-108b-11ee-986b-fdea520a7f2c</t>
  </si>
  <si>
    <t>a15fbab0-108e-11ee-986b-fdea520a7f2c</t>
  </si>
  <si>
    <t>dcb6d2b0-1093-11ee-986b-fdea520a7f2c</t>
  </si>
  <si>
    <t>f6041480-1098-11ee-986b-fdea520a7f2c</t>
  </si>
  <si>
    <t>28b42ab0-109d-11ee-986b-fdea520a7f2c</t>
  </si>
  <si>
    <t>3eccdc20-10a7-11ee-986b-fdea520a7f2c</t>
  </si>
  <si>
    <t>b638a910-10ac-11ee-986b-fdea520a7f2c</t>
  </si>
  <si>
    <t>1c48e860-10b1-11ee-986b-fdea520a7f2c</t>
  </si>
  <si>
    <t>565d4730-10b6-11ee-986b-fdea520a7f2c</t>
  </si>
  <si>
    <t>23b833e0-10ba-11ee-986b-fdea520a7f2c</t>
  </si>
  <si>
    <t>a6d7b850-10be-11ee-986b-fdea520a7f2c</t>
  </si>
  <si>
    <t>95e257d0-10c3-11ee-986b-fdea520a7f2c</t>
  </si>
  <si>
    <t>ea3a6a90-10c6-11ee-986b-fdea520a7f2c</t>
  </si>
  <si>
    <t>ba43a3d0-10c9-11ee-986b-fdea520a7f2c</t>
  </si>
  <si>
    <t>3a667820-10d0-11ee-986b-fdea520a7f2c</t>
  </si>
  <si>
    <t>eb6e58e0-10d5-11ee-986b-fdea520a7f2c</t>
  </si>
  <si>
    <t>64cdd4f0-10da-11ee-986b-fdea520a7f2c</t>
  </si>
  <si>
    <t>81feeb30-10e0-11ee-986b-fdea520a7f2c</t>
  </si>
  <si>
    <t>11a26810-10e7-11ee-986b-fdea520a7f2c</t>
  </si>
  <si>
    <t>46bc5580-10ef-11ee-986b-fdea520a7f2c</t>
  </si>
  <si>
    <t>078ae880-10f5-11ee-986b-fdea520a7f2c</t>
  </si>
  <si>
    <t>03168520-10fa-11ee-986b-fdea520a7f2c</t>
  </si>
  <si>
    <t>92c13fe0-10fe-11ee-986b-fdea520a7f2c</t>
  </si>
  <si>
    <t>8d6d98b0-1106-11ee-986b-fdea520a7f2c</t>
  </si>
  <si>
    <t>b80c5d60-1109-11ee-986b-fdea520a7f2c</t>
  </si>
  <si>
    <t>c313ab70-110c-11ee-986b-fdea520a7f2c</t>
  </si>
  <si>
    <t>55226de0-1111-11ee-986b-fdea520a7f2c</t>
  </si>
  <si>
    <t>54686fe0-1115-11ee-986b-fdea520a7f2c</t>
  </si>
  <si>
    <t>3fad2330-1119-11ee-986b-fdea520a7f2c</t>
  </si>
  <si>
    <t>214ee120-111f-11ee-986b-fdea520a7f2c</t>
  </si>
  <si>
    <t>822dd280-1124-11ee-986b-fdea520a7f2c</t>
  </si>
  <si>
    <t>51e59af0-1128-11ee-986b-fdea520a7f2c</t>
  </si>
  <si>
    <t>4c447760-112d-11ee-986b-fdea520a7f2c</t>
  </si>
  <si>
    <t>8cf111b0-1132-11ee-986b-fdea520a7f2c</t>
  </si>
  <si>
    <t>c8d9f450-1135-11ee-986b-fdea520a7f2c</t>
  </si>
  <si>
    <t>9b3e70c0-113a-11ee-986b-fdea520a7f2c</t>
  </si>
  <si>
    <t>a6d569c0-113f-11ee-986b-fdea520a7f2c</t>
  </si>
  <si>
    <t>c0648c00-1143-11ee-986b-fdea520a7f2c</t>
  </si>
  <si>
    <t>6a1ade40-1147-11ee-986b-fdea520a7f2c</t>
  </si>
  <si>
    <t>faad2f50-114a-11ee-986b-fdea520a7f2c</t>
  </si>
  <si>
    <t>8cfce7d0-114e-11ee-986b-fdea520a7f2c</t>
  </si>
  <si>
    <t>67b2ba10-1156-11ee-986b-fdea520a7f2c</t>
  </si>
  <si>
    <t>3ce538b0-115d-11ee-986b-fdea520a7f2c</t>
  </si>
  <si>
    <t>5721ee20-1163-11ee-986b-fdea520a7f2c</t>
  </si>
  <si>
    <t>a6209c10-1168-11ee-986b-fdea520a7f2c</t>
  </si>
  <si>
    <t>5ccf8fa0-1170-11ee-986b-fdea520a7f2c</t>
  </si>
  <si>
    <t>550f9170-117a-11ee-986b-fdea520a7f2c</t>
  </si>
  <si>
    <t>ffd64240-117d-11ee-986b-fdea520a7f2c</t>
  </si>
  <si>
    <t>11bd8dc0-1182-11ee-986b-fdea520a7f2c</t>
  </si>
  <si>
    <t>bd75fc20-1186-11ee-986b-fdea520a7f2c</t>
  </si>
  <si>
    <t>ed698630-1191-11ee-986b-fdea520a7f2c</t>
  </si>
  <si>
    <t>5dc75d50-1195-11ee-986b-fdea520a7f2c</t>
  </si>
  <si>
    <t>21f42160-1199-11ee-986b-fdea520a7f2c</t>
  </si>
  <si>
    <t>953aa410-119d-11ee-986b-fdea520a7f2c</t>
  </si>
  <si>
    <t>82c47a80-11a3-11ee-986b-fdea520a7f2c</t>
  </si>
  <si>
    <t>a9d9f160-11a6-11ee-986b-fdea520a7f2c</t>
  </si>
  <si>
    <t>8b7139f0-11aa-11ee-986b-fdea520a7f2c</t>
  </si>
  <si>
    <t>d39026a0-11b0-11ee-986b-fdea520a7f2c</t>
  </si>
  <si>
    <t>6566cca0-11b6-11ee-986b-fdea520a7f2c</t>
  </si>
  <si>
    <t>dac16240-11ba-11ee-986b-fdea520a7f2c</t>
  </si>
  <si>
    <t>2b83cb20-11be-11ee-986b-fdea520a7f2c</t>
  </si>
  <si>
    <t>473db540-11c5-11ee-986b-fdea520a7f2c</t>
  </si>
  <si>
    <t>1c033e10-11c8-11ee-986b-fdea520a7f2c</t>
  </si>
  <si>
    <t>22520d20-11cb-11ee-986b-fdea520a7f2c</t>
  </si>
  <si>
    <t>1a014f60-11cf-11ee-986b-fdea520a7f2c</t>
  </si>
  <si>
    <t>ac5785a0-11d4-11ee-986b-fdea520a7f2c</t>
  </si>
  <si>
    <t>162573c0-11da-11ee-986b-fdea520a7f2c</t>
  </si>
  <si>
    <t>c98d5a00-11de-11ee-986b-fdea520a7f2c</t>
  </si>
  <si>
    <t>0e675c40-11e2-11ee-986b-fdea520a7f2c</t>
  </si>
  <si>
    <t>b8e63930-11e6-11ee-986b-fdea520a7f2c</t>
  </si>
  <si>
    <t>e3eb1d40-11ea-11ee-986b-fdea520a7f2c</t>
  </si>
  <si>
    <t>066eba80-11ef-11ee-986b-fdea520a7f2c</t>
  </si>
  <si>
    <t>c3fb1040-11f3-11ee-986b-fdea520a7f2c</t>
  </si>
  <si>
    <t>6d164910-11f9-11ee-986b-fdea520a7f2c</t>
  </si>
  <si>
    <t>848ccf10-11fe-11ee-986b-fdea520a7f2c</t>
  </si>
  <si>
    <t>e7308cd0-1201-11ee-986b-fdea520a7f2c</t>
  </si>
  <si>
    <t>527e6ec0-1208-11ee-986b-fdea520a7f2c</t>
  </si>
  <si>
    <t>dafceb60-120c-11ee-986b-fdea520a7f2c</t>
  </si>
  <si>
    <t>42711cf0-1210-11ee-986b-fdea520a7f2c</t>
  </si>
  <si>
    <t>e65881b0-1214-11ee-986b-fdea520a7f2c</t>
  </si>
  <si>
    <t>ff1df5e0-1219-11ee-986b-fdea520a7f2c</t>
  </si>
  <si>
    <t>f41304b0-121e-11ee-986b-fdea520a7f2c</t>
  </si>
  <si>
    <t>80766730-1224-11ee-986b-fdea520a7f2c</t>
  </si>
  <si>
    <t>368f3540-122c-11ee-986b-fdea520a7f2c</t>
  </si>
  <si>
    <t>604be510-1234-11ee-986b-fdea520a7f2c</t>
  </si>
  <si>
    <t>b88a7970-123a-11ee-986b-fdea520a7f2c</t>
  </si>
  <si>
    <t>b381d740-123d-11ee-986b-fdea520a7f2c</t>
  </si>
  <si>
    <t>46300e00-1242-11ee-986b-fdea520a7f2c</t>
  </si>
  <si>
    <t>6e1b9230-1248-11ee-986b-fdea520a7f2c</t>
  </si>
  <si>
    <t>795724c0-124d-11ee-986b-fdea520a7f2c</t>
  </si>
  <si>
    <t>569365b0-1253-11ee-986b-fdea520a7f2c</t>
  </si>
  <si>
    <t>62845e30-125b-11ee-986b-fdea520a7f2c</t>
  </si>
  <si>
    <t>8c3c4fe0-125f-11ee-986b-fdea520a7f2c</t>
  </si>
  <si>
    <t>efd22e70-1265-11ee-986b-fdea520a7f2c</t>
  </si>
  <si>
    <t>52ce4130-1270-11ee-986b-fdea520a7f2c</t>
  </si>
  <si>
    <t>e056b400-127b-11ee-986b-fdea520a7f2c</t>
  </si>
  <si>
    <t>41ce3be0-1281-11ee-986b-fdea520a7f2c</t>
  </si>
  <si>
    <t>ad36d920-1284-11ee-986b-fdea520a7f2c</t>
  </si>
  <si>
    <t>57a14e40-128a-11ee-986b-fdea520a7f2c</t>
  </si>
  <si>
    <t>1a871df0-128f-11ee-986b-fdea520a7f2c</t>
  </si>
  <si>
    <t>90d18740-1292-11ee-986b-fdea520a7f2c</t>
  </si>
  <si>
    <t>1a165260-129d-11ee-986b-fdea520a7f2c</t>
  </si>
  <si>
    <t>95103a00-12a0-11ee-986b-fdea520a7f2c</t>
  </si>
  <si>
    <t>7c0d5ef0-12ac-11ee-986b-fdea520a7f2c</t>
  </si>
  <si>
    <t>6ad22660-12b2-11ee-986b-fdea520a7f2c</t>
  </si>
  <si>
    <t>e4c65670-12b8-11ee-986b-fdea520a7f2c</t>
  </si>
  <si>
    <t>3279dc30-12bd-11ee-986b-fdea520a7f2c</t>
  </si>
  <si>
    <t>52afce00-12c3-11ee-986b-fdea520a7f2c</t>
  </si>
  <si>
    <t>09acd700-12ca-11ee-986b-fdea520a7f2c</t>
  </si>
  <si>
    <t>bf374490-12cd-11ee-986b-fdea520a7f2c</t>
  </si>
  <si>
    <t>7f22c000-12d2-11ee-986b-fdea520a7f2c</t>
  </si>
  <si>
    <t>d41dccb0-12d9-11ee-986b-fdea520a7f2c</t>
  </si>
  <si>
    <t>5316ca30-12e4-11ee-986b-fdea520a7f2c</t>
  </si>
  <si>
    <t>acc8e130-12e9-11ee-986b-fdea520a7f2c</t>
  </si>
  <si>
    <t>ba87a6c0-12ef-11ee-986b-fdea520a7f2c</t>
  </si>
  <si>
    <t>6fbcb240-12fc-11ee-986b-fdea520a7f2c</t>
  </si>
  <si>
    <t>a301ca90-1302-11ee-986b-fdea520a7f2c</t>
  </si>
  <si>
    <t>6de48b50-1306-11ee-986b-fdea520a7f2c</t>
  </si>
  <si>
    <t>0e045630-130a-11ee-986b-fdea520a7f2c</t>
  </si>
  <si>
    <t>5889bb90-1310-11ee-986b-fdea520a7f2c</t>
  </si>
  <si>
    <t>a90e8cf0-1318-11ee-986b-fdea520a7f2c</t>
  </si>
  <si>
    <t>934ed650-1321-11ee-986b-fdea520a7f2c</t>
  </si>
  <si>
    <t>884d45e0-1324-11ee-986b-fdea520a7f2c</t>
  </si>
  <si>
    <t>fe556eb0-132a-11ee-986b-fdea520a7f2c</t>
  </si>
  <si>
    <t>a58910e0-1332-11ee-986b-fdea520a7f2c</t>
  </si>
  <si>
    <t>c2274e40-133e-11ee-986b-fdea520a7f2c</t>
  </si>
  <si>
    <t>5bb04af0-1347-11ee-986b-fdea520a7f2c</t>
  </si>
  <si>
    <t>0ab6abd0-134c-11ee-986b-fdea520a7f2c</t>
  </si>
  <si>
    <t>2c9fb6c0-1350-11ee-986b-fdea520a7f2c</t>
  </si>
  <si>
    <t>95d4fc70-1357-11ee-986b-fdea520a7f2c</t>
  </si>
  <si>
    <t>257779d0-135c-11ee-986b-fdea520a7f2c</t>
  </si>
  <si>
    <t>8445d020-1360-11ee-986b-fdea520a7f2c</t>
  </si>
  <si>
    <t>13fa27d0-1365-11ee-986b-fdea520a7f2c</t>
  </si>
  <si>
    <t>eb185ef0-136d-11ee-986b-fdea520a7f2c</t>
  </si>
  <si>
    <t>426d7320-1373-11ee-986b-fdea520a7f2c</t>
  </si>
  <si>
    <t>278ea5c0-1377-11ee-986b-fdea520a7f2c</t>
  </si>
  <si>
    <t>f4215910-137d-11ee-986b-fdea520a7f2c</t>
  </si>
  <si>
    <t>0c8ae710-1382-11ee-986b-fdea520a7f2c</t>
  </si>
  <si>
    <t>0bfa4300-1386-11ee-986b-fdea520a7f2c</t>
  </si>
  <si>
    <t>59c564e0-1389-11ee-986b-fdea520a7f2c</t>
  </si>
  <si>
    <t>5be74130-138e-11ee-986b-fdea520a7f2c</t>
  </si>
  <si>
    <t>b4bef330-1392-11ee-986b-fdea520a7f2c</t>
  </si>
  <si>
    <t>4e34a840-1396-11ee-986b-fdea520a7f2c</t>
  </si>
  <si>
    <t>62cc0db0-139c-11ee-986b-fdea520a7f2c</t>
  </si>
  <si>
    <t>44f5b5c0-13a1-11ee-986b-fdea520a7f2c</t>
  </si>
  <si>
    <t>cb16ba60-13a5-11ee-986b-fdea520a7f2c</t>
  </si>
  <si>
    <t>80e10fc0-13ac-11ee-986b-fdea520a7f2c</t>
  </si>
  <si>
    <t>8c8eb320-13b3-11ee-986b-fdea520a7f2c</t>
  </si>
  <si>
    <t>5650e8b0-13b7-11ee-986b-fdea520a7f2c</t>
  </si>
  <si>
    <t>e47c39f0-13bc-11ee-986b-fdea520a7f2c</t>
  </si>
  <si>
    <t>54d61ca0-13c4-11ee-986b-fdea520a7f2c</t>
  </si>
  <si>
    <t>e267fef0-13c7-11ee-986b-fdea520a7f2c</t>
  </si>
  <si>
    <t>c8cb0060-13cb-11ee-986b-fdea520a7f2c</t>
  </si>
  <si>
    <t>0e8e22c0-13d2-11ee-986b-fdea520a7f2c</t>
  </si>
  <si>
    <t>ef907e50-13d5-11ee-986b-fdea520a7f2c</t>
  </si>
  <si>
    <t>b742a320-13da-11ee-986b-fdea520a7f2c</t>
  </si>
  <si>
    <t>4bb482e0-13df-11ee-986b-fdea520a7f2c</t>
  </si>
  <si>
    <t>56bc6d30-13e2-11ee-986b-fdea520a7f2c</t>
  </si>
  <si>
    <t>fafda730-13e5-11ee-986b-fdea520a7f2c</t>
  </si>
  <si>
    <t>70fb81b0-13ea-11ee-986b-fdea520a7f2c</t>
  </si>
  <si>
    <t>dbff45d0-13f1-11ee-986b-fdea520a7f2c</t>
  </si>
  <si>
    <t>c4c27e60-13f5-11ee-986b-fdea520a7f2c</t>
  </si>
  <si>
    <t>92b935e0-13f9-11ee-986b-fdea520a7f2c</t>
  </si>
  <si>
    <t>e1604360-13fd-11ee-986b-fdea520a7f2c</t>
  </si>
  <si>
    <t>d23605f0-1402-11ee-986b-fdea520a7f2c</t>
  </si>
  <si>
    <t>3315cc90-1406-11ee-986b-fdea520a7f2c</t>
  </si>
  <si>
    <t>31e3e2a0-140e-11ee-986b-fdea520a7f2c</t>
  </si>
  <si>
    <t>a32dae20-1416-11ee-986b-fdea520a7f2c</t>
  </si>
  <si>
    <t>65d953a0-141e-11ee-986b-fdea520a7f2c</t>
  </si>
  <si>
    <t>b21eb880-1424-11ee-986b-fdea520a7f2c</t>
  </si>
  <si>
    <t>311297d0-142d-11ee-986b-fdea520a7f2c</t>
  </si>
  <si>
    <t>ae40f630-1431-11ee-986b-fdea520a7f2c</t>
  </si>
  <si>
    <t>8bc965e0-1438-11ee-986b-fdea520a7f2c</t>
  </si>
  <si>
    <t>1d2388e0-143e-11ee-986b-fdea520a7f2c</t>
  </si>
  <si>
    <t>2c638cb0-1443-11ee-986b-fdea520a7f2c</t>
  </si>
  <si>
    <t>f8e05190-144a-11ee-986b-fdea520a7f2c</t>
  </si>
  <si>
    <t>c58dcdf0-1453-11ee-986b-fdea520a7f2c</t>
  </si>
  <si>
    <t>ecef4c80-1457-11ee-986b-fdea520a7f2c</t>
  </si>
  <si>
    <t>9d200a50-1461-11ee-986b-fdea520a7f2c</t>
  </si>
  <si>
    <t>9d299bb0-146b-11ee-986b-fdea520a7f2c</t>
  </si>
  <si>
    <t>d53cfd90-1474-11ee-986b-fdea520a7f2c</t>
  </si>
  <si>
    <t>ac2430b0-2548-11ee-83aa-a97ebda4bf1f</t>
  </si>
  <si>
    <t>1be9f170-2597-11ee-9ebc-fbcb6a4d286a</t>
  </si>
  <si>
    <t>b7b29530-25b0-11ee-9ebc-fbcb6a4d286a</t>
  </si>
  <si>
    <t>86976b50-25b6-11ee-9ebc-fbcb6a4d286a</t>
  </si>
  <si>
    <t>13631cd0-25cd-11ee-9ebc-fbcb6a4d286a</t>
  </si>
  <si>
    <t>9c1aff50-25d9-11ee-9ebc-fbcb6a4d286a</t>
  </si>
  <si>
    <t>915b67a0-25e1-11ee-9ebc-fbcb6a4d286a</t>
  </si>
  <si>
    <t>e2d12ae0-25f8-11ee-9ebc-fbcb6a4d286a</t>
  </si>
  <si>
    <t>4b2554d0-25ff-11ee-9ebc-fbcb6a4d286a</t>
  </si>
  <si>
    <t>093d84f0-2606-11ee-9ebc-fbcb6a4d286a</t>
  </si>
  <si>
    <t>0c52ee60-261e-11ee-9ebc-fbcb6a4d286a</t>
  </si>
  <si>
    <t>da97afc0-262a-11ee-9ebc-fbcb6a4d286a</t>
  </si>
  <si>
    <t>fdd202c0-2642-11ee-9ebc-fbcb6a4d286a</t>
  </si>
  <si>
    <t>12a853b0-264e-11ee-9ebc-fbcb6a4d286a</t>
  </si>
  <si>
    <t>02a96450-2657-11ee-9ebc-fbcb6a4d286a</t>
  </si>
  <si>
    <t>6095be10-2666-11ee-9ebc-fbcb6a4d286a</t>
  </si>
  <si>
    <t>94d64400-2685-11ee-9ebc-fbcb6a4d286a</t>
  </si>
  <si>
    <t>3a849b30-268c-11ee-9ebc-fbcb6a4d286a</t>
  </si>
  <si>
    <t>fdbd0570-2695-11ee-9ebc-fbcb6a4d286a</t>
  </si>
  <si>
    <t>1175a6d0-26a0-11ee-9ebc-fbcb6a4d286a</t>
  </si>
  <si>
    <t>10df15b0-26ac-11ee-9ebc-fbcb6a4d286a</t>
  </si>
  <si>
    <t>12aa5110-26b2-11ee-9ebc-fbcb6a4d286a</t>
  </si>
  <si>
    <t>e21f27a0-26b6-11ee-9ebc-fbcb6a4d286a</t>
  </si>
  <si>
    <t>0daaad90-26cb-11ee-9ebc-fbcb6a4d286a</t>
  </si>
  <si>
    <t>1c4d7510-26d2-11ee-9ebc-fbcb6a4d286a</t>
  </si>
  <si>
    <t>54f39680-26da-11ee-9ebc-fbcb6a4d286a</t>
  </si>
  <si>
    <t>c5212cb0-271b-11ee-9179-1dc08907c518</t>
  </si>
  <si>
    <t>53821570-2738-11ee-9179-1dc08907c518</t>
  </si>
  <si>
    <t>1dad2980-273d-11ee-9179-1dc08907c518</t>
  </si>
  <si>
    <t>6c01d7a0-2749-11ee-9179-1dc08907c518</t>
  </si>
  <si>
    <t>7f906cb0-275c-11ee-9179-1dc08907c518</t>
  </si>
  <si>
    <t>bfa5a800-276c-11ee-9179-1dc08907c518</t>
  </si>
  <si>
    <t>1ddfe260-2776-11ee-9179-1dc08907c518</t>
  </si>
  <si>
    <t>4e770a00-2782-11ee-9179-1dc08907c518</t>
  </si>
  <si>
    <t>50f3ddf0-278f-11ee-9179-1dc08907c518</t>
  </si>
  <si>
    <t>50882930-27a2-11ee-9179-1dc08907c518</t>
  </si>
  <si>
    <t>8122fe80-27a7-11ee-9179-1dc08907c518</t>
  </si>
  <si>
    <t>3bc45a90-27b2-11ee-9179-1dc08907c518</t>
  </si>
  <si>
    <t>de7c5520-27b8-11ee-9179-1dc08907c518</t>
  </si>
  <si>
    <t>3a1e0720-27be-11ee-9179-1dc08907c518</t>
  </si>
  <si>
    <t>283deb20-2808-11ee-b3c8-43df48a67ba3</t>
  </si>
  <si>
    <t>f0d10b00-2815-11ee-b3c8-43df48a67ba3</t>
  </si>
  <si>
    <t>943530d0-282c-11ee-b3c8-43df48a67ba3</t>
  </si>
  <si>
    <t>b0e14980-283b-11ee-b3c8-43df48a67ba3</t>
  </si>
  <si>
    <t>c6a084f0-2874-11ee-b3c8-43df48a67ba3</t>
  </si>
  <si>
    <t>215bd920-287b-11ee-b3c8-43df48a67ba3</t>
  </si>
  <si>
    <t>b459d960-2886-11ee-b3c8-43df48a67ba3</t>
  </si>
  <si>
    <t>97d14d70-28a7-11ee-b3c8-43df48a67ba3</t>
  </si>
  <si>
    <t>74d3a090-28d7-11ee-b3c8-43df48a67ba3</t>
  </si>
  <si>
    <t>86ba0c40-28dc-11ee-b3c8-43df48a67ba3</t>
  </si>
  <si>
    <t>60be9740-28e1-11ee-b3c8-43df48a67ba3</t>
  </si>
  <si>
    <t>d58e2e20-28e9-11ee-b3c8-43df48a67ba3</t>
  </si>
  <si>
    <t>8f7523c0-2908-11ee-b3c8-43df48a67ba3</t>
  </si>
  <si>
    <t>3c01a3a0-2910-11ee-b3c8-43df48a67ba3</t>
  </si>
  <si>
    <t>c8a5f4d0-2917-11ee-b3c8-43df48a67ba3</t>
  </si>
  <si>
    <t>9401d900-2922-11ee-b3c8-43df48a67ba3</t>
  </si>
  <si>
    <t>3aa1b7f0-2930-11ee-b3c8-43df48a67ba3</t>
  </si>
  <si>
    <t>4e2c5cc0-2940-11ee-b3c8-43df48a67ba3</t>
  </si>
  <si>
    <t>f98bf130-294e-11ee-b3c8-43df48a67ba3</t>
  </si>
  <si>
    <t>2e1cad40-295e-11ee-b3c8-43df48a67ba3</t>
  </si>
  <si>
    <t>2fe294a0-2968-11ee-b3c8-43df48a67ba3</t>
  </si>
  <si>
    <t>9a6820b0-2972-11ee-b3c8-43df48a67ba3</t>
  </si>
  <si>
    <t>b0f9f260-297f-11ee-b3c8-43df48a67ba3</t>
  </si>
  <si>
    <t>27aa6f80-298e-11ee-b3c8-43df48a67ba3</t>
  </si>
  <si>
    <t>427f3bb0-2993-11ee-b3c8-43df48a67ba3</t>
  </si>
  <si>
    <t>56a8e3d0-299c-11ee-b3c8-43df48a67ba3</t>
  </si>
  <si>
    <t>04758700-29b3-11ee-b3c8-43df48a67ba3</t>
  </si>
  <si>
    <t>1b80e060-29be-11ee-b3c8-43df48a67ba3</t>
  </si>
  <si>
    <t>cfe2f330-29c4-11ee-b3c8-43df48a67ba3</t>
  </si>
  <si>
    <t>817e32f0-29cd-11ee-b3c8-43df48a67ba3</t>
  </si>
  <si>
    <t>d4726130-29d6-11ee-b3c8-43df48a67ba3</t>
  </si>
  <si>
    <t>b897a4a0-29fb-11ee-b3c8-43df48a67ba3</t>
  </si>
  <si>
    <t>4bca3120-2a01-11ee-b3c8-43df48a67ba3</t>
  </si>
  <si>
    <t>1a630e80-2a25-11ee-b3c8-43df48a67ba3</t>
  </si>
  <si>
    <t>4eec3730-2a39-11ee-b3c8-43df48a67ba3</t>
  </si>
  <si>
    <t>e28d8f70-2a5c-11ee-b3c8-43df48a67ba3</t>
  </si>
  <si>
    <t>56cf32a0-2a6f-11ee-b3c8-43df48a67ba3</t>
  </si>
  <si>
    <t>353974d0-2a8c-11ee-b3c8-43df48a67ba3</t>
  </si>
  <si>
    <t>c61aa1d0-2a92-11ee-b3c8-43df48a67ba3</t>
  </si>
  <si>
    <t>e9933750-2a9f-11ee-b3c8-43df48a67ba3</t>
  </si>
  <si>
    <t>cffa96d0-2aa9-11ee-b3c8-43df48a67ba3</t>
  </si>
  <si>
    <t>01c48b60-2ab1-11ee-b3c8-43df48a67ba3</t>
  </si>
  <si>
    <t>a5aeeb70-2ab7-11ee-b3c8-43df48a67ba3</t>
  </si>
  <si>
    <t>ad6bb020-2abf-11ee-b3c8-43df48a67ba3</t>
  </si>
  <si>
    <t>2d3d4210-2ac4-11ee-b3c8-43df48a67ba3</t>
  </si>
  <si>
    <t>03c08b00-2ac8-11ee-b3c8-43df48a67ba3</t>
  </si>
  <si>
    <t>9d6d3820-2ad7-11ee-b3c8-43df48a67ba3</t>
  </si>
  <si>
    <t>72d61af0-2adc-11ee-b3c8-43df48a67ba3</t>
  </si>
  <si>
    <t>b8976bc0-2ae6-11ee-b3c8-43df48a67ba3</t>
  </si>
  <si>
    <t>2814a910-2af9-11ee-b3c8-43df48a67ba3</t>
  </si>
  <si>
    <t>86ec0cd0-2b0d-11ee-b3c8-43df48a67ba3</t>
  </si>
  <si>
    <t>14869620-2b1b-11ee-b3c8-43df48a67ba3</t>
  </si>
  <si>
    <t>cbcbac00-2b1e-11ee-b3c8-43df48a67ba3</t>
  </si>
  <si>
    <t>4eee2890-2b21-11ee-b3c8-43df48a67ba3</t>
  </si>
  <si>
    <t>fffd60f0-171d-11ee-a7c5-2fa970ff9066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</si>
</sst>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04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379" totalsRowShown="0">
  <autoFilter ref="A1:AJ379" xr:uid="{00000000-0009-0000-0100-000001000000}"/>
  <tableColumns count="36">
    <tableColumn id="1" xr3:uid="{00000000-0010-0000-0000-000001000000}" name="battle" dataDxfId="2042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85" totalsRowShown="0">
  <autoFilter ref="A1:AB85" xr:uid="{00000000-0009-0000-0100-000001000000}"/>
  <tableColumns count="28">
    <tableColumn id="1" xr3:uid="{BC50D7B9-B62B-437D-84CB-40D98C013997}" name="battle" dataDxfId="2008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488" headerRowBorderDxfId="1487" tableBorderDxfId="1486" totalsRowBorderDxfId="1485">
  <autoFilter ref="K17:O20" xr:uid="{01E0B516-A92C-45D4-946B-0FCF2F31D98A}"/>
  <tableColumns count="5">
    <tableColumn id="1" xr3:uid="{F1A34086-91B1-448A-A581-8C7A371A6B38}" name="ability" dataDxfId="1484"/>
    <tableColumn id="2" xr3:uid="{1CA216CA-0230-4993-9DF5-190FC3A6530D}" name="takes" dataDxfId="1483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482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481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480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479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478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477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476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475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474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473" headerRowBorderDxfId="1472" tableBorderDxfId="1471" totalsRowBorderDxfId="1470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469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468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467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466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465" headerRowBorderDxfId="1464" tableBorderDxfId="1463" totalsRowBorderDxfId="1462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461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460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459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458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457" headerRowBorderDxfId="1456" tableBorderDxfId="1455" totalsRowBorderDxfId="1454">
  <autoFilter ref="K38:O41" xr:uid="{A1F38E75-59DE-4DB4-B81C-C0322397F6F7}"/>
  <tableColumns count="5">
    <tableColumn id="1" xr3:uid="{74357A07-E8F9-4439-8A7D-C51B3289B074}" name="ability" dataDxfId="1453"/>
    <tableColumn id="2" xr3:uid="{2B46AB72-5070-479E-BA92-0EA40B2FAD9A}" name="takes" dataDxfId="1452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451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450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449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448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447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446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445">
      <calculatedColumnFormula>COUNTIF(Scenario2[winner1-ability1],DruidAbilities1Scenario2[[#This Row],[ability]])</calculatedColumnFormula>
    </tableColumn>
    <tableColumn id="5" xr3:uid="{8E619ED0-484C-4412-A819-C4816A1E0005}" name="battles-take-rate" dataDxfId="1444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443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442" headerRowBorderDxfId="1441" tableBorderDxfId="1440" totalsRowBorderDxfId="1439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438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437">
      <calculatedColumnFormula>COUNTIF(Scenario2[winner1-ability2],DruidAbilities2Scenario2[[#This Row],[ability]])</calculatedColumnFormula>
    </tableColumn>
    <tableColumn id="4" xr3:uid="{DD2FBF56-CB12-4887-A4B2-BB3C9B0B611A}" name="battles-take-rate" dataDxfId="1436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435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434" headerRowBorderDxfId="1433" tableBorderDxfId="1432" totalsRowBorderDxfId="1431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430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429">
      <calculatedColumnFormula>COUNTIF(Scenario2[winner1-ability3],DruidAbilities3Scenario2[[#This Row],[ability]])</calculatedColumnFormula>
    </tableColumn>
    <tableColumn id="4" xr3:uid="{17A59155-4BEE-4B00-A77D-54C7568B711B}" name="battles-take-rate" dataDxfId="1428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427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86" totalsRowShown="0">
  <autoFilter ref="A2:G86" xr:uid="{00000000-0009-0000-0100-000002000000}"/>
  <tableColumns count="7">
    <tableColumn id="1" xr3:uid="{768E8866-D096-42A8-8945-023F2727FDAD}" name="hero-1"/>
    <tableColumn id="4" xr3:uid="{848F0152-FF75-4526-9B37-4C18B7BDEAF3}" name="team-1-win" dataDxfId="2007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2006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2005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426" headerRowBorderDxfId="1425" tableBorderDxfId="1424" totalsRowBorderDxfId="1423">
  <autoFilter ref="K59:O62" xr:uid="{DDB7F110-02A6-4F67-8266-251AF48CB7C0}"/>
  <tableColumns count="5">
    <tableColumn id="1" xr3:uid="{963218A6-E2C8-468F-A480-18EABD6D01C3}" name="ability" dataDxfId="1422"/>
    <tableColumn id="2" xr3:uid="{B7AE8A89-2A8C-49AF-8D96-6C1AB2DACE14}" name="takes" dataDxfId="1421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420">
      <calculatedColumnFormula>COUNTIF(Scenario2[winner1-ability4],DruidAbilities4Scenario2[[#This Row],[ability]])</calculatedColumnFormula>
    </tableColumn>
    <tableColumn id="4" xr3:uid="{AA29BEEB-A7D2-4818-96D2-39227A3BFA6F}" name="battles-take-rate" dataDxfId="1419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418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417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416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415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414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413">
      <calculatedColumnFormula>COUNTIF(Scenario3[winner1-ability1],DruidAbilities1Scenario3[[#This Row],[ability]])</calculatedColumnFormula>
    </tableColumn>
    <tableColumn id="5" xr3:uid="{4FF89EE2-8630-4141-AE21-A771AD1A9EF8}" name="battles-take-rate" dataDxfId="1412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411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410" headerRowBorderDxfId="1409" tableBorderDxfId="1408" totalsRowBorderDxfId="1407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406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405">
      <calculatedColumnFormula>COUNTIF(Scenario3[winner1-ability2],DruidAbilities2Scenario3[[#This Row],[ability]])</calculatedColumnFormula>
    </tableColumn>
    <tableColumn id="4" xr3:uid="{59808BF5-1BB2-4D2F-A36A-8FCA1917F73C}" name="battles-take-rate" dataDxfId="1404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403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402" headerRowBorderDxfId="1401" tableBorderDxfId="1400" totalsRowBorderDxfId="1399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398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397">
      <calculatedColumnFormula>COUNTIF(Scenario3[winner1-ability3],DruidAbilities3Scenario3[[#This Row],[ability]])</calculatedColumnFormula>
    </tableColumn>
    <tableColumn id="4" xr3:uid="{56EE8E9D-0B38-4F3C-A706-DF801F6E782A}" name="battles-take-rate" dataDxfId="1396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395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394" headerRowBorderDxfId="1393" tableBorderDxfId="1392" totalsRowBorderDxfId="1391">
  <autoFilter ref="K80:O83" xr:uid="{6C814871-D00E-4AC2-ABE0-4B3892D7F0AE}"/>
  <tableColumns count="5">
    <tableColumn id="1" xr3:uid="{B336BFD3-C277-43F6-97B4-769FAB55ABA9}" name="ability" dataDxfId="1390"/>
    <tableColumn id="2" xr3:uid="{5DC7BD53-CE7F-4C9C-B8BB-D410EDE17928}" name="takes" dataDxfId="1389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388">
      <calculatedColumnFormula>COUNTIF(Scenario3[winner1-ability4],DruidAbilities4Scenario3[[#This Row],[ability]])</calculatedColumnFormula>
    </tableColumn>
    <tableColumn id="4" xr3:uid="{B9D09778-1506-47CB-BB1F-A00AE865D740}" name="battles-take-rate" dataDxfId="1387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386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385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384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383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382">
      <calculatedColumnFormula>COUNTIF(Scenario4[winner1-ability1],DruidAbilities1Scenario4[[#This Row],[ability]])</calculatedColumnFormula>
    </tableColumn>
    <tableColumn id="5" xr3:uid="{06AAF157-CF91-4862-9B21-2300847F6670}" name="battles-take-rate" dataDxfId="1381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380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379" headerRowBorderDxfId="1378" tableBorderDxfId="1377" totalsRowBorderDxfId="1376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375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374">
      <calculatedColumnFormula>COUNTIF(Scenario4[winner1-ability2],DruidAbilities2Scenario4[[#This Row],[ability]])</calculatedColumnFormula>
    </tableColumn>
    <tableColumn id="4" xr3:uid="{FF69DC1A-7A6E-47CC-BBE3-E23DADEF715C}" name="battles-take-rate" dataDxfId="1373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372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1">
  <autoFilter ref="I2:L11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2004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2003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2002" totalsRowDxfId="2001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371" headerRowBorderDxfId="1370" tableBorderDxfId="1369" totalsRowBorderDxfId="1368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367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366">
      <calculatedColumnFormula>COUNTIF(Scenario4[winner1-ability3],DruidAbilities3Scenario4[[#This Row],[ability]])</calculatedColumnFormula>
    </tableColumn>
    <tableColumn id="4" xr3:uid="{E1D61A81-525A-4DC1-B6E9-25C258725BE6}" name="battles-take-rate" dataDxfId="1365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364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363" headerRowBorderDxfId="1362" tableBorderDxfId="1361" totalsRowBorderDxfId="1360">
  <autoFilter ref="K101:O104" xr:uid="{BCDE9ED1-1F22-42AC-AE3B-C1EED0842896}"/>
  <tableColumns count="5">
    <tableColumn id="1" xr3:uid="{DB6EB367-D24F-401C-919C-82D3EAEA2086}" name="ability" dataDxfId="1359"/>
    <tableColumn id="2" xr3:uid="{BBEB468B-4705-4289-A434-105410CC5CFC}" name="takes" dataDxfId="1358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357">
      <calculatedColumnFormula>COUNTIF(Scenario4[winner1-ability4],DruidAbilities4Scenario4[[#This Row],[ability]])</calculatedColumnFormula>
    </tableColumn>
    <tableColumn id="4" xr3:uid="{8295F0F3-E629-4A87-A950-FDB997C5BE5E}" name="battles-take-rate" dataDxfId="1356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355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354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353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352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351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350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349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348" headerRowBorderDxfId="1347" tableBorderDxfId="1346" totalsRowBorderDxfId="1345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344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343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342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341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340" headerRowBorderDxfId="1339" tableBorderDxfId="1338" totalsRowBorderDxfId="1337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336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335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334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333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332" headerRowBorderDxfId="1331" tableBorderDxfId="1330" totalsRowBorderDxfId="1329">
  <autoFilter ref="K122:O125" xr:uid="{2FAABC51-3ED7-410E-B39C-5A68AC6ED2E4}"/>
  <tableColumns count="5">
    <tableColumn id="1" xr3:uid="{7F722AC3-75F6-45B3-9190-827293B02D4C}" name="ability" dataDxfId="1328"/>
    <tableColumn id="2" xr3:uid="{683FB055-6956-496F-A0E9-5C2E73881138}" name="takes" dataDxfId="1327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326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325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324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323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322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321">
      <calculatedColumnFormula>L3+L24+L45+L66+L87+L108</calculatedColumnFormula>
    </tableColumn>
    <tableColumn id="4" xr3:uid="{EC3B8EC8-1BFA-48CF-8CDE-94C6F7C34CA6}" name="wins" dataDxfId="1320">
      <calculatedColumnFormula>M3+M24+M45+M66+M87+M108</calculatedColumnFormula>
    </tableColumn>
    <tableColumn id="5" xr3:uid="{F0960502-C6CE-4EB1-BD9C-74EF7F619CEB}" name="battles-take-rate" dataDxfId="1319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318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317" headerRowBorderDxfId="1316" tableBorderDxfId="1315" totalsRowBorderDxfId="1314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313">
      <calculatedColumnFormula>L8+L29+L50+L71+L92+L113</calculatedColumnFormula>
    </tableColumn>
    <tableColumn id="3" xr3:uid="{DC8F8E66-B8EB-483C-B2BE-7C9B2A81E076}" name="wins" dataDxfId="1312">
      <calculatedColumnFormula>M8+M29+M50+M71+M92+M113</calculatedColumnFormula>
    </tableColumn>
    <tableColumn id="4" xr3:uid="{5AD9DA06-82FA-4EF9-BFCA-BF0FFFF88911}" name="battles-take-rate" dataDxfId="1311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310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127" totalsRowShown="0">
  <autoFilter ref="A1:AJ127" xr:uid="{00000000-0009-0000-0100-000001000000}"/>
  <tableColumns count="36">
    <tableColumn id="1" xr3:uid="{BCD668BC-EA15-4124-A76A-A95AB955ABF3}" name="battle" dataDxfId="1997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309" headerRowBorderDxfId="1308" tableBorderDxfId="1307" totalsRowBorderDxfId="1306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305">
      <calculatedColumnFormula>L13+L34+L55+L76+L97+L118</calculatedColumnFormula>
    </tableColumn>
    <tableColumn id="3" xr3:uid="{C0F69861-77B3-4AAF-8D53-36D42207F13D}" name="wins" dataDxfId="1304">
      <calculatedColumnFormula>M13+M34+M55+M76+M97+M118</calculatedColumnFormula>
    </tableColumn>
    <tableColumn id="4" xr3:uid="{17EE2411-F535-4C09-9682-1BE2E263BF38}" name="battles-take-rate" dataDxfId="1303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302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301" headerRowBorderDxfId="1300" tableBorderDxfId="1299" totalsRowBorderDxfId="1298">
  <autoFilter ref="A17:E20" xr:uid="{2AADA4A0-2F4A-4009-8ECF-0BECA693390C}"/>
  <tableColumns count="5">
    <tableColumn id="1" xr3:uid="{5859F4D6-E405-494D-9495-456C2A717042}" name="ability" dataDxfId="1297"/>
    <tableColumn id="2" xr3:uid="{13382877-AB77-41B2-B30F-FD8ADF1868AD}" name="takes" dataDxfId="1296">
      <calculatedColumnFormula>L18+L39+L60+L81+L102+L123</calculatedColumnFormula>
    </tableColumn>
    <tableColumn id="3" xr3:uid="{56A52BF0-1C62-4182-A5FB-18D3BE10282A}" name="wins" dataDxfId="1295">
      <calculatedColumnFormula>M18+M39+M60+M81+M102+M123</calculatedColumnFormula>
    </tableColumn>
    <tableColumn id="4" xr3:uid="{F15A1649-CD46-4B82-A2D9-FCA28362795D}" name="battles-take-rate" dataDxfId="1294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293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292">
      <calculatedColumnFormula>R3+R24+R45+R66+R87+R108</calculatedColumnFormula>
    </tableColumn>
    <tableColumn id="4" xr3:uid="{069713F1-C2CC-49D1-89BE-818384A2E4FD}" name="chestpiece" dataDxfId="1291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290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289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288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287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286" headerRowBorderDxfId="1285" tableBorderDxfId="1284" totalsRowBorderDxfId="1283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282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281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280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279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278" headerRowBorderDxfId="1277" tableBorderDxfId="1276" totalsRowBorderDxfId="1275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274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273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272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271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270" headerRowBorderDxfId="1269" tableBorderDxfId="1268" totalsRowBorderDxfId="1267">
  <autoFilter ref="K17:O20" xr:uid="{01E0B516-A92C-45D4-946B-0FCF2F31D98A}"/>
  <tableColumns count="5">
    <tableColumn id="1" xr3:uid="{6E3ACF5F-C817-4C40-88BC-5BCD22AC85C1}" name="ability" dataDxfId="1266"/>
    <tableColumn id="2" xr3:uid="{B913933F-DE61-4933-B988-849E3D873B6C}" name="takes" dataDxfId="1265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264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263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262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261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260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259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258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257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256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255" headerRowBorderDxfId="1254" tableBorderDxfId="1253" totalsRowBorderDxfId="1252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251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250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249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248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128" totalsRowShown="0">
  <autoFilter ref="A2:I128" xr:uid="{00000000-0009-0000-0100-000002000000}"/>
  <tableColumns count="9">
    <tableColumn id="1" xr3:uid="{DE4CB1A4-2C52-4BA0-B8DF-E73440231F90}" name="hero-1"/>
    <tableColumn id="4" xr3:uid="{67B29D39-57DD-495A-9550-8B9A67A2CBD6}" name="team-1-win" dataDxfId="1996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995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994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247" headerRowBorderDxfId="1246" tableBorderDxfId="1245" totalsRowBorderDxfId="1244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243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242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241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240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239" headerRowBorderDxfId="1238" tableBorderDxfId="1237" totalsRowBorderDxfId="1236">
  <autoFilter ref="K38:O41" xr:uid="{A1F38E75-59DE-4DB4-B81C-C0322397F6F7}"/>
  <tableColumns count="5">
    <tableColumn id="1" xr3:uid="{CB833622-9500-452A-9643-EC635B82CE80}" name="ability" dataDxfId="1235"/>
    <tableColumn id="2" xr3:uid="{91B01C21-E0B8-45E1-8DF5-A7B9A623E34E}" name="takes" dataDxfId="1234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233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232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231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230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229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228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227">
      <calculatedColumnFormula>COUNTIF(Scenario2[winner1-ability1],OracleAbilities1Scenario2[[#This Row],[ability]])</calculatedColumnFormula>
    </tableColumn>
    <tableColumn id="5" xr3:uid="{034FA980-30F5-4A65-930E-873C758C7280}" name="battles-take-rate" dataDxfId="1226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225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224" headerRowBorderDxfId="1223" tableBorderDxfId="1222" totalsRowBorderDxfId="1221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220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219">
      <calculatedColumnFormula>COUNTIF(Scenario2[winner1-ability2],OracleAbilities2Scenario2[[#This Row],[ability]])</calculatedColumnFormula>
    </tableColumn>
    <tableColumn id="4" xr3:uid="{447E5C6C-E9F9-4D65-9CC8-EFF3C7DE5206}" name="battles-take-rate" dataDxfId="1218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217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216" headerRowBorderDxfId="1215" tableBorderDxfId="1214" totalsRowBorderDxfId="1213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212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211">
      <calculatedColumnFormula>COUNTIF(Scenario2[winner1-ability3],OracleAbilities3Scenario2[[#This Row],[ability]])</calculatedColumnFormula>
    </tableColumn>
    <tableColumn id="4" xr3:uid="{14BEA7A5-F9D1-44CF-A38C-50CB90297594}" name="battles-take-rate" dataDxfId="1210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1209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1208" headerRowBorderDxfId="1207" tableBorderDxfId="1206" totalsRowBorderDxfId="1205">
  <autoFilter ref="K59:O62" xr:uid="{DDB7F110-02A6-4F67-8266-251AF48CB7C0}"/>
  <tableColumns count="5">
    <tableColumn id="1" xr3:uid="{684380C7-16C1-449D-A8CD-E4785101BEE3}" name="ability" dataDxfId="1204"/>
    <tableColumn id="2" xr3:uid="{A5078570-2F9D-4A26-860A-7EA42522F276}" name="takes" dataDxfId="1203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1202">
      <calculatedColumnFormula>COUNTIF(Scenario2[winner1-ability4],OracleAbilities4Scenario2[[#This Row],[ability]])</calculatedColumnFormula>
    </tableColumn>
    <tableColumn id="4" xr3:uid="{25CD52B3-8C70-4953-9C63-7606955949E3}" name="battles-take-rate" dataDxfId="1201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1200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1199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1198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1197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1196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1195">
      <calculatedColumnFormula>COUNTIF(Scenario3[winner1-ability1],OracleAbilities1Scenario3[[#This Row],[ability]])</calculatedColumnFormula>
    </tableColumn>
    <tableColumn id="5" xr3:uid="{DE62042D-7982-4BF3-B071-8EDF692003FE}" name="battles-take-rate" dataDxfId="1194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1193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1">
  <autoFilter ref="K2:N11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993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992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991" totalsRowDxfId="1990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1192" headerRowBorderDxfId="1191" tableBorderDxfId="1190" totalsRowBorderDxfId="1189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1188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1187">
      <calculatedColumnFormula>COUNTIF(Scenario3[winner1-ability2],OracleAbilities2Scenario3[[#This Row],[ability]])</calculatedColumnFormula>
    </tableColumn>
    <tableColumn id="4" xr3:uid="{8DF31301-6566-4092-A843-4FFDD045A618}" name="battles-take-rate" dataDxfId="1186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1185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1184" headerRowBorderDxfId="1183" tableBorderDxfId="1182" totalsRowBorderDxfId="1181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1180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1179">
      <calculatedColumnFormula>COUNTIF(Scenario3[winner1-ability3],OracleAbilities3Scenario3[[#This Row],[ability]])</calculatedColumnFormula>
    </tableColumn>
    <tableColumn id="4" xr3:uid="{3DF4458E-C16E-4A8A-B345-E3B7F6485141}" name="battles-take-rate" dataDxfId="1178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1177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1176" headerRowBorderDxfId="1175" tableBorderDxfId="1174" totalsRowBorderDxfId="1173">
  <autoFilter ref="K80:O83" xr:uid="{D79E2D8A-FC77-422A-AA03-F5F2585C088A}"/>
  <tableColumns count="5">
    <tableColumn id="1" xr3:uid="{DBD34D79-41EF-433F-AF97-F8A313ED3DF0}" name="ability" dataDxfId="1172"/>
    <tableColumn id="2" xr3:uid="{F2E59DF2-2278-41C3-97C8-B7A29C9CCB3B}" name="takes" dataDxfId="1171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1170">
      <calculatedColumnFormula>COUNTIF(Scenario3[winner1-ability4],OracleAbilities4Scenario3[[#This Row],[ability]])</calculatedColumnFormula>
    </tableColumn>
    <tableColumn id="4" xr3:uid="{91B8F5F4-FFA1-4668-B2FE-3D694C677333}" name="battles-take-rate" dataDxfId="1169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1168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1167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1166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1165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1164">
      <calculatedColumnFormula>COUNTIF(Scenario4[winner1-ability1],OracleAbilities1Scenario4[[#This Row],[ability]])</calculatedColumnFormula>
    </tableColumn>
    <tableColumn id="5" xr3:uid="{20962A48-FDB1-4433-AD85-6B419B89A67F}" name="battles-take-rate" dataDxfId="1163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1162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1161" headerRowBorderDxfId="1160" tableBorderDxfId="1159" totalsRowBorderDxfId="1158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1157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1156">
      <calculatedColumnFormula>COUNTIF(Scenario4[winner1-ability2],OracleAbilities2Scenario4[[#This Row],[ability]])</calculatedColumnFormula>
    </tableColumn>
    <tableColumn id="4" xr3:uid="{E158F215-350E-4C9E-8771-BFA9C4D2CF70}" name="battles-take-rate" dataDxfId="1155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1154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1153" headerRowBorderDxfId="1152" tableBorderDxfId="1151" totalsRowBorderDxfId="1150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1149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1148">
      <calculatedColumnFormula>COUNTIF(Scenario4[winner1-ability3],OracleAbilities3Scenario4[[#This Row],[ability]])</calculatedColumnFormula>
    </tableColumn>
    <tableColumn id="4" xr3:uid="{545DD3BB-A8B7-4278-B9E0-8B99F4DA3A2D}" name="battles-take-rate" dataDxfId="1147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1146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1145" headerRowBorderDxfId="1144" tableBorderDxfId="1143" totalsRowBorderDxfId="1142">
  <autoFilter ref="K101:O104" xr:uid="{A90B60DF-6D5E-424F-AC92-0501EE8D54C9}"/>
  <tableColumns count="5">
    <tableColumn id="1" xr3:uid="{2BCBEE41-2EFE-491D-9797-7EF335F79D9B}" name="ability" dataDxfId="1141"/>
    <tableColumn id="2" xr3:uid="{DF0F6ED7-41ED-40AF-884D-0FAA02427295}" name="takes" dataDxfId="1140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1139">
      <calculatedColumnFormula>COUNTIF(Scenario4[winner1-ability4],OracleAbilities4Scenario4[[#This Row],[ability]])</calculatedColumnFormula>
    </tableColumn>
    <tableColumn id="4" xr3:uid="{0241E110-A31B-4B51-AEEF-C37D5902AA27}" name="battles-take-rate" dataDxfId="1138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1137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1136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1135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1134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1133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1132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1131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379" totalsRowShown="0">
  <autoFilter ref="A1:AJ379" xr:uid="{00000000-0009-0000-0100-000001000000}"/>
  <tableColumns count="36">
    <tableColumn id="1" xr3:uid="{EF069B9A-F666-4BB1-8683-9730FA583554}" name="battle" dataDxfId="1986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1130" headerRowBorderDxfId="1129" tableBorderDxfId="1128" totalsRowBorderDxfId="1127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1126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1125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1124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1123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1122" headerRowBorderDxfId="1121" tableBorderDxfId="1120" totalsRowBorderDxfId="1119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1118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1117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1116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1115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1114" headerRowBorderDxfId="1113" tableBorderDxfId="1112" totalsRowBorderDxfId="1111">
  <autoFilter ref="K122:O125" xr:uid="{E2E1629C-B0D9-466D-BD66-8E394B74E384}"/>
  <tableColumns count="5">
    <tableColumn id="1" xr3:uid="{AA533A29-20C2-4A65-AC96-65CCA3457C7E}" name="ability" dataDxfId="1110"/>
    <tableColumn id="2" xr3:uid="{8EF487D6-4412-4F93-A267-6247F705D69A}" name="takes" dataDxfId="1109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1108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1107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1106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1105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1104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1103">
      <calculatedColumnFormula>L3+L24+L45+L66+L87+L108</calculatedColumnFormula>
    </tableColumn>
    <tableColumn id="4" xr3:uid="{35DA6B5B-7FC1-492C-B2D0-6F511F16DAD4}" name="wins" dataDxfId="1102">
      <calculatedColumnFormula>M3+M24+M45+M66+M87+M108</calculatedColumnFormula>
    </tableColumn>
    <tableColumn id="5" xr3:uid="{FAF7873E-FAE0-4F3C-BAB5-7E4AC3926D8C}" name="battles-take-rate" dataDxfId="1101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1100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1099" headerRowBorderDxfId="1098" tableBorderDxfId="1097" totalsRowBorderDxfId="1096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1095">
      <calculatedColumnFormula>L8+L29+L50+L71+L92+L113</calculatedColumnFormula>
    </tableColumn>
    <tableColumn id="3" xr3:uid="{A06DED1F-7374-4755-8A38-527DEBEFD3C6}" name="wins" dataDxfId="1094">
      <calculatedColumnFormula>M8+M29+M50+M71+M92+M113</calculatedColumnFormula>
    </tableColumn>
    <tableColumn id="4" xr3:uid="{C56FD638-0548-4732-8F67-350D170E46E5}" name="battles-take-rate" dataDxfId="1093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1092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1091" headerRowBorderDxfId="1090" tableBorderDxfId="1089" totalsRowBorderDxfId="1088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1087">
      <calculatedColumnFormula>L13+L34+L55+L76+L97+L118</calculatedColumnFormula>
    </tableColumn>
    <tableColumn id="3" xr3:uid="{150079D1-0272-4CFB-8282-44464105457B}" name="wins" dataDxfId="1086">
      <calculatedColumnFormula>M13+M34+M55+M76+M97+M118</calculatedColumnFormula>
    </tableColumn>
    <tableColumn id="4" xr3:uid="{65FEB6D5-A05E-4FC8-B85E-99DFC519570C}" name="battles-take-rate" dataDxfId="1085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1084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1083" headerRowBorderDxfId="1082" tableBorderDxfId="1081" totalsRowBorderDxfId="1080">
  <autoFilter ref="A17:E20" xr:uid="{2AADA4A0-2F4A-4009-8ECF-0BECA693390C}"/>
  <tableColumns count="5">
    <tableColumn id="1" xr3:uid="{F38332B4-A633-4A53-A294-B990E53A9E9E}" name="ability" dataDxfId="1079"/>
    <tableColumn id="2" xr3:uid="{A659B804-FBC0-4B86-B0D0-259516FAF254}" name="takes" dataDxfId="1078">
      <calculatedColumnFormula>L18+L39+L60+L81+L102+L123</calculatedColumnFormula>
    </tableColumn>
    <tableColumn id="3" xr3:uid="{4DFB6D75-6E90-4DA5-BE74-537E8812340F}" name="wins" dataDxfId="1077">
      <calculatedColumnFormula>M18+M39+M60+M81+M102+M123</calculatedColumnFormula>
    </tableColumn>
    <tableColumn id="4" xr3:uid="{D1650154-5016-46B0-8BD5-16233AA11280}" name="battles-take-rate" dataDxfId="1076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1075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1074">
      <calculatedColumnFormula>R3+R24+R45+R66+R87+R108</calculatedColumnFormula>
    </tableColumn>
    <tableColumn id="4" xr3:uid="{5D997E40-F727-46C7-B765-00166A875EA3}" name="chestpiece" dataDxfId="1073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1072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1071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1070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1069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380" totalsRowShown="0">
  <autoFilter ref="A2:G380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985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984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983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1068" headerRowBorderDxfId="1067" tableBorderDxfId="1066" totalsRowBorderDxfId="1065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1064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1063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1062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1061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1060" headerRowBorderDxfId="1059" tableBorderDxfId="1058" totalsRowBorderDxfId="1057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1056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1055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1054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1053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1052" headerRowBorderDxfId="1051" tableBorderDxfId="1050" totalsRowBorderDxfId="1049">
  <autoFilter ref="K17:O20" xr:uid="{01E0B516-A92C-45D4-946B-0FCF2F31D98A}"/>
  <tableColumns count="5">
    <tableColumn id="1" xr3:uid="{B1ECB730-0F58-4ABC-942D-CAE55E41CA9A}" name="ability" dataDxfId="1048"/>
    <tableColumn id="2" xr3:uid="{508F1330-F650-4934-B53E-5CF30E50850F}" name="takes" dataDxfId="1047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1046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1045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1044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1043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1042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1041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1040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1039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1038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1037" headerRowBorderDxfId="1036" tableBorderDxfId="1035" totalsRowBorderDxfId="1034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1033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1032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1031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1030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1029" headerRowBorderDxfId="1028" tableBorderDxfId="1027" totalsRowBorderDxfId="1026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1025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1024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1023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1022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1021" headerRowBorderDxfId="1020" tableBorderDxfId="1019" totalsRowBorderDxfId="1018">
  <autoFilter ref="K38:O41" xr:uid="{A1F38E75-59DE-4DB4-B81C-C0322397F6F7}"/>
  <tableColumns count="5">
    <tableColumn id="1" xr3:uid="{E95AEAE3-62BB-4DA7-B153-EB2086E73E57}" name="ability" dataDxfId="1017"/>
    <tableColumn id="2" xr3:uid="{2A9E73B8-CD6F-4011-BAC1-63B6A821F80F}" name="takes" dataDxfId="1016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1015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1014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1013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1012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1011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1010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1009">
      <calculatedColumnFormula>COUNTIF(Scenario2[winner1-ability1],AvatarAbilities1Scenario2[[#This Row],[ability]])</calculatedColumnFormula>
    </tableColumn>
    <tableColumn id="5" xr3:uid="{1E61EB7F-DF68-4EB7-80E2-73B696E16EFA}" name="battles-take-rate" dataDxfId="1008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1007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7">
  <autoFilter ref="I2:M37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982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981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980" totalsRowDxfId="1979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1006" headerRowBorderDxfId="1005" tableBorderDxfId="1004" totalsRowBorderDxfId="1003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1002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1001">
      <calculatedColumnFormula>COUNTIF(Scenario2[winner1-ability2],AvatarAbilities2Scenario2[[#This Row],[ability]])</calculatedColumnFormula>
    </tableColumn>
    <tableColumn id="4" xr3:uid="{C9E6BEDE-6D55-465F-A23C-088B0E5A7769}" name="battles-take-rate" dataDxfId="1000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999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998" headerRowBorderDxfId="997" tableBorderDxfId="996" totalsRowBorderDxfId="995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994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993">
      <calculatedColumnFormula>COUNTIF(Scenario2[winner1-ability3],AvatarAbilities3Scenario2[[#This Row],[ability]])</calculatedColumnFormula>
    </tableColumn>
    <tableColumn id="4" xr3:uid="{ADEFFFFC-593D-4983-81AB-62FCA7D838BE}" name="battles-take-rate" dataDxfId="992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991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990" headerRowBorderDxfId="989" tableBorderDxfId="988" totalsRowBorderDxfId="987">
  <autoFilter ref="K59:O62" xr:uid="{DDB7F110-02A6-4F67-8266-251AF48CB7C0}"/>
  <tableColumns count="5">
    <tableColumn id="1" xr3:uid="{41FFE711-9BC2-4C77-93E0-ED76EFB9F1D5}" name="ability" dataDxfId="986"/>
    <tableColumn id="2" xr3:uid="{79EA1ED0-B935-47D2-A86B-D83C6704E80A}" name="takes" dataDxfId="985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984">
      <calculatedColumnFormula>COUNTIF(Scenario2[winner1-ability4],AvatarAbilities4Scenario2[[#This Row],[ability]])</calculatedColumnFormula>
    </tableColumn>
    <tableColumn id="4" xr3:uid="{02651184-3B76-4AC5-89C2-D810EC158F1B}" name="battles-take-rate" dataDxfId="983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982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981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980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979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978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977">
      <calculatedColumnFormula>COUNTIF(Scenario3[winner1-ability1],AvatarAbilities1Scenario3[[#This Row],[ability]])</calculatedColumnFormula>
    </tableColumn>
    <tableColumn id="5" xr3:uid="{DCB58979-EA4F-4103-8C4A-C096D75756ED}" name="battles-take-rate" dataDxfId="976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975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974" headerRowBorderDxfId="973" tableBorderDxfId="972" totalsRowBorderDxfId="971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970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969">
      <calculatedColumnFormula>COUNTIF(Scenario3[winner1-ability2],AvatarAbilities2Scenario3[[#This Row],[ability]])</calculatedColumnFormula>
    </tableColumn>
    <tableColumn id="4" xr3:uid="{70DDA6D0-1C36-48E6-8E20-D94EDE0BDFEA}" name="battles-take-rate" dataDxfId="968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967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966" headerRowBorderDxfId="965" tableBorderDxfId="964" totalsRowBorderDxfId="963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962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961">
      <calculatedColumnFormula>COUNTIF(Scenario3[winner1-ability3],AvatarAbilities3Scenario3[[#This Row],[ability]])</calculatedColumnFormula>
    </tableColumn>
    <tableColumn id="4" xr3:uid="{C06BD8DF-C441-459D-85EE-FD64A2043DD6}" name="battles-take-rate" dataDxfId="960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959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958" headerRowBorderDxfId="957" tableBorderDxfId="956" totalsRowBorderDxfId="955">
  <autoFilter ref="K80:O83" xr:uid="{6EEA34E6-E459-456B-91DD-043B51317E20}"/>
  <tableColumns count="5">
    <tableColumn id="1" xr3:uid="{8A349459-D27C-4E5A-A944-0E74AA4FA7B4}" name="ability" dataDxfId="954"/>
    <tableColumn id="2" xr3:uid="{D6DB89E1-6F3B-4EA4-ADC1-184D6ABA99BE}" name="takes" dataDxfId="953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952">
      <calculatedColumnFormula>COUNTIF(Scenario3[winner1-ability4],AvatarAbilities4Scenario3[[#This Row],[ability]])</calculatedColumnFormula>
    </tableColumn>
    <tableColumn id="4" xr3:uid="{8AF2EF2E-5801-460B-AD63-71BB7539AA5F}" name="battles-take-rate" dataDxfId="951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950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949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948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10" totalsRowShown="0">
  <autoFilter ref="A1:J10" xr:uid="{63405EB0-A525-4FAC-AD12-CF7C798DE05C}"/>
  <tableColumns count="10">
    <tableColumn id="1" xr3:uid="{85B8E500-D508-49B7-B6C2-4293FF88864C}" name="hero"/>
    <tableColumn id="2" xr3:uid="{58A5592F-1F6D-4BC0-A001-DA1EE7044444}" name="battles" dataDxfId="1978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977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976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947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946">
      <calculatedColumnFormula>COUNTIF(Scenario4[winner1-ability1],AvatarAbilities1Scenario4[[#This Row],[ability]])</calculatedColumnFormula>
    </tableColumn>
    <tableColumn id="5" xr3:uid="{846FA7C9-7442-4196-AC20-39FB98DAF0BC}" name="battles-take-rate" dataDxfId="945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944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943" headerRowBorderDxfId="942" tableBorderDxfId="941" totalsRowBorderDxfId="940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939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938">
      <calculatedColumnFormula>COUNTIF(Scenario4[winner1-ability2],AvatarAbilities2Scenario4[[#This Row],[ability]])</calculatedColumnFormula>
    </tableColumn>
    <tableColumn id="4" xr3:uid="{F137D81F-3073-4FAD-9B08-809B82677FC3}" name="battles-take-rate" dataDxfId="937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936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935" headerRowBorderDxfId="934" tableBorderDxfId="933" totalsRowBorderDxfId="932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931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930">
      <calculatedColumnFormula>COUNTIF(Scenario4[winner1-ability3],AvatarAbilities3Scenario4[[#This Row],[ability]])</calculatedColumnFormula>
    </tableColumn>
    <tableColumn id="4" xr3:uid="{135BEB7A-915D-48E6-B091-0340F09F4D94}" name="battles-take-rate" dataDxfId="929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928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927" headerRowBorderDxfId="926" tableBorderDxfId="925" totalsRowBorderDxfId="924">
  <autoFilter ref="K101:O104" xr:uid="{B70B30A2-D94A-4C2F-A92C-F84D834CB3E7}"/>
  <tableColumns count="5">
    <tableColumn id="1" xr3:uid="{002E9049-8F7A-4096-964E-F4939A456F53}" name="ability" dataDxfId="923"/>
    <tableColumn id="2" xr3:uid="{8EB8EF4A-38F7-42BA-A433-E84AC27F3BE5}" name="takes" dataDxfId="922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921">
      <calculatedColumnFormula>COUNTIF(Scenario4[winner1-ability4],AvatarAbilities4Scenario4[[#This Row],[ability]])</calculatedColumnFormula>
    </tableColumn>
    <tableColumn id="4" xr3:uid="{65133FD4-CB3E-451F-9B0A-15A3A8F6140F}" name="battles-take-rate" dataDxfId="920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919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918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917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916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915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914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913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912" headerRowBorderDxfId="911" tableBorderDxfId="910" totalsRowBorderDxfId="909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908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907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906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905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904" headerRowBorderDxfId="903" tableBorderDxfId="902" totalsRowBorderDxfId="901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900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899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898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897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896" headerRowBorderDxfId="895" tableBorderDxfId="894" totalsRowBorderDxfId="893">
  <autoFilter ref="K122:O125" xr:uid="{E059746D-E675-4EF0-88F4-8791605FEEED}"/>
  <tableColumns count="5">
    <tableColumn id="1" xr3:uid="{20267F99-9DF2-489F-A0FB-268A63BB5519}" name="ability" dataDxfId="892"/>
    <tableColumn id="2" xr3:uid="{ED1C9F8E-8284-4586-BDDB-F607F38E81E8}" name="takes" dataDxfId="891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890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889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888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887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886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380" totalsRowShown="0">
  <autoFilter ref="A2:G380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041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040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2039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975">
      <calculatedColumnFormula>M3+M24+M45+M66+M87+M108</calculatedColumnFormula>
    </tableColumn>
    <tableColumn id="4" xr3:uid="{61A21492-49FF-4C06-A153-6F532C6C5A30}" name="wins" dataDxfId="1974">
      <calculatedColumnFormula>N3+N24+N45+N66+N87+N108</calculatedColumnFormula>
    </tableColumn>
    <tableColumn id="5" xr3:uid="{E54CF930-9561-430F-9E4C-4FBFE41AE34D}" name="battles-take-rate" dataDxfId="1973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972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885">
      <calculatedColumnFormula>L3+L24+L45+L66+L87+L108</calculatedColumnFormula>
    </tableColumn>
    <tableColumn id="4" xr3:uid="{E7594F03-C9FD-4ADD-810F-A5D3A80A11D0}" name="wins" dataDxfId="884">
      <calculatedColumnFormula>M3+M24+M45+M66+M87+M108</calculatedColumnFormula>
    </tableColumn>
    <tableColumn id="5" xr3:uid="{02A46B5D-C22D-499B-A57A-EDE540A8C147}" name="battles-take-rate" dataDxfId="883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882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881" headerRowBorderDxfId="880" tableBorderDxfId="879" totalsRowBorderDxfId="878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877">
      <calculatedColumnFormula>L8+L29+L50+L71+L92+L113</calculatedColumnFormula>
    </tableColumn>
    <tableColumn id="3" xr3:uid="{F5082C29-A973-4FDC-8C6D-DAB230FD220B}" name="wins" dataDxfId="876">
      <calculatedColumnFormula>M8+M29+M50+M71+M92+M113</calculatedColumnFormula>
    </tableColumn>
    <tableColumn id="4" xr3:uid="{955AA51C-C441-4923-93B4-21A375FB8EAB}" name="battles-take-rate" dataDxfId="875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874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873" headerRowBorderDxfId="872" tableBorderDxfId="871" totalsRowBorderDxfId="870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869">
      <calculatedColumnFormula>L13+L34+L55+L76+L97+L118</calculatedColumnFormula>
    </tableColumn>
    <tableColumn id="3" xr3:uid="{69A0AA59-1954-41A9-9184-3D9DCEC82306}" name="wins" dataDxfId="868">
      <calculatedColumnFormula>M13+M34+M55+M76+M97+M118</calculatedColumnFormula>
    </tableColumn>
    <tableColumn id="4" xr3:uid="{D2E0470C-3533-4EB8-BCB1-093B0305CFE5}" name="battles-take-rate" dataDxfId="867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866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865" headerRowBorderDxfId="864" tableBorderDxfId="863" totalsRowBorderDxfId="862">
  <autoFilter ref="A17:E20" xr:uid="{2AADA4A0-2F4A-4009-8ECF-0BECA693390C}"/>
  <tableColumns count="5">
    <tableColumn id="1" xr3:uid="{508E3F3C-793A-4D3F-8FE4-5033189433FA}" name="ability" dataDxfId="861"/>
    <tableColumn id="2" xr3:uid="{26190FBD-0D5B-4F70-AB7C-38105BD3682B}" name="takes" dataDxfId="860">
      <calculatedColumnFormula>L18+L39+L60+L81+L102+L123</calculatedColumnFormula>
    </tableColumn>
    <tableColumn id="3" xr3:uid="{6304B665-DF35-4910-8085-1B0F98C1C08E}" name="wins" dataDxfId="859">
      <calculatedColumnFormula>M18+M39+M60+M81+M102+M123</calculatedColumnFormula>
    </tableColumn>
    <tableColumn id="4" xr3:uid="{CE4233CF-2026-408F-A9F5-172CFF825DD4}" name="battles-take-rate" dataDxfId="858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857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856">
      <calculatedColumnFormula>R3+R24+R45+R66+R87+R108</calculatedColumnFormula>
    </tableColumn>
    <tableColumn id="4" xr3:uid="{066CD957-712B-40B8-9181-60B4B646F9D5}" name="chestpiece" dataDxfId="855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854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853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852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851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850" headerRowBorderDxfId="849" tableBorderDxfId="848" totalsRowBorderDxfId="847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846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845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844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843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842" headerRowBorderDxfId="841" tableBorderDxfId="840" totalsRowBorderDxfId="839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838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837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836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835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834" headerRowBorderDxfId="833" tableBorderDxfId="832" totalsRowBorderDxfId="831">
  <autoFilter ref="K17:O20" xr:uid="{01E0B516-A92C-45D4-946B-0FCF2F31D98A}"/>
  <tableColumns count="5">
    <tableColumn id="1" xr3:uid="{7A69B0E2-20CF-43A3-920A-9AE63CA4EDD6}" name="ability" dataDxfId="830"/>
    <tableColumn id="2" xr3:uid="{A0E31296-499C-405F-BCF6-B2EAB56FDACC}" name="takes" dataDxfId="829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828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827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826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825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824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971" headerRowBorderDxfId="1970" tableBorderDxfId="1969" totalsRowBorderDxfId="1968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967">
      <calculatedColumnFormula>M8+M29+M50+M71+M92+M113</calculatedColumnFormula>
    </tableColumn>
    <tableColumn id="3" xr3:uid="{80A922C6-64D8-44FE-96CB-B7E1F6FDC03C}" name="wins" dataDxfId="1966">
      <calculatedColumnFormula>N8+N29+N50+N71+N92+N113</calculatedColumnFormula>
    </tableColumn>
    <tableColumn id="4" xr3:uid="{554161FF-0726-4138-B76E-C5C63F8E633A}" name="battles-take-rate" dataDxfId="1965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964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823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822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821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820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819" headerRowBorderDxfId="818" tableBorderDxfId="817" totalsRowBorderDxfId="816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815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814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813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812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811" headerRowBorderDxfId="810" tableBorderDxfId="809" totalsRowBorderDxfId="808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807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806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805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804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803" headerRowBorderDxfId="802" tableBorderDxfId="801" totalsRowBorderDxfId="800">
  <autoFilter ref="K38:O41" xr:uid="{A1F38E75-59DE-4DB4-B81C-C0322397F6F7}"/>
  <tableColumns count="5">
    <tableColumn id="1" xr3:uid="{B95A8C1F-E83A-4A7B-ACAE-F997D171F354}" name="ability" dataDxfId="799"/>
    <tableColumn id="2" xr3:uid="{B5A87322-37A1-488C-B6C2-23B9D65EEB08}" name="takes" dataDxfId="798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797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796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795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794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793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792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791">
      <calculatedColumnFormula>COUNTIF(Scenario2[winner1-ability1],ShadowAbilities1Scenario2[[#This Row],[ability]])</calculatedColumnFormula>
    </tableColumn>
    <tableColumn id="5" xr3:uid="{AE0DC280-6579-4B86-B8B4-CDC9AF90EDBE}" name="battles-take-rate" dataDxfId="790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789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788" headerRowBorderDxfId="787" tableBorderDxfId="786" totalsRowBorderDxfId="785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784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783">
      <calculatedColumnFormula>COUNTIF(Scenario2[winner1-ability2],ShadowAbilities2Scenario2[[#This Row],[ability]])</calculatedColumnFormula>
    </tableColumn>
    <tableColumn id="4" xr3:uid="{348088A2-AD3A-435D-AAD6-1030EDC81266}" name="battles-take-rate" dataDxfId="782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781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780" headerRowBorderDxfId="779" tableBorderDxfId="778" totalsRowBorderDxfId="777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776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775">
      <calculatedColumnFormula>COUNTIF(Scenario2[winner1-ability3],ShadowAbilities3Scenario2[[#This Row],[ability]])</calculatedColumnFormula>
    </tableColumn>
    <tableColumn id="4" xr3:uid="{B6BC679A-540A-46F8-8039-4C37B6F8FAD6}" name="battles-take-rate" dataDxfId="774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773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772" headerRowBorderDxfId="771" tableBorderDxfId="770" totalsRowBorderDxfId="769">
  <autoFilter ref="K59:O62" xr:uid="{DDB7F110-02A6-4F67-8266-251AF48CB7C0}"/>
  <tableColumns count="5">
    <tableColumn id="1" xr3:uid="{808C7394-83C0-4054-AFB9-9F9E1965E6DC}" name="ability" dataDxfId="768"/>
    <tableColumn id="2" xr3:uid="{A8117EB0-F8AE-4362-841F-EBC31BDC80E7}" name="takes" dataDxfId="767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766">
      <calculatedColumnFormula>COUNTIF(Scenario2[winner1-ability4],ShadowAbilities4Scenario2[[#This Row],[ability]])</calculatedColumnFormula>
    </tableColumn>
    <tableColumn id="4" xr3:uid="{D18D0446-17DA-4367-8791-04B929BF7C7E}" name="battles-take-rate" dataDxfId="765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764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763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762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963" headerRowBorderDxfId="1962" tableBorderDxfId="1961" totalsRowBorderDxfId="1960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959">
      <calculatedColumnFormula>M13+M34+M55+M76+M97+M118</calculatedColumnFormula>
    </tableColumn>
    <tableColumn id="3" xr3:uid="{3EE75CB9-F097-4DDD-B43D-5E1FA49D5DA7}" name="wins" dataDxfId="1958">
      <calculatedColumnFormula>N13+N34+N55+N76+N97+N118</calculatedColumnFormula>
    </tableColumn>
    <tableColumn id="4" xr3:uid="{4386EDC2-3695-4FDE-BF81-4F581D693BFE}" name="battles-take-rate" dataDxfId="1957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956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761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760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759">
      <calculatedColumnFormula>COUNTIF(Scenario3[winner1-ability1],ShadowAbilities1Scenario3[[#This Row],[ability]])</calculatedColumnFormula>
    </tableColumn>
    <tableColumn id="5" xr3:uid="{CF3E5CA9-0667-4428-A210-89117623418E}" name="battles-take-rate" dataDxfId="758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757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756" headerRowBorderDxfId="755" tableBorderDxfId="754" totalsRowBorderDxfId="753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752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751">
      <calculatedColumnFormula>COUNTIF(Scenario3[winner1-ability2],ShadowAbilities2Scenario3[[#This Row],[ability]])</calculatedColumnFormula>
    </tableColumn>
    <tableColumn id="4" xr3:uid="{F55503FB-455E-4E35-B348-DB7A213DC482}" name="battles-take-rate" dataDxfId="750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749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748" headerRowBorderDxfId="747" tableBorderDxfId="746" totalsRowBorderDxfId="745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744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743">
      <calculatedColumnFormula>COUNTIF(Scenario3[winner1-ability3],ShadowAbilities3Scenario3[[#This Row],[ability]])</calculatedColumnFormula>
    </tableColumn>
    <tableColumn id="4" xr3:uid="{FE627B80-B071-44ED-96E3-2D22A6BFBE3E}" name="battles-take-rate" dataDxfId="742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741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740" headerRowBorderDxfId="739" tableBorderDxfId="738" totalsRowBorderDxfId="737">
  <autoFilter ref="K80:O83" xr:uid="{89998BA8-FF2B-4F78-B422-0769B096DA12}"/>
  <tableColumns count="5">
    <tableColumn id="1" xr3:uid="{9E2ED936-C92E-4DB6-8A8D-6A5D54890827}" name="ability" dataDxfId="736"/>
    <tableColumn id="2" xr3:uid="{30C20F36-9263-41F1-934F-C7B737783080}" name="takes" dataDxfId="735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734">
      <calculatedColumnFormula>COUNTIF(Scenario3[winner1-ability4],ShadowAbilities4Scenario3[[#This Row],[ability]])</calculatedColumnFormula>
    </tableColumn>
    <tableColumn id="4" xr3:uid="{C78891C3-5CB5-4131-9173-2B27B1A4D302}" name="battles-take-rate" dataDxfId="733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732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731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730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729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728">
      <calculatedColumnFormula>COUNTIF(Scenario4[winner1-ability1],ShadowAbilities1Scenario4[[#This Row],[ability]])</calculatedColumnFormula>
    </tableColumn>
    <tableColumn id="5" xr3:uid="{A901B921-06E8-4AEC-A96B-C713A120EDCD}" name="battles-take-rate" dataDxfId="727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726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725" headerRowBorderDxfId="724" tableBorderDxfId="723" totalsRowBorderDxfId="722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721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720">
      <calculatedColumnFormula>COUNTIF(Scenario4[winner1-ability2],ShadowAbilities2Scenario4[[#This Row],[ability]])</calculatedColumnFormula>
    </tableColumn>
    <tableColumn id="4" xr3:uid="{9729481F-2A5B-4AB2-B539-4C8B0BB903C3}" name="battles-take-rate" dataDxfId="719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718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717" headerRowBorderDxfId="716" tableBorderDxfId="715" totalsRowBorderDxfId="714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713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712">
      <calculatedColumnFormula>COUNTIF(Scenario4[winner1-ability3],ShadowAbilities3Scenario4[[#This Row],[ability]])</calculatedColumnFormula>
    </tableColumn>
    <tableColumn id="4" xr3:uid="{2B28F9B7-A49E-4828-AED2-A5F9D1DB620A}" name="battles-take-rate" dataDxfId="711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710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709" headerRowBorderDxfId="708" tableBorderDxfId="707" totalsRowBorderDxfId="706">
  <autoFilter ref="K101:O104" xr:uid="{1C609518-452E-4A91-AF17-394CB05FB0F3}"/>
  <tableColumns count="5">
    <tableColumn id="1" xr3:uid="{CC33268F-C34A-43D0-A56A-74B0F609F718}" name="ability" dataDxfId="705"/>
    <tableColumn id="2" xr3:uid="{6F12010D-206B-4AD4-9F1C-7792709F1041}" name="takes" dataDxfId="704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703">
      <calculatedColumnFormula>COUNTIF(Scenario4[winner1-ability4],ShadowAbilities4Scenario4[[#This Row],[ability]])</calculatedColumnFormula>
    </tableColumn>
    <tableColumn id="4" xr3:uid="{1F1D8ECE-DB99-4E3C-A674-360B53ED1293}" name="battles-take-rate" dataDxfId="702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701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955" headerRowBorderDxfId="1954" tableBorderDxfId="1953" totalsRowBorderDxfId="1952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951">
      <calculatedColumnFormula>M18+M39+M60+M81+M102+M123</calculatedColumnFormula>
    </tableColumn>
    <tableColumn id="3" xr3:uid="{FCDACB04-C3C9-4451-9344-563AAD645EE3}" name="wins" dataDxfId="1950">
      <calculatedColumnFormula>N18+N39+N60+N81+N102+N123</calculatedColumnFormula>
    </tableColumn>
    <tableColumn id="4" xr3:uid="{A43A8590-7A57-4069-B1B8-09F7A5FC26AC}" name="battles-take-rate" dataDxfId="1949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948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700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699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698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697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696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695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694" headerRowBorderDxfId="693" tableBorderDxfId="692" totalsRowBorderDxfId="691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690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689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688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687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686" headerRowBorderDxfId="685" tableBorderDxfId="684" totalsRowBorderDxfId="683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682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681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680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679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678" headerRowBorderDxfId="677" tableBorderDxfId="676" totalsRowBorderDxfId="675">
  <autoFilter ref="K122:O125" xr:uid="{74C00B1E-EEA9-48AB-A27C-B009AE4D0A5D}"/>
  <tableColumns count="5">
    <tableColumn id="1" xr3:uid="{0AB4169E-2A81-436A-8816-892597836570}" name="ability" dataDxfId="674"/>
    <tableColumn id="2" xr3:uid="{63FA27CA-DCA1-4F45-8BB0-FAAEBF52C2E6}" name="takes" dataDxfId="673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672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671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670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669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668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667">
      <calculatedColumnFormula>L3+L24+L45+L66+L87+L108</calculatedColumnFormula>
    </tableColumn>
    <tableColumn id="4" xr3:uid="{58CA11D9-169A-46E2-9A57-9E370495AE74}" name="wins" dataDxfId="666">
      <calculatedColumnFormula>M3+M24+M45+M66+M87+M108</calculatedColumnFormula>
    </tableColumn>
    <tableColumn id="5" xr3:uid="{FCD1957D-8B13-463F-918E-7541CD4802BE}" name="battles-take-rate" dataDxfId="665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664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663" headerRowBorderDxfId="662" tableBorderDxfId="661" totalsRowBorderDxfId="660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659">
      <calculatedColumnFormula>L8+L29+L50+L71+L92+L113</calculatedColumnFormula>
    </tableColumn>
    <tableColumn id="3" xr3:uid="{8036E5FE-9DB3-44E7-AF19-651F4FEED3A5}" name="wins" dataDxfId="658">
      <calculatedColumnFormula>M8+M29+M50+M71+M92+M113</calculatedColumnFormula>
    </tableColumn>
    <tableColumn id="4" xr3:uid="{F340980B-9818-44CD-839E-1CE580EFB60A}" name="battles-take-rate" dataDxfId="657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656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655" headerRowBorderDxfId="654" tableBorderDxfId="653" totalsRowBorderDxfId="652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651">
      <calculatedColumnFormula>L13+L34+L55+L76+L97+L118</calculatedColumnFormula>
    </tableColumn>
    <tableColumn id="3" xr3:uid="{C75B917B-4ECC-4DD1-9024-BE6CDFC7ADF6}" name="wins" dataDxfId="650">
      <calculatedColumnFormula>M13+M34+M55+M76+M97+M118</calculatedColumnFormula>
    </tableColumn>
    <tableColumn id="4" xr3:uid="{33AA1918-8E3F-4AE7-B461-1D2AFB04069A}" name="battles-take-rate" dataDxfId="649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648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647" headerRowBorderDxfId="646" tableBorderDxfId="645" totalsRowBorderDxfId="644">
  <autoFilter ref="A17:E20" xr:uid="{2AADA4A0-2F4A-4009-8ECF-0BECA693390C}"/>
  <tableColumns count="5">
    <tableColumn id="1" xr3:uid="{0F824B32-1B2D-4DB9-A0E4-042F6AAA65D0}" name="ability" dataDxfId="643"/>
    <tableColumn id="2" xr3:uid="{C861246F-E022-49C0-BFAD-6CD3013B0246}" name="takes" dataDxfId="642">
      <calculatedColumnFormula>L18+L39+L60+L81+L102+L123</calculatedColumnFormula>
    </tableColumn>
    <tableColumn id="3" xr3:uid="{3FA0E70F-04C8-4FC4-898C-79D0A5C6E6C3}" name="wins" dataDxfId="641">
      <calculatedColumnFormula>M18+M39+M60+M81+M102+M123</calculatedColumnFormula>
    </tableColumn>
    <tableColumn id="4" xr3:uid="{047E06AD-872B-4FB4-9AB8-8B8E2717658B}" name="battles-take-rate" dataDxfId="640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639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947">
      <calculatedColumnFormula>S3+S24+S45+S66+S87+S108</calculatedColumnFormula>
    </tableColumn>
    <tableColumn id="3" xr3:uid="{F4CFC04E-00E1-447E-954B-909DEBE33E7C}" name="shield" dataDxfId="1946">
      <calculatedColumnFormula>T3+T24+T45+T66+T87+T108</calculatedColumnFormula>
    </tableColumn>
    <tableColumn id="4" xr3:uid="{3051F8DD-C458-45A9-A22A-CA5DF4CE7313}" name="chestpiece" dataDxfId="1945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638">
      <calculatedColumnFormula>R3+R24+R45+R66+R87+R108</calculatedColumnFormula>
    </tableColumn>
    <tableColumn id="4" xr3:uid="{F2CC5FCF-C346-4903-B131-24F9A7A7ADC9}" name="chestpiece" dataDxfId="63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636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635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634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633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632" headerRowBorderDxfId="631" tableBorderDxfId="630" totalsRowBorderDxfId="629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628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627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626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625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624" headerRowBorderDxfId="623" tableBorderDxfId="622" totalsRowBorderDxfId="621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620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619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618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617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616" headerRowBorderDxfId="615" tableBorderDxfId="614" totalsRowBorderDxfId="613">
  <autoFilter ref="K17:O20" xr:uid="{01E0B516-A92C-45D4-946B-0FCF2F31D98A}"/>
  <tableColumns count="5">
    <tableColumn id="1" xr3:uid="{95251227-5274-48FA-A791-C1AC52DA6F2E}" name="ability" dataDxfId="612"/>
    <tableColumn id="2" xr3:uid="{B7211C4B-8C9B-4B1A-B9B4-26E32C837D31}" name="takes" dataDxfId="611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610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609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608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607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606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605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604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603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602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601" headerRowBorderDxfId="600" tableBorderDxfId="599" totalsRowBorderDxfId="598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597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596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595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594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593" headerRowBorderDxfId="592" tableBorderDxfId="591" totalsRowBorderDxfId="590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589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588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587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586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585" headerRowBorderDxfId="584" tableBorderDxfId="583" totalsRowBorderDxfId="582">
  <autoFilter ref="K38:O41" xr:uid="{A1F38E75-59DE-4DB4-B81C-C0322397F6F7}"/>
  <tableColumns count="5">
    <tableColumn id="1" xr3:uid="{D120DB3D-0A5D-420D-9741-6F25B01853C8}" name="ability" dataDxfId="581"/>
    <tableColumn id="2" xr3:uid="{917AA9FD-5BE5-479F-8517-062A9D4A84E5}" name="takes" dataDxfId="580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579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578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577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944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943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942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941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576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575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574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573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572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571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570" headerRowBorderDxfId="569" tableBorderDxfId="568" totalsRowBorderDxfId="567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566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565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564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563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562" headerRowBorderDxfId="561" tableBorderDxfId="560" totalsRowBorderDxfId="559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558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557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556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555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554" headerRowBorderDxfId="553" tableBorderDxfId="552" totalsRowBorderDxfId="551">
  <autoFilter ref="K59:O62" xr:uid="{DDB7F110-02A6-4F67-8266-251AF48CB7C0}"/>
  <tableColumns count="5">
    <tableColumn id="1" xr3:uid="{10AC8AF3-38AA-4A13-B22D-4BB6F815DE68}" name="ability" dataDxfId="550"/>
    <tableColumn id="2" xr3:uid="{71D3D958-AF17-4056-8501-6475CD621FEA}" name="takes" dataDxfId="549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548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547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546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545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544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543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542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541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540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539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538" headerRowBorderDxfId="537" tableBorderDxfId="536" totalsRowBorderDxfId="535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534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533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532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531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530" headerRowBorderDxfId="529" tableBorderDxfId="528" totalsRowBorderDxfId="527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526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525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524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523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940" headerRowBorderDxfId="1939" tableBorderDxfId="1938" totalsRowBorderDxfId="1937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936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935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934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933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522" headerRowBorderDxfId="521" tableBorderDxfId="520" totalsRowBorderDxfId="519">
  <autoFilter ref="K80:O83" xr:uid="{F49F780C-91EA-4137-817A-655CE8B0C91F}"/>
  <tableColumns count="5">
    <tableColumn id="1" xr3:uid="{138AE503-6600-46A3-BBD7-4F7DDB8524ED}" name="ability" dataDxfId="518"/>
    <tableColumn id="2" xr3:uid="{38FBAF79-85EE-4F74-89FD-CD7FAD9E38AA}" name="takes" dataDxfId="517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516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515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514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513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512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511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510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509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508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507" headerRowBorderDxfId="506" tableBorderDxfId="505" totalsRowBorderDxfId="504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503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502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501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500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499" headerRowBorderDxfId="498" tableBorderDxfId="497" totalsRowBorderDxfId="496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495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494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493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492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491" headerRowBorderDxfId="490" tableBorderDxfId="489" totalsRowBorderDxfId="488">
  <autoFilter ref="K101:O104" xr:uid="{C6F46D23-B1D4-4713-9D97-360EE74CE1F5}"/>
  <tableColumns count="5">
    <tableColumn id="1" xr3:uid="{B3B7DCCA-7B08-4F79-AC94-5F36F2CC9893}" name="ability" dataDxfId="487"/>
    <tableColumn id="2" xr3:uid="{72F61BD1-75B1-4082-BCF0-F09B0A4179AF}" name="takes" dataDxfId="486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485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484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483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482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481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480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479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478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477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476" headerRowBorderDxfId="475" tableBorderDxfId="474" totalsRowBorderDxfId="473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472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471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470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469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468" headerRowBorderDxfId="467" tableBorderDxfId="466" totalsRowBorderDxfId="465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464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463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462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461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932" headerRowBorderDxfId="1931" tableBorderDxfId="1930" totalsRowBorderDxfId="1929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928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927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926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925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460" headerRowBorderDxfId="459" tableBorderDxfId="458" totalsRowBorderDxfId="457">
  <autoFilter ref="K122:O125" xr:uid="{1A744E4A-3571-459A-BF22-53EBC8CB38DE}"/>
  <tableColumns count="5">
    <tableColumn id="1" xr3:uid="{979953D5-0824-493D-B92F-3E4881005717}" name="ability" dataDxfId="456"/>
    <tableColumn id="2" xr3:uid="{4ED6C1EE-CA65-44BD-8EB5-9DEE908DECE5}" name="takes" dataDxfId="455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454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453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452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451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450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449">
      <calculatedColumnFormula>M3+M24+M45+M66+M87+M108</calculatedColumnFormula>
    </tableColumn>
    <tableColumn id="4" xr3:uid="{CDAB9E23-22AA-4C01-8C82-A6CA62B02527}" name="wins" dataDxfId="448">
      <calculatedColumnFormula>N3+N24+N45+N66+N87+N108</calculatedColumnFormula>
    </tableColumn>
    <tableColumn id="5" xr3:uid="{10E225D8-ED8B-4DEA-B697-D56C9AC10EDE}" name="battles-take-rate" dataDxfId="447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446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445" headerRowBorderDxfId="444" tableBorderDxfId="443" totalsRowBorderDxfId="442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441">
      <calculatedColumnFormula>M8+M29+M50+M71+M92+M113</calculatedColumnFormula>
    </tableColumn>
    <tableColumn id="3" xr3:uid="{B90DED9A-FB36-4010-A0F2-A4F4295C587D}" name="wins" dataDxfId="440">
      <calculatedColumnFormula>N8+N29+N50+N71+N92+N113</calculatedColumnFormula>
    </tableColumn>
    <tableColumn id="4" xr3:uid="{BE0E10ED-A980-43A5-9BDF-619C73B41AFB}" name="battles-take-rate" dataDxfId="439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438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437" headerRowBorderDxfId="436" tableBorderDxfId="435" totalsRowBorderDxfId="434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433">
      <calculatedColumnFormula>M13+M34+M55+M76+M97+M118</calculatedColumnFormula>
    </tableColumn>
    <tableColumn id="3" xr3:uid="{4F19BEBF-12CE-4B6C-A863-4DF3FEA28027}" name="wins" dataDxfId="432">
      <calculatedColumnFormula>N13+N34+N55+N76+N97+N118</calculatedColumnFormula>
    </tableColumn>
    <tableColumn id="4" xr3:uid="{797719FB-C470-4B00-B35C-54DF472BB4A2}" name="battles-take-rate" dataDxfId="431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430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429" headerRowBorderDxfId="428" tableBorderDxfId="427" totalsRowBorderDxfId="426">
  <autoFilter ref="A17:E20" xr:uid="{2AADA4A0-2F4A-4009-8ECF-0BECA693390C}"/>
  <tableColumns count="5">
    <tableColumn id="1" xr3:uid="{797653A4-EDCA-4C4D-A3D4-CD6135488CE9}" name="ability" dataDxfId="425"/>
    <tableColumn id="2" xr3:uid="{9958885A-546E-4B41-BF74-36A6885A316D}" name="takes" dataDxfId="424">
      <calculatedColumnFormula>M18+M39+M60+M81+M102+M123</calculatedColumnFormula>
    </tableColumn>
    <tableColumn id="3" xr3:uid="{F49FD5D1-7963-494A-BE27-74BE85A96B9D}" name="wins" dataDxfId="423">
      <calculatedColumnFormula>N18+N39+N60+N81+N102+N123</calculatedColumnFormula>
    </tableColumn>
    <tableColumn id="4" xr3:uid="{F7EC00D3-61D4-46E7-BE58-31BDB9ED271A}" name="battles-take-rate" dataDxfId="422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421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420">
      <calculatedColumnFormula>S3+S24+S45+S66+S87+S108</calculatedColumnFormula>
    </tableColumn>
    <tableColumn id="3" xr3:uid="{39E8DCAE-D493-4A26-A9B3-9996C564CEE7}" name="blade" dataDxfId="419">
      <calculatedColumnFormula>T3+T24+T45+T66+T87+T108</calculatedColumnFormula>
    </tableColumn>
    <tableColumn id="4" xr3:uid="{F082B021-59DE-4852-B1B3-0AA25C478097}" name="chestpiece" dataDxfId="418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417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416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415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414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413" headerRowBorderDxfId="412" tableBorderDxfId="411" totalsRowBorderDxfId="410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409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408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407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406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405" headerRowBorderDxfId="404" tableBorderDxfId="403" totalsRowBorderDxfId="402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401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400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399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398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924" headerRowBorderDxfId="1923" tableBorderDxfId="1922" totalsRowBorderDxfId="1921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920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919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918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917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397" headerRowBorderDxfId="396" tableBorderDxfId="395" totalsRowBorderDxfId="394">
  <autoFilter ref="L17:P20" xr:uid="{01E0B516-A92C-45D4-946B-0FCF2F31D98A}"/>
  <tableColumns count="5">
    <tableColumn id="1" xr3:uid="{E980F6C0-E93A-4FFA-8E1B-7186BE3B4D2B}" name="ability" dataDxfId="393"/>
    <tableColumn id="2" xr3:uid="{387091C3-7426-4F2A-A753-72A1D81097AE}" name="takes" dataDxfId="392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391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390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389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388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387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386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385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384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383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382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381" headerRowBorderDxfId="380" tableBorderDxfId="379" totalsRowBorderDxfId="378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377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376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375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374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373" headerRowBorderDxfId="372" tableBorderDxfId="371" totalsRowBorderDxfId="370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369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368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367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366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365" headerRowBorderDxfId="364" tableBorderDxfId="363" totalsRowBorderDxfId="362">
  <autoFilter ref="L38:P41" xr:uid="{A1F38E75-59DE-4DB4-B81C-C0322397F6F7}"/>
  <tableColumns count="5">
    <tableColumn id="1" xr3:uid="{B108F2DF-4A32-4ECF-B16B-02A49181826D}" name="ability" dataDxfId="361"/>
    <tableColumn id="2" xr3:uid="{A47622D9-162B-4188-B077-F04987EF9266}" name="takes" dataDxfId="360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359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358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357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356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355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354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353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352">
      <calculatedColumnFormula>COUNTIF(Scenario2[winner1-ability1],AvengerAbilities1Scenario2[[#This Row],[ability]])</calculatedColumnFormula>
    </tableColumn>
    <tableColumn id="5" xr3:uid="{9DB36862-AC92-48F0-8B86-87B94516CEAF}" name="battles-take-rate" dataDxfId="351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350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349" headerRowBorderDxfId="348" tableBorderDxfId="347" totalsRowBorderDxfId="346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345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344">
      <calculatedColumnFormula>COUNTIF(Scenario2[winner1-ability2],AvengerAbilities2Scenario2[[#This Row],[ability]])</calculatedColumnFormula>
    </tableColumn>
    <tableColumn id="4" xr3:uid="{16676FDF-F72D-4A46-9456-4F4E86ACEDE3}" name="battles-take-rate" dataDxfId="343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342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341" headerRowBorderDxfId="340" tableBorderDxfId="339" totalsRowBorderDxfId="338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337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336">
      <calculatedColumnFormula>COUNTIF(Scenario2[winner1-ability3],AvengerAbilities3Scenario2[[#This Row],[ability]])</calculatedColumnFormula>
    </tableColumn>
    <tableColumn id="4" xr3:uid="{6EA1CE83-F097-4979-BAF4-5E5DD321C889}" name="battles-take-rate" dataDxfId="335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334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916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915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914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333" headerRowBorderDxfId="332" tableBorderDxfId="331" totalsRowBorderDxfId="330">
  <autoFilter ref="L59:P62" xr:uid="{DDB7F110-02A6-4F67-8266-251AF48CB7C0}"/>
  <tableColumns count="5">
    <tableColumn id="1" xr3:uid="{0228B3A4-F54D-4604-AAB4-26F241807E53}" name="ability" dataDxfId="329"/>
    <tableColumn id="2" xr3:uid="{BE2ED41F-9201-4A8E-B960-2268FAC34946}" name="takes" dataDxfId="328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327">
      <calculatedColumnFormula>COUNTIF(Scenario2[winner1-ability4],AvengerAbilities4Scenario2[[#This Row],[ability]])</calculatedColumnFormula>
    </tableColumn>
    <tableColumn id="4" xr3:uid="{5D2EF02F-DEB6-4E46-A7E5-3F277ED38E6B}" name="battles-take-rate" dataDxfId="326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325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324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323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322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321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320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319">
      <calculatedColumnFormula>COUNTIF(Scenario3[winner1-ability1],AvengerAbilities1Scenario3[[#This Row],[ability]])</calculatedColumnFormula>
    </tableColumn>
    <tableColumn id="5" xr3:uid="{925E1B42-8A3A-40EE-9A46-817810CDD8FB}" name="battles-take-rate" dataDxfId="318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317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316" headerRowBorderDxfId="315" tableBorderDxfId="314" totalsRowBorderDxfId="313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312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311">
      <calculatedColumnFormula>COUNTIF(Scenario3[winner1-ability2],AvengerAbilities2Scenario3[[#This Row],[ability]])</calculatedColumnFormula>
    </tableColumn>
    <tableColumn id="4" xr3:uid="{DA0323F7-D766-4C91-9345-7103E5B2B2FA}" name="battles-take-rate" dataDxfId="310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309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308" headerRowBorderDxfId="307" tableBorderDxfId="306" totalsRowBorderDxfId="305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304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303">
      <calculatedColumnFormula>COUNTIF(Scenario3[winner1-ability3],AvengerAbilities3Scenario3[[#This Row],[ability]])</calculatedColumnFormula>
    </tableColumn>
    <tableColumn id="4" xr3:uid="{DC30695C-AE61-4301-A803-CC651376959D}" name="battles-take-rate" dataDxfId="302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301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300" headerRowBorderDxfId="299" tableBorderDxfId="298" totalsRowBorderDxfId="297">
  <autoFilter ref="L80:P83" xr:uid="{DFBA6C76-2A45-4005-8A4B-B62B537356D5}"/>
  <tableColumns count="5">
    <tableColumn id="1" xr3:uid="{8C137A68-6D0C-49C3-8547-6CB48E7F2480}" name="ability" dataDxfId="296"/>
    <tableColumn id="2" xr3:uid="{BD1DED06-4C3E-47DC-8BD0-68CA34A1DA7A}" name="takes" dataDxfId="295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294">
      <calculatedColumnFormula>COUNTIF(Scenario3[winner1-ability4],AvengerAbilities4Scenario3[[#This Row],[ability]])</calculatedColumnFormula>
    </tableColumn>
    <tableColumn id="4" xr3:uid="{B8548539-0603-48EF-9DA8-3DCC5CD89D09}" name="battles-take-rate" dataDxfId="293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292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291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290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289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288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287">
      <calculatedColumnFormula>COUNTIF(Scenario4[winner1-ability1],AvengerAbilities1Scenario4[[#This Row],[ability]])</calculatedColumnFormula>
    </tableColumn>
    <tableColumn id="5" xr3:uid="{2B01D9E4-5C78-4A53-A8EA-8D87E0149485}" name="battles-take-rate" dataDxfId="286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285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284" headerRowBorderDxfId="283" tableBorderDxfId="282" totalsRowBorderDxfId="281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280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279">
      <calculatedColumnFormula>COUNTIF(Scenario4[winner1-ability2],AvengerAbilities2Scenario4[[#This Row],[ability]])</calculatedColumnFormula>
    </tableColumn>
    <tableColumn id="4" xr3:uid="{0CB5E9F8-1096-4C85-BE7F-5AA7B8C01603}" name="battles-take-rate" dataDxfId="278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277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7">
  <autoFilter ref="I2:M37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038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2037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2036" totalsRowDxfId="2035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913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912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911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910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276" headerRowBorderDxfId="275" tableBorderDxfId="274" totalsRowBorderDxfId="273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272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271">
      <calculatedColumnFormula>COUNTIF(Scenario4[winner1-ability3],AvengerAbilities3Scenario4[[#This Row],[ability]])</calculatedColumnFormula>
    </tableColumn>
    <tableColumn id="4" xr3:uid="{C7BFDFBD-FC68-477D-8FFA-2D300E1AA89D}" name="battles-take-rate" dataDxfId="270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269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268" headerRowBorderDxfId="267" tableBorderDxfId="266" totalsRowBorderDxfId="265">
  <autoFilter ref="L101:P104" xr:uid="{E0C2D5AA-63BE-4431-96B6-ED61F1B43B2C}"/>
  <tableColumns count="5">
    <tableColumn id="1" xr3:uid="{69A79FA2-C7FA-4C00-84A3-F37C8FA60546}" name="ability" dataDxfId="264"/>
    <tableColumn id="2" xr3:uid="{E2E7B263-F388-4826-AF29-E7140D39D1AF}" name="takes" dataDxfId="263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262">
      <calculatedColumnFormula>COUNTIF(Scenario4[winner1-ability4],AvengerAbilities4Scenario4[[#This Row],[ability]])</calculatedColumnFormula>
    </tableColumn>
    <tableColumn id="4" xr3:uid="{4AF24253-BE96-42B9-8264-BF3FCEE7A29E}" name="battles-take-rate" dataDxfId="261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260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259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258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257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256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255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54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53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52" headerRowBorderDxfId="251" tableBorderDxfId="250" totalsRowBorderDxfId="249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48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47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46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45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244" headerRowBorderDxfId="243" tableBorderDxfId="242" totalsRowBorderDxfId="241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40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39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38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37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36" headerRowBorderDxfId="235" tableBorderDxfId="234" totalsRowBorderDxfId="233">
  <autoFilter ref="L122:P125" xr:uid="{F160D1D4-E2CA-4D0C-84EC-AA2A7E301211}"/>
  <tableColumns count="5">
    <tableColumn id="1" xr3:uid="{F60168F8-23AE-4CFB-A091-D964CDF9CCBB}" name="ability" dataDxfId="232"/>
    <tableColumn id="2" xr3:uid="{3A51F650-A9B5-4C31-8F09-AC78E854A77D}" name="takes" dataDxfId="231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230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229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228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27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226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225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6A658BF5-3106-4DAA-9E0D-4FA9744FA7C6}" name="AvengerAbilities1309" displayName="AvengerAbilities1309" ref="A2:E5" totalsRowShown="0">
  <autoFilter ref="A2:E5" xr:uid="{DCA301F1-E0F8-4700-BEE5-2688AF43F23A}"/>
  <tableColumns count="5">
    <tableColumn id="2" xr3:uid="{AD5CBA40-229D-4B58-9AEB-2897A2299101}" name="ability"/>
    <tableColumn id="6" xr3:uid="{0526A825-78AA-49F2-9BD7-A4AADFA11EE6}" name="takes" dataDxfId="224">
      <calculatedColumnFormula>M3+M24+M45+M66+M87+M108</calculatedColumnFormula>
    </tableColumn>
    <tableColumn id="4" xr3:uid="{148F9E79-105E-4062-BCCF-7078A48D319B}" name="wins" dataDxfId="223">
      <calculatedColumnFormula>N3+N24+N45+N66+N87+N108</calculatedColumnFormula>
    </tableColumn>
    <tableColumn id="5" xr3:uid="{00508383-5597-4E29-BB6B-6D0FAAFA951A}" name="battles-take-rate" dataDxfId="222">
      <calculatedColumnFormula>IF(SUM(AvengerAbilities1309[[#This Row],[takes]]) &gt; 0,AvengerAbilities1309[[#This Row],[takes]]/SUM(AvengerAbilities1309[takes]),0)</calculatedColumnFormula>
    </tableColumn>
    <tableColumn id="7" xr3:uid="{0EEE16AC-2498-4903-A7D3-CF5D8EBD54F8}" name="take-win-rate" dataDxfId="221">
      <calculatedColumnFormula>IF(AvengerAbilities1309[[#This Row],[takes]]&gt;0,AvengerAbilities1309[[#This Row],[wins]]/AvengerAbilities1309[[#This Row],[takes]],0)</calculatedColumnFormula>
    </tableColumn>
  </tableColumns>
  <tableStyleInfo name="TableStyleMedium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59CD0609-47A7-40E8-8975-491FAD233904}" name="AvengerAbilities2310" displayName="AvengerAbilities2310" ref="A7:E10" totalsRowShown="0" headerRowDxfId="220" headerRowBorderDxfId="219" tableBorderDxfId="218" totalsRowBorderDxfId="217">
  <autoFilter ref="A7:E10" xr:uid="{8ADAEE31-4DDA-4DF2-9EAD-04808D53FFC1}"/>
  <tableColumns count="5">
    <tableColumn id="1" xr3:uid="{9E15FF7A-68C3-44D7-9DC3-2DE32A21A7E0}" name="ability"/>
    <tableColumn id="2" xr3:uid="{3EBE7AD4-F1DA-44EB-AA4A-A406DEFDF300}" name="takes" dataDxfId="216">
      <calculatedColumnFormula>M8+M29+M50+M71+M92+M113</calculatedColumnFormula>
    </tableColumn>
    <tableColumn id="3" xr3:uid="{971C0626-644F-408A-ADA7-1D389A0CECFE}" name="wins" dataDxfId="215">
      <calculatedColumnFormula>N8+N29+N50+N71+N92+N113</calculatedColumnFormula>
    </tableColumn>
    <tableColumn id="4" xr3:uid="{5218E7ED-58A4-4A49-951E-ACBC4C4314D2}" name="battles-take-rate" dataDxfId="214">
      <calculatedColumnFormula>IF(SUM(AvengerAbilities2310[[#This Row],[takes]]) &gt; 0,AvengerAbilities2310[[#This Row],[takes]]/SUM(AvengerAbilities2310[takes]),0)</calculatedColumnFormula>
    </tableColumn>
    <tableColumn id="5" xr3:uid="{B7C663A0-4DAC-4941-9D1B-DA130BC98013}" name="take-win-rate" dataDxfId="213">
      <calculatedColumnFormula>IF(AvengerAbilities2310[[#This Row],[takes]]&gt;0,AvengerAbilities2310[[#This Row],[wins]]/AvengerAbilities2310[[#This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909" headerRowBorderDxfId="1908" tableBorderDxfId="1907" totalsRowBorderDxfId="1906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905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904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903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902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E0CAE74-EED8-4F42-B291-552E6A055848}" name="AvengerAbilities3311" displayName="AvengerAbilities3311" ref="A12:E15" totalsRowShown="0" headerRowDxfId="212" headerRowBorderDxfId="211" tableBorderDxfId="210" totalsRowBorderDxfId="209">
  <autoFilter ref="A12:E15" xr:uid="{1B0EA3CA-FA8E-4345-B52C-471D5C94AD38}"/>
  <tableColumns count="5">
    <tableColumn id="1" xr3:uid="{3E467C58-1F07-47A8-BED5-2A12AED49BEF}" name="ability"/>
    <tableColumn id="2" xr3:uid="{10FFB8EA-96BB-461C-8CAF-26865B7EA68D}" name="takes" dataDxfId="208">
      <calculatedColumnFormula>M13+M34+M55+M76+M97+M118</calculatedColumnFormula>
    </tableColumn>
    <tableColumn id="3" xr3:uid="{DD3B1868-85F8-4442-AB9F-48E1B64E0697}" name="wins" dataDxfId="207">
      <calculatedColumnFormula>N13+N34+N55+N76+N97+N118</calculatedColumnFormula>
    </tableColumn>
    <tableColumn id="4" xr3:uid="{ECF5A773-90B3-40AF-B185-CE707C190C1D}" name="battles-take-rate" dataDxfId="206">
      <calculatedColumnFormula>IF(SUM(AvengerAbilities3311[[#This Row],[takes]]) &gt; 0,AvengerAbilities3311[[#This Row],[takes]]/SUM(AvengerAbilities3311[takes]),0)</calculatedColumnFormula>
    </tableColumn>
    <tableColumn id="5" xr3:uid="{D65134D0-C04D-4AF1-9132-2A092D07A78C}" name="take-win-rate" dataDxfId="205">
      <calculatedColumnFormula>IF(AvengerAbilities3311[[#This Row],[takes]]&gt;0,AvengerAbilities3311[[#This Row],[wins]]/AvengerAbilities3311[[#This Row],[takes]],0)</calculatedColumnFormula>
    </tableColumn>
  </tableColumns>
  <tableStyleInfo name="TableStyleMedium2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E08C3541-37B4-4E01-99E0-8960E22316FF}" name="AvengerAbilities4312" displayName="AvengerAbilities4312" ref="A17:E20" totalsRowShown="0" headerRowDxfId="204" headerRowBorderDxfId="203" tableBorderDxfId="202" totalsRowBorderDxfId="201">
  <autoFilter ref="A17:E20" xr:uid="{2AADA4A0-2F4A-4009-8ECF-0BECA693390C}"/>
  <tableColumns count="5">
    <tableColumn id="1" xr3:uid="{5ADE635E-C89B-49B6-B9C4-203C96F3FF29}" name="ability" dataDxfId="200"/>
    <tableColumn id="2" xr3:uid="{9A986794-20C5-4090-85C5-3A58FCE72D5A}" name="takes" dataDxfId="199">
      <calculatedColumnFormula>M18+M39+M60+M81+M102+M123</calculatedColumnFormula>
    </tableColumn>
    <tableColumn id="3" xr3:uid="{3BB5DBF2-40A1-46C5-99C5-3E880D124F3A}" name="wins" dataDxfId="198">
      <calculatedColumnFormula>N18+N39+N60+N81+N102+N123</calculatedColumnFormula>
    </tableColumn>
    <tableColumn id="4" xr3:uid="{958D8B67-C464-42E3-B105-4458077BF215}" name="battles-take-rate" dataDxfId="197">
      <calculatedColumnFormula>IF(SUM(AvengerAbilities4312[[#This Row],[takes]]) &gt; 0,AvengerAbilities4312[[#This Row],[takes]]/SUM(AvengerAbilities4312[takes]),0)</calculatedColumnFormula>
    </tableColumn>
    <tableColumn id="5" xr3:uid="{1E34F870-A6EA-4054-87B4-88E04AB45EC3}" name="take-win-rate" dataDxfId="196">
      <calculatedColumnFormula>IF(AvengerAbilities4312[[#This Row],[takes]]&gt;0,AvengerAbilities4312[[#This Row],[wins]]/AvengerAbilities4312[[#This Row],[takes]],0)</calculatedColumnFormula>
    </tableColumn>
  </tableColumns>
  <tableStyleInfo name="TableStyleMedium2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8C91E791-714D-4D3E-BE17-A4160FC79644}" name="AvengerEquip313" displayName="AvengerEquip313" ref="G2:J5" totalsRowShown="0">
  <autoFilter ref="G2:J5" xr:uid="{C15024E5-2A00-4F8B-BBEB-0FE7A036BC54}"/>
  <tableColumns count="4">
    <tableColumn id="1" xr3:uid="{39BAC21D-7CC3-41A1-AAA8-B66D5E15531F}" name="level"/>
    <tableColumn id="2" xr3:uid="{0546C67A-DE2B-400F-BBCB-4AB99454F6EA}" name="kopis" dataDxfId="195">
      <calculatedColumnFormula>S3+S24+S45+S66+S87+S108</calculatedColumnFormula>
    </tableColumn>
    <tableColumn id="3" xr3:uid="{FA028547-6F6C-4190-9DC7-21612EA1F305}" name="gun" dataDxfId="194">
      <calculatedColumnFormula>T3+T24+T45+T66+T87+T108</calculatedColumnFormula>
    </tableColumn>
    <tableColumn id="4" xr3:uid="{07D35E94-0D8B-4CF5-BC55-D062523209B3}" name="chestpiece" dataDxfId="193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6227EF30-DD4C-4DEF-9971-19469847BCE6}" name="AvengerAbilities1Scenario0314" displayName="AvengerAbilities1Scenario0314" ref="L2:P5" totalsRowShown="0">
  <autoFilter ref="L2:P5" xr:uid="{4CDFB74F-734F-4444-929B-80D3797B5492}"/>
  <tableColumns count="5">
    <tableColumn id="2" xr3:uid="{B9AA29D9-097B-4ECE-AA70-EFC66F98355E}" name="ability"/>
    <tableColumn id="6" xr3:uid="{07369A94-AD31-4B0B-A21F-4915DB3ECAFB}" name="takes" dataDxfId="192">
      <calculatedColumnFormula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calculatedColumnFormula>
    </tableColumn>
    <tableColumn id="4" xr3:uid="{1BFFB4EB-1368-408E-8E3C-BCA8DB4DE001}" name="wins" dataDxfId="191">
      <calculatedColumnFormula>COUNTIF(Scenario0[winner1-ability1],AvengerAbilities1Scenario0314[[#This Row],[ability]])+COUNTIF(Scenario0[winner2-ability1],AvengerAbilities1Scenario0314[[#This Row],[ability]])</calculatedColumnFormula>
    </tableColumn>
    <tableColumn id="5" xr3:uid="{21CCD308-9B87-4609-9AC5-9D4CF750F493}" name="battles-take-rate" dataDxfId="190">
      <calculatedColumnFormula>IF(SUM(AvengerAbilities1Scenario0314[[#This Row],[takes]]) &gt; 0,AvengerAbilities1Scenario0314[[#This Row],[takes]]/SUM(AvengerAbilities1Scenario0314[takes]),0)</calculatedColumnFormula>
    </tableColumn>
    <tableColumn id="7" xr3:uid="{AEAA413B-5538-4D94-A9B4-B7FB3C00D3A5}" name="take-win-rate" dataDxfId="189">
      <calculatedColumnFormula>IF(AvengerAbilities1Scenario0314[[#This Row],[takes]]&gt;0,AvengerAbilities1Scenario0314[[#This Row],[wins]]/AvengerAbilities1Scenario0314[[#This Row],[takes]],0)</calculatedColumnFormula>
    </tableColumn>
  </tableColumns>
  <tableStyleInfo name="TableStyleMedium2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91405AC4-1226-470C-B4A0-CC847A67416A}" name="AvengerAbilities2Scenario0315" displayName="AvengerAbilities2Scenario0315" ref="L7:P10" totalsRowShown="0" headerRowDxfId="188" headerRowBorderDxfId="187" tableBorderDxfId="186" totalsRowBorderDxfId="185">
  <autoFilter ref="L7:P10" xr:uid="{07F4368A-34C9-4286-BBA2-89F699718525}"/>
  <tableColumns count="5">
    <tableColumn id="1" xr3:uid="{05166176-C6E4-4134-9BAE-52606568F34F}" name="ability"/>
    <tableColumn id="2" xr3:uid="{D2FBBE64-425C-41C1-8739-536E97264BAD}" name="takes" dataDxfId="184">
      <calculatedColumnFormula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calculatedColumnFormula>
    </tableColumn>
    <tableColumn id="3" xr3:uid="{59D87518-7245-4476-A2CD-4F8533C95D6F}" name="wins" dataDxfId="183">
      <calculatedColumnFormula>COUNTIF(Scenario0[winner1-ability2],AvengerAbilities2Scenario0315[[#This Row],[ability]])+COUNTIF(Scenario0[winner2-ability2],AvengerAbilities2Scenario0315[[#This Row],[ability]])</calculatedColumnFormula>
    </tableColumn>
    <tableColumn id="4" xr3:uid="{BEE6BA8F-0784-42B5-B6CA-2613E01972D4}" name="battles-take-rate" dataDxfId="182">
      <calculatedColumnFormula>IF(SUM(AvengerAbilities2Scenario0315[[#This Row],[takes]]) &gt; 0,AvengerAbilities2Scenario0315[[#This Row],[takes]]/SUM(AvengerAbilities2Scenario0315[takes]),0)</calculatedColumnFormula>
    </tableColumn>
    <tableColumn id="5" xr3:uid="{342960E0-6AD8-4918-87FE-B90CF32F714C}" name="take-win-rate" dataDxfId="181">
      <calculatedColumnFormula>IF(AvengerAbilities2Scenario0315[[#This Row],[takes]]&gt;0,AvengerAbilities2Scenario0315[[#This Row],[wins]]/AvengerAbilities2Scenario0315[[#This Row],[takes]],0)</calculatedColumnFormula>
    </tableColumn>
  </tableColumns>
  <tableStyleInfo name="TableStyleMedium2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9F341C33-88FB-4A6A-A956-130D27E3893D}" name="AvengerAbilities3Scenario0316" displayName="AvengerAbilities3Scenario0316" ref="L12:P15" totalsRowShown="0" headerRowDxfId="180" headerRowBorderDxfId="179" tableBorderDxfId="178" totalsRowBorderDxfId="177">
  <autoFilter ref="L12:P15" xr:uid="{E8520742-705B-4A78-A5FD-1F57726A369B}"/>
  <tableColumns count="5">
    <tableColumn id="1" xr3:uid="{D25D3C6C-B817-4BEF-9677-1C67630ACAC5}" name="ability"/>
    <tableColumn id="2" xr3:uid="{A905A74A-4F9F-4785-ABF6-DAF3BF3B7C0F}" name="takes" dataDxfId="176">
      <calculatedColumnFormula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calculatedColumnFormula>
    </tableColumn>
    <tableColumn id="3" xr3:uid="{D1CB7175-5CF2-4634-84E5-C60F32B33E1F}" name="wins" dataDxfId="175">
      <calculatedColumnFormula>COUNTIF(Scenario0[winner1-ability3],AvengerAbilities3Scenario0316[[#This Row],[ability]])+COUNTIF(Scenario0[winner2-ability3],AvengerAbilities3Scenario0316[[#This Row],[ability]])</calculatedColumnFormula>
    </tableColumn>
    <tableColumn id="4" xr3:uid="{840A0805-98B5-4C47-8C36-0AFFCF73B881}" name="battles-take-rate" dataDxfId="174">
      <calculatedColumnFormula>IF(SUM(AvengerAbilities3Scenario0316[[#This Row],[takes]]) &gt; 0,AvengerAbilities3Scenario0316[[#This Row],[takes]]/SUM(AvengerAbilities3Scenario0316[takes]),0)</calculatedColumnFormula>
    </tableColumn>
    <tableColumn id="5" xr3:uid="{EB332549-25DE-44DD-B350-9C9D42F324E1}" name="take-win-rate" dataDxfId="173">
      <calculatedColumnFormula>IF(AvengerAbilities3Scenario0316[[#This Row],[takes]]&gt;0,AvengerAbilities3Scenario0316[[#This Row],[wins]]/AvengerAbilities3Scenario0316[[#This Row],[takes]],0)</calculatedColumnFormula>
    </tableColumn>
  </tableColumns>
  <tableStyleInfo name="TableStyleMedium2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67A7C5DF-25AA-48D3-A2A8-6B81FB0D84B4}" name="AvengerAbilities4Scenario0317" displayName="AvengerAbilities4Scenario0317" ref="L17:P20" totalsRowShown="0" headerRowDxfId="172" headerRowBorderDxfId="171" tableBorderDxfId="170" totalsRowBorderDxfId="169">
  <autoFilter ref="L17:P20" xr:uid="{01E0B516-A92C-45D4-946B-0FCF2F31D98A}"/>
  <tableColumns count="5">
    <tableColumn id="1" xr3:uid="{2221B5AA-184D-4547-AE38-49FBBDC771A8}" name="ability" dataDxfId="168"/>
    <tableColumn id="2" xr3:uid="{979CE9DB-153B-4F9D-B7F8-C980FF001F50}" name="takes" dataDxfId="167">
      <calculatedColumnFormula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calculatedColumnFormula>
    </tableColumn>
    <tableColumn id="3" xr3:uid="{EB051B27-FD84-471B-945C-1EB632176955}" name="wins" dataDxfId="166">
      <calculatedColumnFormula>COUNTIF(Scenario0[winner1-ability4],AvengerAbilities4Scenario0317[[#This Row],[ability]])+COUNTIF(Scenario0[winner2-ability4],AvengerAbilities4Scenario0317[[#This Row],[ability]])</calculatedColumnFormula>
    </tableColumn>
    <tableColumn id="4" xr3:uid="{38A24405-FA05-495E-83BC-1B032F5E5972}" name="battles-take-rate" dataDxfId="165">
      <calculatedColumnFormula>IF(SUM(AvengerAbilities4Scenario0317[[#This Row],[takes]]) &gt; 0,AvengerAbilities4Scenario0317[[#This Row],[takes]]/SUM(AvengerAbilities4Scenario0317[takes]),0)</calculatedColumnFormula>
    </tableColumn>
    <tableColumn id="5" xr3:uid="{AAFA2A43-5E78-4C96-B179-69CF55EC1E47}" name="take-win-rate" dataDxfId="164">
      <calculatedColumnFormula>IF(AvengerAbilities4Scenario0317[[#This Row],[takes]]&gt;0,AvengerAbilities4Scenario0317[[#This Row],[wins]]/AvengerAbilities4Scenario0317[[#This Row],[takes]],0)</calculatedColumnFormula>
    </tableColumn>
  </tableColumns>
  <tableStyleInfo name="TableStyleMedium2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5B0CE861-D9AE-420E-AA4C-89456EA006D5}" name="AvengerEquipScenario0318" displayName="AvengerEquipScenario0318" ref="R2:U5" totalsRowShown="0">
  <autoFilter ref="R2:U5" xr:uid="{E84D91C4-DFF3-43B9-932F-3FEFFBEA9FF1}"/>
  <tableColumns count="4">
    <tableColumn id="1" xr3:uid="{CB023770-9C37-4EA3-8727-E648E273BC0D}" name="level"/>
    <tableColumn id="2" xr3:uid="{5D426DA4-FD2A-4505-93DA-6E28AA437010}" name="kopis" dataDxfId="163">
      <calculatedColumnFormula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calculatedColumnFormula>
    </tableColumn>
    <tableColumn id="3" xr3:uid="{B1CF9B0B-9BAD-4D09-8297-A700CCC47A1B}" name="gun" dataDxfId="162">
      <calculatedColumnFormula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calculatedColumnFormula>
    </tableColumn>
    <tableColumn id="4" xr3:uid="{C2D3945B-5437-4265-A691-AA4208B51C5F}" name="chestpiece" dataDxfId="161">
      <calculatedColumnFormula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calculatedColumnFormula>
    </tableColumn>
  </tableColumns>
  <tableStyleInfo name="TableStyleMedium2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B48315C6-1854-4E2C-9AAE-DA83DDC21431}" name="AvengerAbilities1Scenario1319" displayName="AvengerAbilities1Scenario1319" ref="L23:P26" totalsRowShown="0">
  <autoFilter ref="L23:P26" xr:uid="{A0A97CA7-01BF-4D92-A7D1-F51028CD7758}"/>
  <tableColumns count="5">
    <tableColumn id="2" xr3:uid="{48D63609-92E2-4450-853C-D1E86547660C}" name="ability"/>
    <tableColumn id="6" xr3:uid="{A4CA92C9-1F1D-41A6-847C-935816151FAD}" name="takes" dataDxfId="160">
      <calculatedColumnFormula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calculatedColumnFormula>
    </tableColumn>
    <tableColumn id="4" xr3:uid="{DC13F8BA-E5BD-4379-AADE-8F38DE8E5431}" name="wins" dataDxfId="159">
      <calculatedColumnFormula>COUNTIF(Scenario1[winner1-ability1],AvengerAbilities1Scenario1319[[#This Row],[ability]])+COUNTIF(Scenario1[winner2-ability1],AvengerAbilities1Scenario1319[[#This Row],[ability]])</calculatedColumnFormula>
    </tableColumn>
    <tableColumn id="5" xr3:uid="{12C9ADAF-E786-483C-9DF9-11C4FC6F87ED}" name="battles-take-rate" dataDxfId="158">
      <calculatedColumnFormula>IF(SUM(AvengerAbilities1Scenario1319[[#This Row],[takes]]) &gt; 0,AvengerAbilities1Scenario1319[[#This Row],[takes]]/SUM(AvengerAbilities1Scenario1319[takes]),0)</calculatedColumnFormula>
    </tableColumn>
    <tableColumn id="7" xr3:uid="{41926A09-020F-48D3-9872-A93ED4198FFF}" name="take-win-rate" dataDxfId="157">
      <calculatedColumnFormula>IF(AvengerAbilities1Scenario1319[[#This Row],[takes]]&gt;0,AvengerAbilities1Scenario1319[[#This Row],[wins]]/AvengerAbilities1Scenario1319[[#This Row],[takes]],0)</calculatedColumnFormula>
    </tableColumn>
  </tableColumns>
  <tableStyleInfo name="TableStyleMedium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248F15F3-DEDB-448D-A9DB-5AC3406EF469}" name="AvengerAbilities2Scenario1320" displayName="AvengerAbilities2Scenario1320" ref="L28:P31" totalsRowShown="0" headerRowDxfId="156" headerRowBorderDxfId="155" tableBorderDxfId="154" totalsRowBorderDxfId="153">
  <autoFilter ref="L28:P31" xr:uid="{A29CF70A-0B84-46BB-A412-712C2F594795}"/>
  <tableColumns count="5">
    <tableColumn id="1" xr3:uid="{CA1EA67D-F538-41B1-B35C-61A1F76C8A8B}" name="ability"/>
    <tableColumn id="2" xr3:uid="{9F58019F-2AD8-4464-8501-937474BAB75A}" name="takes" dataDxfId="152">
      <calculatedColumnFormula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calculatedColumnFormula>
    </tableColumn>
    <tableColumn id="3" xr3:uid="{79536D49-B924-461A-980E-B68895C49885}" name="wins" dataDxfId="151">
      <calculatedColumnFormula>COUNTIF(Scenario1[winner1-ability2],AvengerAbilities2Scenario1320[[#This Row],[ability]])+COUNTIF(Scenario1[winner2-ability2],AvengerAbilities2Scenario1320[[#This Row],[ability]])</calculatedColumnFormula>
    </tableColumn>
    <tableColumn id="4" xr3:uid="{82AFF21E-0A03-4DAC-9D0D-F7B357065CFE}" name="battles-take-rate" dataDxfId="150">
      <calculatedColumnFormula>IF(SUM(AvengerAbilities2Scenario1320[[#This Row],[takes]]) &gt; 0,AvengerAbilities2Scenario1320[[#This Row],[takes]]/SUM(AvengerAbilities2Scenario1320[takes]),0)</calculatedColumnFormula>
    </tableColumn>
    <tableColumn id="5" xr3:uid="{B84D28DF-098C-4878-ABDF-C2E297A647CB}" name="take-win-rate" dataDxfId="149">
      <calculatedColumnFormula>IF(AvengerAbilities2Scenario1320[[#This Row],[takes]]&gt;0,AvengerAbilities2Scenario1320[[#This Row],[wins]]/AvengerAbilities2Scenario1320[[#This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901" headerRowBorderDxfId="1900" tableBorderDxfId="1899" totalsRowBorderDxfId="1898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897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896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895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894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91D15A78-57F6-4311-9D61-941AC88C6AEC}" name="AvengerAbilities3Scenario1321" displayName="AvengerAbilities3Scenario1321" ref="L33:P36" totalsRowShown="0" headerRowDxfId="148" headerRowBorderDxfId="147" tableBorderDxfId="146" totalsRowBorderDxfId="145">
  <autoFilter ref="L33:P36" xr:uid="{CBC18F4E-86CD-4BE3-9377-2B862ED3B826}"/>
  <tableColumns count="5">
    <tableColumn id="1" xr3:uid="{E68D90AC-0663-41CB-9D40-FE56AB8F3E44}" name="ability"/>
    <tableColumn id="2" xr3:uid="{969FE619-BE38-41E1-94B1-0BA89351A8B7}" name="takes" dataDxfId="144">
      <calculatedColumnFormula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calculatedColumnFormula>
    </tableColumn>
    <tableColumn id="3" xr3:uid="{AF981F20-666F-47F0-8BF3-71DBD9B4D74B}" name="wins" dataDxfId="143">
      <calculatedColumnFormula>COUNTIF(Scenario1[winner1-ability3],AvengerAbilities3Scenario1321[[#This Row],[ability]])+COUNTIF(Scenario1[winner2-ability3],AvengerAbilities3Scenario1321[[#This Row],[ability]])</calculatedColumnFormula>
    </tableColumn>
    <tableColumn id="4" xr3:uid="{410B7DA7-FF24-46A8-88D7-6755125E1705}" name="battles-take-rate" dataDxfId="142">
      <calculatedColumnFormula>IF(SUM(AvengerAbilities3Scenario1321[[#This Row],[takes]]) &gt; 0,AvengerAbilities3Scenario1321[[#This Row],[takes]]/SUM(AvengerAbilities3Scenario1321[takes]),0)</calculatedColumnFormula>
    </tableColumn>
    <tableColumn id="5" xr3:uid="{2137D0C4-4F35-42E2-8A3D-2725F2E6EFCB}" name="take-win-rate" dataDxfId="141">
      <calculatedColumnFormula>IF(AvengerAbilities3Scenario1321[[#This Row],[takes]]&gt;0,AvengerAbilities3Scenario1321[[#This Row],[wins]]/AvengerAbilities3Scenario1321[[#This Row],[takes]],0)</calculatedColumnFormula>
    </tableColumn>
  </tableColumns>
  <tableStyleInfo name="TableStyleMedium2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17D5814E-ACC3-4A0D-ADE9-852706D11389}" name="AvengerAbilities4Scenario1322" displayName="AvengerAbilities4Scenario1322" ref="L38:P41" totalsRowShown="0" headerRowDxfId="140" headerRowBorderDxfId="139" tableBorderDxfId="138" totalsRowBorderDxfId="137">
  <autoFilter ref="L38:P41" xr:uid="{A1F38E75-59DE-4DB4-B81C-C0322397F6F7}"/>
  <tableColumns count="5">
    <tableColumn id="1" xr3:uid="{BAC705CF-7A36-4711-8265-C8B5856901E0}" name="ability" dataDxfId="136"/>
    <tableColumn id="2" xr3:uid="{F1E28D8D-D41C-4847-9F95-DD8758371DB7}" name="takes" dataDxfId="135">
      <calculatedColumnFormula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calculatedColumnFormula>
    </tableColumn>
    <tableColumn id="3" xr3:uid="{63F79A2D-0156-4D0B-A1D2-20A22194D7A2}" name="wins" dataDxfId="134">
      <calculatedColumnFormula>COUNTIF(Scenario1[winner1-ability4],AvengerAbilities4Scenario1322[[#This Row],[ability]])+COUNTIF(Scenario1[winner2-ability4],AvengerAbilities4Scenario1322[[#This Row],[ability]])</calculatedColumnFormula>
    </tableColumn>
    <tableColumn id="4" xr3:uid="{C09D80C6-8E23-4684-A737-BBFEBD4714EF}" name="battles-take-rate" dataDxfId="133">
      <calculatedColumnFormula>IF(SUM(AvengerAbilities4Scenario1322[[#This Row],[takes]]) &gt; 0,AvengerAbilities4Scenario1322[[#This Row],[takes]]/SUM(AvengerAbilities4Scenario1322[takes]),0)</calculatedColumnFormula>
    </tableColumn>
    <tableColumn id="5" xr3:uid="{EFC21A6E-F0A4-4C8E-8A93-B0C075825D53}" name="take-win-rate" dataDxfId="132">
      <calculatedColumnFormula>IF(AvengerAbilities4Scenario1322[[#This Row],[takes]]&gt;0,AvengerAbilities4Scenario1322[[#This Row],[wins]]/AvengerAbilities4Scenario1322[[#This Row],[takes]],0)</calculatedColumnFormula>
    </tableColumn>
  </tableColumns>
  <tableStyleInfo name="TableStyleMedium2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0B1589B1-4E5A-4BC8-A705-7B482625FF52}" name="AvengerEquipScenario1323" displayName="AvengerEquipScenario1323" ref="R23:U26" totalsRowShown="0">
  <autoFilter ref="R23:U26" xr:uid="{18EECD25-0AE5-4756-B5E1-492D523A2929}"/>
  <tableColumns count="4">
    <tableColumn id="1" xr3:uid="{81FB099B-9444-4725-AA2D-B7CFECDEEAD8}" name="level"/>
    <tableColumn id="2" xr3:uid="{B6AC7BDB-8438-492B-86A1-0E1A9E63CDB9}" name="kopis" dataDxfId="131">
      <calculatedColumnFormula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calculatedColumnFormula>
    </tableColumn>
    <tableColumn id="3" xr3:uid="{68740EF8-9F63-4DC7-8E23-C0E7286744DB}" name="gun" dataDxfId="130">
      <calculatedColumnFormula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calculatedColumnFormula>
    </tableColumn>
    <tableColumn id="4" xr3:uid="{D0430705-CD0E-471A-85AE-4A5294D4713E}" name="chestpiece" dataDxfId="129">
      <calculatedColumnFormula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calculatedColumnFormula>
    </tableColumn>
  </tableColumns>
  <tableStyleInfo name="TableStyleMedium2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54CE20FA-7EC7-4086-B099-E80AF5703356}" name="AvengerAbilities1Scenario2324" displayName="AvengerAbilities1Scenario2324" ref="L44:P47" totalsRowShown="0">
  <autoFilter ref="L44:P47" xr:uid="{81D76695-EE53-4A07-9351-842AC55F2540}"/>
  <tableColumns count="5">
    <tableColumn id="2" xr3:uid="{EAC6BED0-5234-49FB-84CE-EC15B29B9421}" name="ability"/>
    <tableColumn id="6" xr3:uid="{35A168CE-E29F-4C8C-A333-6B5EC71E21DE}" name="takes" dataDxfId="128">
      <calculatedColumnFormula>COUNTIF(Scenario2[winner1-ability1],AvengerAbilities1Scenario2324[[#This Row],[ability]])+COUNTIF(Scenario2[loser1-ability1],AvengerAbilities1Scenario2324[[#This Row],[ability]])</calculatedColumnFormula>
    </tableColumn>
    <tableColumn id="4" xr3:uid="{9542E516-994E-404D-9A93-056A9C188131}" name="wins" dataDxfId="127">
      <calculatedColumnFormula>COUNTIF(Scenario2[winner1-ability1],AvengerAbilities1Scenario2324[[#This Row],[ability]])</calculatedColumnFormula>
    </tableColumn>
    <tableColumn id="5" xr3:uid="{81EF5DB3-8607-49C7-9D6F-EDC8CBDBB3BD}" name="battles-take-rate" dataDxfId="126">
      <calculatedColumnFormula>IF(SUM(AvengerAbilities1Scenario2324[[#This Row],[takes]]) &gt; 0,AvengerAbilities1Scenario2324[[#This Row],[takes]]/SUM(AvengerAbilities1Scenario2324[takes]),0)</calculatedColumnFormula>
    </tableColumn>
    <tableColumn id="7" xr3:uid="{D88670B8-BC48-477A-8A8C-A6822043B32B}" name="take-win-rate" dataDxfId="125">
      <calculatedColumnFormula>IF(AvengerAbilities1Scenario2324[[#This Row],[takes]]&gt;0,AvengerAbilities1Scenario2324[[#This Row],[wins]]/AvengerAbilities1Scenario2324[[#This Row],[takes]],0)</calculatedColumnFormula>
    </tableColumn>
  </tableColumns>
  <tableStyleInfo name="TableStyleMedium2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6FF34369-9C46-4285-BEF8-187CA8A45050}" name="AvengerAbilities2Scenario2325" displayName="AvengerAbilities2Scenario2325" ref="L49:P52" totalsRowShown="0" headerRowDxfId="124" headerRowBorderDxfId="123" tableBorderDxfId="122" totalsRowBorderDxfId="121">
  <autoFilter ref="L49:P52" xr:uid="{B5828340-8DA1-4B65-ACEB-BDDDED872E64}"/>
  <tableColumns count="5">
    <tableColumn id="1" xr3:uid="{B321C141-AC15-410E-BB08-A3FC36E9F861}" name="ability"/>
    <tableColumn id="2" xr3:uid="{EC136602-E049-4B82-9E18-09D785C13306}" name="takes" dataDxfId="120">
      <calculatedColumnFormula>COUNTIF(Scenario2[winner1-ability2],AvengerAbilities2Scenario2325[[#This Row],[ability]])+COUNTIF(Scenario2[loser1-ability2],AvengerAbilities2Scenario2325[[#This Row],[ability]])</calculatedColumnFormula>
    </tableColumn>
    <tableColumn id="3" xr3:uid="{61194B6A-BA3A-46A6-9BD8-2AB2BAA0DEB8}" name="wins" dataDxfId="119">
      <calculatedColumnFormula>COUNTIF(Scenario2[winner1-ability2],AvengerAbilities2Scenario2325[[#This Row],[ability]])</calculatedColumnFormula>
    </tableColumn>
    <tableColumn id="4" xr3:uid="{0428E882-AFEC-4686-A8D3-87D04423BBB2}" name="battles-take-rate" dataDxfId="118">
      <calculatedColumnFormula>IF(SUM(AvengerAbilities2Scenario2325[[#This Row],[takes]]) &gt; 0,AvengerAbilities2Scenario2325[[#This Row],[takes]]/SUM(AvengerAbilities2Scenario2325[takes]),0)</calculatedColumnFormula>
    </tableColumn>
    <tableColumn id="5" xr3:uid="{A920DD7B-16F6-4B3B-85CC-5FDEE94B8E1A}" name="take-win-rate" dataDxfId="117">
      <calculatedColumnFormula>IF(AvengerAbilities2Scenario2325[[#This Row],[takes]]&gt;0,AvengerAbilities2Scenario2325[[#This Row],[wins]]/AvengerAbilities2Scenario2325[[#This Row],[takes]],0)</calculatedColumnFormula>
    </tableColumn>
  </tableColumns>
  <tableStyleInfo name="TableStyleMedium2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CA0DBBFA-59BF-4D26-8CFC-740670BD9DDD}" name="AvengerAbilities3Scenario2326" displayName="AvengerAbilities3Scenario2326" ref="L54:P57" totalsRowShown="0" headerRowDxfId="116" headerRowBorderDxfId="115" tableBorderDxfId="114" totalsRowBorderDxfId="113">
  <autoFilter ref="L54:P57" xr:uid="{34ED10E5-B169-4BBA-8F2C-73FF473D0922}"/>
  <tableColumns count="5">
    <tableColumn id="1" xr3:uid="{DCC6C822-497A-4989-8189-78A70199C263}" name="ability"/>
    <tableColumn id="2" xr3:uid="{B140446A-488E-44E8-AF7A-4F11E88E869C}" name="takes" dataDxfId="112">
      <calculatedColumnFormula>COUNTIF(Scenario2[winner1-ability3],AvengerAbilities3Scenario2326[[#This Row],[ability]])+COUNTIF(Scenario2[loser1-ability3],AvengerAbilities3Scenario2326[[#This Row],[ability]])</calculatedColumnFormula>
    </tableColumn>
    <tableColumn id="3" xr3:uid="{AF786711-417E-4014-A323-215D957B0CDC}" name="wins" dataDxfId="111">
      <calculatedColumnFormula>COUNTIF(Scenario2[winner1-ability3],AvengerAbilities3Scenario2326[[#This Row],[ability]])</calculatedColumnFormula>
    </tableColumn>
    <tableColumn id="4" xr3:uid="{53638BC7-519D-4E1A-9C27-B0ACDBBB95B0}" name="battles-take-rate" dataDxfId="110">
      <calculatedColumnFormula>IF(SUM(AvengerAbilities3Scenario2326[[#This Row],[takes]]) &gt; 0,AvengerAbilities3Scenario2326[[#This Row],[takes]]/SUM(AvengerAbilities3Scenario2326[takes]),0)</calculatedColumnFormula>
    </tableColumn>
    <tableColumn id="5" xr3:uid="{190770EF-65AA-4851-BA17-15035FFECEC0}" name="take-win-rate" dataDxfId="109">
      <calculatedColumnFormula>IF(AvengerAbilities3Scenario2326[[#This Row],[takes]]&gt;0,AvengerAbilities3Scenario2326[[#This Row],[wins]]/AvengerAbilities3Scenario2326[[#This Row],[takes]],0)</calculatedColumnFormula>
    </tableColumn>
  </tableColumns>
  <tableStyleInfo name="TableStyleMedium2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EFB6A4BF-39B0-46AE-B424-F9B1C92E87DF}" name="AvengerAbilities4Scenario2327" displayName="AvengerAbilities4Scenario2327" ref="L59:P62" totalsRowShown="0" headerRowDxfId="108" headerRowBorderDxfId="107" tableBorderDxfId="106" totalsRowBorderDxfId="105">
  <autoFilter ref="L59:P62" xr:uid="{DDB7F110-02A6-4F67-8266-251AF48CB7C0}"/>
  <tableColumns count="5">
    <tableColumn id="1" xr3:uid="{AE6286A7-339B-42E8-8C41-8C6F2732A8A5}" name="ability" dataDxfId="104"/>
    <tableColumn id="2" xr3:uid="{C024E4B3-9066-4479-A3BA-513E74B161D6}" name="takes" dataDxfId="103">
      <calculatedColumnFormula>COUNTIF(Scenario2[winner1-ability4],AvengerAbilities4Scenario2327[[#This Row],[ability]])+COUNTIF(Scenario2[loser1-ability4],AvengerAbilities4Scenario2327[[#This Row],[ability]])</calculatedColumnFormula>
    </tableColumn>
    <tableColumn id="3" xr3:uid="{149946B5-92CA-455B-A3F9-660FA33436C4}" name="wins" dataDxfId="102">
      <calculatedColumnFormula>COUNTIF(Scenario2[winner1-ability4],AvengerAbilities4Scenario2327[[#This Row],[ability]])</calculatedColumnFormula>
    </tableColumn>
    <tableColumn id="4" xr3:uid="{A21B9640-9712-44D4-A6F4-DA1CE464908C}" name="battles-take-rate" dataDxfId="101">
      <calculatedColumnFormula>IF(SUM(AvengerAbilities4Scenario2327[[#This Row],[takes]]) &gt; 0,AvengerAbilities4Scenario2327[[#This Row],[takes]]/SUM(AvengerAbilities4Scenario2327[takes]),0)</calculatedColumnFormula>
    </tableColumn>
    <tableColumn id="5" xr3:uid="{145E8CFB-651E-4FA5-B03E-89BE7FE38252}" name="take-win-rate" dataDxfId="100">
      <calculatedColumnFormula>IF(AvengerAbilities4Scenario2327[[#This Row],[takes]]&gt;0,AvengerAbilities4Scenario2327[[#This Row],[wins]]/AvengerAbilities4Scenario2327[[#This Row],[takes]],0)</calculatedColumnFormula>
    </tableColumn>
  </tableColumns>
  <tableStyleInfo name="TableStyleMedium2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4F2A7469-D788-4A0B-9703-26E7E5D23D2F}" name="AvengerEquipScenario2328" displayName="AvengerEquipScenario2328" ref="R44:U47" totalsRowShown="0">
  <autoFilter ref="R44:U47" xr:uid="{BDEC3E9D-FA56-4E08-A52D-2A8BEB87833A}"/>
  <tableColumns count="4">
    <tableColumn id="1" xr3:uid="{F8192ACB-F31B-4FA9-8BD6-BB1463C07171}" name="level"/>
    <tableColumn id="2" xr3:uid="{DE3DE7CD-F4AF-42D6-8C5F-6C6D48995F20}" name="kopis" dataDxfId="99">
      <calculatedColumnFormula>COUNTIFS(Scenario2[winner1],"navarch",Scenario2[winner1-pw],AvengerEquipScenario2328[[#This Row],[level]])+COUNTIFS(Scenario2[loser1],"navarch",Scenario2[loser1-pw],AvengerEquipScenario2328[[#This Row],[level]])</calculatedColumnFormula>
    </tableColumn>
    <tableColumn id="3" xr3:uid="{B35245E0-582A-42C0-B89C-EFC0D246B7DA}" name="gun" dataDxfId="98">
      <calculatedColumnFormula>COUNTIFS(Scenario2[winner1],"navarch",Scenario2[winner1-sw],AvengerEquipScenario2328[[#This Row],[level]])+COUNTIFS(Scenario2[loser1],"navarch",Scenario2[loser1-sw],AvengerEquipScenario2328[[#This Row],[level]])</calculatedColumnFormula>
    </tableColumn>
    <tableColumn id="4" xr3:uid="{4C362166-9BFF-4E60-8990-06551A95928A}" name="chestpiece" dataDxfId="97">
      <calculatedColumnFormula>COUNTIFS(Scenario2[winner1],"navarch",Scenario2[winner1-cp],AvengerEquipScenario2328[[#This Row],[level]])+COUNTIFS(Scenario2[loser1],"navarch",Scenario2[loser1-cp],AvengerEquipScenario2328[[#This Row],[level]])</calculatedColumnFormula>
    </tableColumn>
  </tableColumns>
  <tableStyleInfo name="TableStyleMedium2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8300B30C-0722-4073-9BFD-0AAB2B367E1D}" name="UpgradeStatistics1926329" displayName="UpgradeStatistics1926329" ref="W1:X11" totalsRowShown="0">
  <autoFilter ref="W1:X11" xr:uid="{212BB833-8AB0-4DDF-BBA3-11AC313A3C95}"/>
  <tableColumns count="2">
    <tableColumn id="1" xr3:uid="{6C3A6A05-DDCD-434D-8A4D-C1F4BB92B0B6}" name="upgrade"/>
    <tableColumn id="3" xr3:uid="{5FC4BEB1-9DF0-455D-BE25-A07AAC472666}" name="rate" dataDxfId="96"/>
  </tableColumns>
  <tableStyleInfo name="TableStyleMedium2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6FE08F54-1D60-45B6-AFCF-03098694F2AC}" name="AvengerAbilities1Scenario3330" displayName="AvengerAbilities1Scenario3330" ref="L65:P68" totalsRowShown="0">
  <autoFilter ref="L65:P68" xr:uid="{2C9EEF2E-AFFC-479E-AF80-7B9FC063A95B}"/>
  <tableColumns count="5">
    <tableColumn id="2" xr3:uid="{6FCF55F4-4034-45B7-A76D-AFFF315278F2}" name="ability"/>
    <tableColumn id="6" xr3:uid="{5CFB20D8-AE2D-4DEE-A503-B4246EFF53D7}" name="takes" dataDxfId="95">
      <calculatedColumnFormula>COUNTIF(Scenario3[winner1-ability1],AvengerAbilities1Scenario3330[[#This Row],[ability]])+COUNTIF(Scenario3[loser1-ability1],AvengerAbilities1Scenario3330[[#This Row],[ability]])+COUNTIF(Scenario3[loser2-ability1],AvengerAbilities1Scenario3330[[#This Row],[ability]])</calculatedColumnFormula>
    </tableColumn>
    <tableColumn id="4" xr3:uid="{688FA12A-9610-4854-8A00-AD8B5BEFB393}" name="wins" dataDxfId="94">
      <calculatedColumnFormula>COUNTIF(Scenario3[winner1-ability1],AvengerAbilities1Scenario3330[[#This Row],[ability]])</calculatedColumnFormula>
    </tableColumn>
    <tableColumn id="5" xr3:uid="{15B9DACA-39C9-4763-8C43-3EEFEBE9BB9B}" name="battles-take-rate" dataDxfId="93">
      <calculatedColumnFormula>IF(SUM(AvengerAbilities1Scenario3330[[#This Row],[takes]]) &gt; 0,AvengerAbilities1Scenario3330[[#This Row],[takes]]/SUM(AvengerAbilities1Scenario3330[takes]),0)</calculatedColumnFormula>
    </tableColumn>
    <tableColumn id="7" xr3:uid="{B7106313-1E9F-47DD-9EF8-71F40E430A68}" name="take-win-rate" dataDxfId="92">
      <calculatedColumnFormula>IF(AvengerAbilities1Scenario3330[[#This Row],[takes]]&gt;0,AvengerAbilities1Scenario3330[[#This Row],[wins]]/AvengerAbilities1Scenario3330[[#This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893" headerRowBorderDxfId="1892" tableBorderDxfId="1891" totalsRowBorderDxfId="1890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889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888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887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886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F63AAAF0-0219-424E-937F-1EAB24846475}" name="AvengerAbilities2Scenario3331" displayName="AvengerAbilities2Scenario3331" ref="L70:P73" totalsRowShown="0" headerRowDxfId="91" headerRowBorderDxfId="90" tableBorderDxfId="89" totalsRowBorderDxfId="88">
  <autoFilter ref="L70:P73" xr:uid="{01CFC75A-EE6F-42E4-A473-DC7F977FD41C}"/>
  <tableColumns count="5">
    <tableColumn id="1" xr3:uid="{F08CB341-206A-40FA-AA7B-AC6B6DB531D6}" name="ability"/>
    <tableColumn id="2" xr3:uid="{5448B9D7-E466-4081-BF59-925D678F1C9C}" name="takes" dataDxfId="87">
      <calculatedColumnFormula>COUNTIF(Scenario3[winner1-ability2],AvengerAbilities2Scenario3331[[#This Row],[ability]])+COUNTIF(Scenario3[loser1-ability2],AvengerAbilities2Scenario3331[[#This Row],[ability]])+COUNTIF(Scenario3[loser2-ability2],AvengerAbilities2Scenario3331[[#This Row],[ability]])</calculatedColumnFormula>
    </tableColumn>
    <tableColumn id="3" xr3:uid="{E1D3D9A3-A9CD-44EC-8FB8-4D28DFFCABAF}" name="wins" dataDxfId="86">
      <calculatedColumnFormula>COUNTIF(Scenario3[winner1-ability2],AvengerAbilities2Scenario3331[[#This Row],[ability]])</calculatedColumnFormula>
    </tableColumn>
    <tableColumn id="4" xr3:uid="{E3A4E81A-DF5F-4B95-AB26-465828D28B51}" name="battles-take-rate" dataDxfId="85">
      <calculatedColumnFormula>IF(SUM(AvengerAbilities2Scenario3331[[#This Row],[takes]]) &gt; 0,AvengerAbilities2Scenario3331[[#This Row],[takes]]/SUM(AvengerAbilities2Scenario3331[takes]),0)</calculatedColumnFormula>
    </tableColumn>
    <tableColumn id="5" xr3:uid="{2096DB70-DBF4-48A5-8700-F16C44AC4201}" name="take-win-rate" dataDxfId="84">
      <calculatedColumnFormula>IF(AvengerAbilities2Scenario3331[[#This Row],[takes]]&gt;0,AvengerAbilities2Scenario3331[[#This Row],[wins]]/AvengerAbilities2Scenario3331[[#This Row],[takes]],0)</calculatedColumnFormula>
    </tableColumn>
  </tableColumns>
  <tableStyleInfo name="TableStyleMedium2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2B01ED37-36DF-4CC9-A374-6113D1646395}" name="AvengerAbilities3Scenario3332" displayName="AvengerAbilities3Scenario3332" ref="L75:P78" totalsRowShown="0" headerRowDxfId="83" headerRowBorderDxfId="82" tableBorderDxfId="81" totalsRowBorderDxfId="80">
  <autoFilter ref="L75:P78" xr:uid="{E0198DEC-FCBB-4FA6-B0FC-EB2F9B9D081F}"/>
  <tableColumns count="5">
    <tableColumn id="1" xr3:uid="{9E88676F-6A64-44EF-B3C0-EC3FB05F0960}" name="ability"/>
    <tableColumn id="2" xr3:uid="{7778FC25-C25A-4A96-BFFD-13C3196F725E}" name="takes" dataDxfId="79">
      <calculatedColumnFormula>COUNTIF(Scenario3[winner1-ability3],AvengerAbilities3Scenario3332[[#This Row],[ability]])+COUNTIF(Scenario3[loser1-ability3],AvengerAbilities3Scenario3332[[#This Row],[ability]])+COUNTIF(Scenario3[loser2-ability3],AvengerAbilities3Scenario3332[[#This Row],[ability]])</calculatedColumnFormula>
    </tableColumn>
    <tableColumn id="3" xr3:uid="{BBCE30F3-A644-4564-948B-BA1243AE37CE}" name="wins" dataDxfId="78">
      <calculatedColumnFormula>COUNTIF(Scenario3[winner1-ability3],AvengerAbilities3Scenario3332[[#This Row],[ability]])</calculatedColumnFormula>
    </tableColumn>
    <tableColumn id="4" xr3:uid="{D70927FB-573F-45AE-B323-5C7B49B36C20}" name="battles-take-rate" dataDxfId="77">
      <calculatedColumnFormula>IF(SUM(AvengerAbilities3Scenario3332[[#This Row],[takes]]) &gt; 0,AvengerAbilities3Scenario3332[[#This Row],[takes]]/SUM(AvengerAbilities3Scenario3332[takes]),0)</calculatedColumnFormula>
    </tableColumn>
    <tableColumn id="5" xr3:uid="{44A296F1-8A43-4587-A69A-0292B4A77CD1}" name="take-win-rate" dataDxfId="76">
      <calculatedColumnFormula>IF(AvengerAbilities3Scenario3332[[#This Row],[takes]]&gt;0,AvengerAbilities3Scenario3332[[#This Row],[wins]]/AvengerAbilities3Scenario3332[[#This Row],[takes]],0)</calculatedColumnFormula>
    </tableColumn>
  </tableColumns>
  <tableStyleInfo name="TableStyleMedium2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3C536464-FDFF-447F-B849-FA4195F42F6F}" name="AvengerAbilities4Scenario3333" displayName="AvengerAbilities4Scenario3333" ref="L80:P83" totalsRowShown="0" headerRowDxfId="75" headerRowBorderDxfId="74" tableBorderDxfId="73" totalsRowBorderDxfId="72">
  <autoFilter ref="L80:P83" xr:uid="{DFBA6C76-2A45-4005-8A4B-B62B537356D5}"/>
  <tableColumns count="5">
    <tableColumn id="1" xr3:uid="{F082A61F-846F-4BC1-B3F2-3E0624D1F22E}" name="ability" dataDxfId="71"/>
    <tableColumn id="2" xr3:uid="{B1B16773-F1FF-4B0F-878A-C523F950B8C3}" name="takes" dataDxfId="70">
      <calculatedColumnFormula>COUNTIF(Scenario3[winner1-ability4],AvengerAbilities4Scenario3333[[#This Row],[ability]])+COUNTIF(Scenario3[loser1-ability4],AvengerAbilities4Scenario3333[[#This Row],[ability]])+COUNTIF(Scenario3[loser2-ability4],AvengerAbilities4Scenario3333[[#This Row],[ability]])</calculatedColumnFormula>
    </tableColumn>
    <tableColumn id="3" xr3:uid="{74D731BB-10B2-4C9A-AB5A-99F0E8F1D12A}" name="wins" dataDxfId="69">
      <calculatedColumnFormula>COUNTIF(Scenario3[winner1-ability4],AvengerAbilities4Scenario3333[[#This Row],[ability]])</calculatedColumnFormula>
    </tableColumn>
    <tableColumn id="4" xr3:uid="{15BCF8C1-6F32-4786-B8EC-A8D430D9D69A}" name="battles-take-rate" dataDxfId="68">
      <calculatedColumnFormula>IF(SUM(AvengerAbilities4Scenario3333[[#This Row],[takes]]) &gt; 0,AvengerAbilities4Scenario3333[[#This Row],[takes]]/SUM(AvengerAbilities4Scenario3333[takes]),0)</calculatedColumnFormula>
    </tableColumn>
    <tableColumn id="5" xr3:uid="{5187B384-08D1-489F-9C3E-D80CE7A1580E}" name="take-win-rate" dataDxfId="67">
      <calculatedColumnFormula>IF(AvengerAbilities4Scenario3333[[#This Row],[takes]]&gt;0,AvengerAbilities4Scenario3333[[#This Row],[wins]]/AvengerAbilities4Scenario3333[[#This Row],[takes]],0)</calculatedColumnFormula>
    </tableColumn>
  </tableColumns>
  <tableStyleInfo name="TableStyleMedium2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7594104E-07DE-4AB2-B090-0AF405083688}" name="AvengerEquipScenario3334" displayName="AvengerEquipScenario3334" ref="R65:U68" totalsRowShown="0">
  <autoFilter ref="R65:U68" xr:uid="{CD519AA8-2FD7-481F-8689-CC94BEAB1F4C}"/>
  <tableColumns count="4">
    <tableColumn id="1" xr3:uid="{BD4DD31D-0B39-4956-89CF-70FE64CB589C}" name="level"/>
    <tableColumn id="2" xr3:uid="{18AAB543-7CB6-43AC-BFD3-5F0201030043}" name="kopis" dataDxfId="66">
      <calculatedColumnFormula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calculatedColumnFormula>
    </tableColumn>
    <tableColumn id="3" xr3:uid="{5539D526-4B2D-4A5B-8EEB-272A22FD3A08}" name="gun" dataDxfId="65">
      <calculatedColumnFormula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calculatedColumnFormula>
    </tableColumn>
    <tableColumn id="4" xr3:uid="{DE3D2F80-0B01-4A75-99C0-D9B15591E0B7}" name="chestpiece" dataDxfId="64">
      <calculatedColumnFormula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calculatedColumnFormula>
    </tableColumn>
  </tableColumns>
  <tableStyleInfo name="TableStyleMedium2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09A87953-45AB-4CEC-B391-A89A79EAFDD1}" name="AvengerAbilities1Scenario4335" displayName="AvengerAbilities1Scenario4335" ref="L86:P89" totalsRowShown="0">
  <autoFilter ref="L86:P89" xr:uid="{3062414F-0307-4E31-869D-F4935D589A75}"/>
  <tableColumns count="5">
    <tableColumn id="2" xr3:uid="{DD860F50-8F71-4B20-93C9-3EB42828AD22}" name="ability"/>
    <tableColumn id="6" xr3:uid="{75567355-7571-4914-8989-9B433B9A5123}" name="takes" dataDxfId="63">
      <calculatedColumnFormula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calculatedColumnFormula>
    </tableColumn>
    <tableColumn id="4" xr3:uid="{94CBC97A-2C27-40DB-A961-00ED1B11D6F0}" name="wins" dataDxfId="62">
      <calculatedColumnFormula>COUNTIF(Scenario4[winner1-ability1],AvengerAbilities1Scenario4335[[#This Row],[ability]])</calculatedColumnFormula>
    </tableColumn>
    <tableColumn id="5" xr3:uid="{AF7F2A5A-45A1-4BCD-80EF-2CBD89F960B3}" name="battles-take-rate" dataDxfId="61">
      <calculatedColumnFormula>IF(SUM(AvengerAbilities1Scenario4335[[#This Row],[takes]]) &gt; 0,AvengerAbilities1Scenario4335[[#This Row],[takes]]/SUM(AvengerAbilities1Scenario4335[takes]),0)</calculatedColumnFormula>
    </tableColumn>
    <tableColumn id="7" xr3:uid="{2303B663-D553-4154-8D00-25D1F8766BED}" name="take-win-rate" dataDxfId="60">
      <calculatedColumnFormula>IF(AvengerAbilities1Scenario4335[[#This Row],[takes]]&gt;0,AvengerAbilities1Scenario4335[[#This Row],[wins]]/AvengerAbilities1Scenario4335[[#This Row],[takes]],0)</calculatedColumnFormula>
    </tableColumn>
  </tableColumns>
  <tableStyleInfo name="TableStyleMedium2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D3EC2513-A597-4C6E-A411-801E11A14AE9}" name="AvengerAbilities2Scenario4336" displayName="AvengerAbilities2Scenario4336" ref="L91:P94" totalsRowShown="0" headerRowDxfId="59" headerRowBorderDxfId="58" tableBorderDxfId="57" totalsRowBorderDxfId="56">
  <autoFilter ref="L91:P94" xr:uid="{E4C1192C-838B-412B-8856-5A65351BD147}"/>
  <tableColumns count="5">
    <tableColumn id="1" xr3:uid="{71ED32C2-7B0F-43EE-9AB4-D93FC496C9F6}" name="ability"/>
    <tableColumn id="2" xr3:uid="{EC435F40-A36E-4F61-839F-EBA7015FCF90}" name="takes" dataDxfId="55">
      <calculatedColumnFormula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calculatedColumnFormula>
    </tableColumn>
    <tableColumn id="3" xr3:uid="{99F6E76E-8F6B-46FC-B29B-820E84676126}" name="wins" dataDxfId="54">
      <calculatedColumnFormula>COUNTIF(Scenario4[winner1-ability2],AvengerAbilities2Scenario4336[[#This Row],[ability]])</calculatedColumnFormula>
    </tableColumn>
    <tableColumn id="4" xr3:uid="{3F328C44-B1E2-4305-A897-2BFA570B22AA}" name="battles-take-rate" dataDxfId="53">
      <calculatedColumnFormula>IF(SUM(AvengerAbilities2Scenario4336[[#This Row],[takes]]) &gt; 0,AvengerAbilities2Scenario4336[[#This Row],[takes]]/SUM(AvengerAbilities2Scenario4336[takes]),0)</calculatedColumnFormula>
    </tableColumn>
    <tableColumn id="5" xr3:uid="{38898A50-5957-49D4-9803-567D1355CE10}" name="take-win-rate" dataDxfId="52">
      <calculatedColumnFormula>IF(AvengerAbilities2Scenario4336[[#This Row],[takes]]&gt;0,AvengerAbilities2Scenario4336[[#This Row],[wins]]/AvengerAbilities2Scenario4336[[#This Row],[takes]],0)</calculatedColumnFormula>
    </tableColumn>
  </tableColumns>
  <tableStyleInfo name="TableStyleMedium2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2AC0B0D7-09CB-41E1-8A7D-396002F73481}" name="AvengerAbilities3Scenario4337" displayName="AvengerAbilities3Scenario4337" ref="L96:P99" totalsRowShown="0" headerRowDxfId="51" headerRowBorderDxfId="50" tableBorderDxfId="49" totalsRowBorderDxfId="48">
  <autoFilter ref="L96:P99" xr:uid="{73CD5CF4-EB8D-4510-9AD9-31A7E1F0585E}"/>
  <tableColumns count="5">
    <tableColumn id="1" xr3:uid="{47C04BDC-4D37-405A-A4FC-4592A41D01E5}" name="ability"/>
    <tableColumn id="2" xr3:uid="{DD443CBF-9EE0-4186-8994-E139F58D1D64}" name="takes" dataDxfId="47">
      <calculatedColumnFormula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calculatedColumnFormula>
    </tableColumn>
    <tableColumn id="3" xr3:uid="{BBB975F7-AFA9-41A9-B2A2-FA41A36E14AB}" name="wins" dataDxfId="46">
      <calculatedColumnFormula>COUNTIF(Scenario4[winner1-ability3],AvengerAbilities3Scenario4337[[#This Row],[ability]])</calculatedColumnFormula>
    </tableColumn>
    <tableColumn id="4" xr3:uid="{8BE0E628-071A-4B10-8710-4E6CEBBD3521}" name="battles-take-rate" dataDxfId="45">
      <calculatedColumnFormula>IF(SUM(AvengerAbilities3Scenario4337[[#This Row],[takes]]) &gt; 0,AvengerAbilities3Scenario4337[[#This Row],[takes]]/SUM(AvengerAbilities3Scenario4337[takes]),0)</calculatedColumnFormula>
    </tableColumn>
    <tableColumn id="5" xr3:uid="{E7F0888D-8126-4F3E-BC9D-9F8560135B16}" name="take-win-rate" dataDxfId="44">
      <calculatedColumnFormula>IF(AvengerAbilities3Scenario4337[[#This Row],[takes]]&gt;0,AvengerAbilities3Scenario4337[[#This Row],[wins]]/AvengerAbilities3Scenario4337[[#This Row],[takes]],0)</calculatedColumnFormula>
    </tableColumn>
  </tableColumns>
  <tableStyleInfo name="TableStyleMedium2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20237B98-D2A9-4B22-8BD7-D40D4FDD0180}" name="AvengerAbilities4Scenario4338" displayName="AvengerAbilities4Scenario4338" ref="L101:P104" totalsRowShown="0" headerRowDxfId="43" headerRowBorderDxfId="42" tableBorderDxfId="41" totalsRowBorderDxfId="40">
  <autoFilter ref="L101:P104" xr:uid="{E0C2D5AA-63BE-4431-96B6-ED61F1B43B2C}"/>
  <tableColumns count="5">
    <tableColumn id="1" xr3:uid="{FAABDA20-4060-4702-B3CE-C325D8A799F4}" name="ability" dataDxfId="39"/>
    <tableColumn id="2" xr3:uid="{2CD457A0-E655-45A2-AFE4-4C8FDADACF85}" name="takes" dataDxfId="38">
      <calculatedColumnFormula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calculatedColumnFormula>
    </tableColumn>
    <tableColumn id="3" xr3:uid="{45EE5FDF-6286-4429-B307-E2A12BF152D4}" name="wins" dataDxfId="37">
      <calculatedColumnFormula>COUNTIF(Scenario4[winner1-ability4],AvengerAbilities4Scenario4338[[#This Row],[ability]])</calculatedColumnFormula>
    </tableColumn>
    <tableColumn id="4" xr3:uid="{05B7E83F-124A-4586-8FAA-C18DD706C39B}" name="battles-take-rate" dataDxfId="36">
      <calculatedColumnFormula>IF(SUM(AvengerAbilities4Scenario4338[[#This Row],[takes]]) &gt; 0,AvengerAbilities4Scenario4338[[#This Row],[takes]]/SUM(AvengerAbilities4Scenario4338[takes]),0)</calculatedColumnFormula>
    </tableColumn>
    <tableColumn id="5" xr3:uid="{EEC85C4D-9654-414A-A516-C6A1FB384079}" name="take-win-rate" dataDxfId="35">
      <calculatedColumnFormula>IF(AvengerAbilities4Scenario4338[[#This Row],[takes]]&gt;0,AvengerAbilities4Scenario4338[[#This Row],[wins]]/AvengerAbilities4Scenario4338[[#This Row],[takes]],0)</calculatedColumnFormula>
    </tableColumn>
  </tableColumns>
  <tableStyleInfo name="TableStyleMedium2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3A0D3C27-D8A8-4459-B54D-938278D60E08}" name="AvengerEquipScenario4339" displayName="AvengerEquipScenario4339" ref="R86:U89" totalsRowShown="0">
  <autoFilter ref="R86:U89" xr:uid="{C0AB1F27-C48F-49FC-A367-088923D74917}"/>
  <tableColumns count="4">
    <tableColumn id="1" xr3:uid="{0F8FE760-B106-4841-8132-79DA3D35FFC8}" name="level"/>
    <tableColumn id="2" xr3:uid="{5C24CB61-2DE1-4B5D-908C-3B7C39637DE1}" name="kopis" dataDxfId="34">
      <calculatedColumnFormula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calculatedColumnFormula>
    </tableColumn>
    <tableColumn id="3" xr3:uid="{A0C91939-8AF5-44B8-8954-E5A1B9CF18EC}" name="gun" dataDxfId="33">
      <calculatedColumnFormula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calculatedColumnFormula>
    </tableColumn>
    <tableColumn id="4" xr3:uid="{D223AE86-0DC8-40A7-8CF3-3E63A7F321D8}" name="chestpiece" dataDxfId="32">
      <calculatedColumnFormula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calculatedColumnFormula>
    </tableColumn>
  </tableColumns>
  <tableStyleInfo name="TableStyleMedium2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973D9C16-BDBD-4318-8B7E-56A722383658}" name="AvengerAbilities1Scenario5340" displayName="AvengerAbilities1Scenario5340" ref="L107:P110" totalsRowShown="0">
  <autoFilter ref="L107:P110" xr:uid="{A63FB71A-E28D-4CA6-97AB-031ADA5AAAE2}"/>
  <tableColumns count="5">
    <tableColumn id="2" xr3:uid="{47CE7D81-B52E-4AAF-B850-140FE0ABC00F}" name="ability"/>
    <tableColumn id="6" xr3:uid="{0F885D62-B2F4-47F5-899F-95BCA8FC1E83}" name="takes" dataDxfId="31">
      <calculatedColumnFormula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calculatedColumnFormula>
    </tableColumn>
    <tableColumn id="4" xr3:uid="{09856947-F4B0-4E67-A1DE-46437A0D40C2}" name="wins" dataDxfId="30">
      <calculatedColumnFormula>COUNTIF(Scenario5[winner1-ability1],AvengerAbilities1Scenario5340[[#This Row],[ability]])+COUNTIF(Scenario5[winner2-ability1],AvengerAbilities1Scenario5340[[#This Row],[ability]])</calculatedColumnFormula>
    </tableColumn>
    <tableColumn id="5" xr3:uid="{8C2C4069-196B-4F1C-872C-4A30706488D8}" name="battles-take-rate" dataDxfId="29">
      <calculatedColumnFormula>IF(SUM(AvengerAbilities1Scenario5340[[#This Row],[takes]]) &gt; 0,AvengerAbilities1Scenario5340[[#This Row],[takes]]/SUM(AvengerAbilities1Scenario5340[takes]),0)</calculatedColumnFormula>
    </tableColumn>
    <tableColumn id="7" xr3:uid="{09C142BD-6D0F-46EB-A20B-D559C021C7A3}" name="take-win-rate" dataDxfId="28">
      <calculatedColumnFormula>IF(AvengerAbilities1Scenario5340[[#This Row],[takes]]&gt;0,AvengerAbilities1Scenario5340[[#This Row],[wins]]/AvengerAbilities1Scenario5340[[#This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885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884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883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232CEE4E-8F87-4E2A-ABA7-8491F9A8EDFE}" name="AvengerAbilities2Scenario5341" displayName="AvengerAbilities2Scenario5341" ref="L112:P115" totalsRowShown="0" headerRowDxfId="27" headerRowBorderDxfId="26" tableBorderDxfId="25" totalsRowBorderDxfId="24">
  <autoFilter ref="L112:P115" xr:uid="{C98A1175-5CEA-4F11-8BEB-DB6DE0ABD439}"/>
  <tableColumns count="5">
    <tableColumn id="1" xr3:uid="{83740E72-1EB8-4326-A1B1-9C3BF17C4AE6}" name="ability"/>
    <tableColumn id="2" xr3:uid="{543A18ED-DE1A-4272-B079-F06D5BF86E0A}" name="takes" dataDxfId="23">
      <calculatedColumnFormula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calculatedColumnFormula>
    </tableColumn>
    <tableColumn id="3" xr3:uid="{B81FF28F-F259-4CB9-AEE2-EE660619B8DE}" name="wins" dataDxfId="22">
      <calculatedColumnFormula>COUNTIF(Scenario5[winner1-ability2],AvengerAbilities2Scenario5341[[#This Row],[ability]])+COUNTIF(Scenario5[winner2-ability2],AvengerAbilities2Scenario5341[[#This Row],[ability]])</calculatedColumnFormula>
    </tableColumn>
    <tableColumn id="4" xr3:uid="{CA2C5F1E-B713-454B-A4E6-7425DA063041}" name="battles-take-rate" dataDxfId="21">
      <calculatedColumnFormula>IF(SUM(AvengerAbilities2Scenario5341[[#This Row],[takes]]) &gt; 0,AvengerAbilities2Scenario5341[[#This Row],[takes]]/SUM(AvengerAbilities2Scenario5341[takes]),0)</calculatedColumnFormula>
    </tableColumn>
    <tableColumn id="5" xr3:uid="{7AAFA192-B5C6-4DA4-A5F9-401A391D6BA8}" name="take-win-rate" dataDxfId="20">
      <calculatedColumnFormula>IF(AvengerAbilities2Scenario5341[[#This Row],[takes]]&gt;0,AvengerAbilities2Scenario5341[[#This Row],[wins]]/AvengerAbilities2Scenario5341[[#This Row],[takes]],0)</calculatedColumnFormula>
    </tableColumn>
  </tableColumns>
  <tableStyleInfo name="TableStyleMedium2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557D9542-F5C4-41EA-A533-AF1894614420}" name="AvengerAbilities3Scenario5342" displayName="AvengerAbilities3Scenario5342" ref="L117:P120" totalsRowShown="0" headerRowDxfId="19" headerRowBorderDxfId="18" tableBorderDxfId="17" totalsRowBorderDxfId="16">
  <autoFilter ref="L117:P120" xr:uid="{AB91CA97-A290-47BB-8CFE-C37C508952F2}"/>
  <tableColumns count="5">
    <tableColumn id="1" xr3:uid="{35642A02-8858-489C-B45D-CAB6FFAFC276}" name="ability"/>
    <tableColumn id="2" xr3:uid="{21B1382A-DA76-42A9-BC4B-F19DCA771CED}" name="takes" dataDxfId="15">
      <calculatedColumnFormula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calculatedColumnFormula>
    </tableColumn>
    <tableColumn id="3" xr3:uid="{49215BDD-F8E8-4276-8E69-63F780EFA3A0}" name="wins" dataDxfId="14">
      <calculatedColumnFormula>COUNTIF(Scenario5[winner1-ability3],AvengerAbilities3Scenario5342[[#This Row],[ability]])+COUNTIF(Scenario5[winner2-ability3],AvengerAbilities3Scenario5342[[#This Row],[ability]])</calculatedColumnFormula>
    </tableColumn>
    <tableColumn id="4" xr3:uid="{7C9117D5-5A1C-413B-8615-0441CA4C1618}" name="battles-take-rate" dataDxfId="13">
      <calculatedColumnFormula>IF(SUM(AvengerAbilities3Scenario5342[[#This Row],[takes]]) &gt; 0,AvengerAbilities3Scenario5342[[#This Row],[takes]]/SUM(AvengerAbilities3Scenario5342[takes]),0)</calculatedColumnFormula>
    </tableColumn>
    <tableColumn id="5" xr3:uid="{69C97637-E92A-41A1-8033-C4A9A5291A50}" name="take-win-rate" dataDxfId="12">
      <calculatedColumnFormula>IF(AvengerAbilities3Scenario5342[[#This Row],[takes]]&gt;0,AvengerAbilities3Scenario5342[[#This Row],[wins]]/AvengerAbilities3Scenario5342[[#This Row],[takes]],0)</calculatedColumnFormula>
    </tableColumn>
  </tableColumns>
  <tableStyleInfo name="TableStyleMedium2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E2A93810-2BDB-4C86-AC2C-0E36E1AA0B83}" name="AvengerAbilities4Scenario5343" displayName="AvengerAbilities4Scenario5343" ref="L122:P125" totalsRowShown="0" headerRowDxfId="11" headerRowBorderDxfId="10" tableBorderDxfId="9" totalsRowBorderDxfId="8">
  <autoFilter ref="L122:P125" xr:uid="{F160D1D4-E2CA-4D0C-84EC-AA2A7E301211}"/>
  <tableColumns count="5">
    <tableColumn id="1" xr3:uid="{13F4CD29-8823-40DF-81F0-0EB140070855}" name="ability" dataDxfId="7"/>
    <tableColumn id="2" xr3:uid="{19703636-AB12-4F54-9CAB-DA7D91D33258}" name="takes" dataDxfId="6">
      <calculatedColumnFormula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calculatedColumnFormula>
    </tableColumn>
    <tableColumn id="3" xr3:uid="{B4D79C87-D1E7-4C48-8404-25E82620B9FD}" name="wins" dataDxfId="5">
      <calculatedColumnFormula>COUNTIF(Scenario5[winner1-ability4],AvengerAbilities4Scenario5343[[#This Row],[ability]])+COUNTIF(Scenario5[winner2-ability4],AvengerAbilities4Scenario5343[[#This Row],[ability]])</calculatedColumnFormula>
    </tableColumn>
    <tableColumn id="4" xr3:uid="{1A0CA98B-6655-486C-9E1E-D4B3E334167D}" name="battles-take-rate" dataDxfId="4">
      <calculatedColumnFormula>IF(SUM(AvengerAbilities4Scenario5343[[#This Row],[takes]]) &gt; 0,AvengerAbilities4Scenario5343[[#This Row],[takes]]/SUM(AvengerAbilities4Scenario5343[takes]),0)</calculatedColumnFormula>
    </tableColumn>
    <tableColumn id="5" xr3:uid="{ECD26B7D-0245-4CA1-9DFA-83D9AE056984}" name="take-win-rate" dataDxfId="3">
      <calculatedColumnFormula>IF(AvengerAbilities4Scenario5343[[#This Row],[takes]]&gt;0,AvengerAbilities4Scenario5343[[#This Row],[wins]]/AvengerAbilities4Scenario5343[[#This Row],[takes]],0)</calculatedColumnFormula>
    </tableColumn>
  </tableColumns>
  <tableStyleInfo name="TableStyleMedium2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34276324-F825-48CE-AF3C-C89401A6795C}" name="AvengerEquipScenario5344" displayName="AvengerEquipScenario5344" ref="R107:U110" totalsRowShown="0">
  <autoFilter ref="R107:U110" xr:uid="{90CBCC98-52A2-41AF-9A51-EA670E4041FF}"/>
  <tableColumns count="4">
    <tableColumn id="1" xr3:uid="{19A5D719-C552-455C-A241-E926633C2FEA}" name="level"/>
    <tableColumn id="2" xr3:uid="{2E67ECA5-8FF5-463B-95C4-8DFC31A298FE}" name="kopis" dataDxfId="2">
      <calculatedColumnFormula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calculatedColumnFormula>
    </tableColumn>
    <tableColumn id="3" xr3:uid="{90B04B0B-216F-4F6C-9338-7BACED58FC47}" name="gun" dataDxfId="1">
      <calculatedColumnFormula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calculatedColumnFormula>
    </tableColumn>
    <tableColumn id="4" xr3:uid="{50266A3A-20E6-4CB7-91E3-8489EC9B788E}" name="chestpiece" dataDxfId="0">
      <calculatedColumnFormula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882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881">
      <calculatedColumnFormula>COUNTIF(Scenario2[winner1-ability1],ParagonAbilities1Scenario2[[#This Row],[ability]])</calculatedColumnFormula>
    </tableColumn>
    <tableColumn id="5" xr3:uid="{B6F725F9-59F1-4BBC-88E3-95CB9FA3D9B4}" name="battles-take-rate" dataDxfId="1880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879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878" headerRowBorderDxfId="1877" tableBorderDxfId="1876" totalsRowBorderDxfId="1875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874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873">
      <calculatedColumnFormula>COUNTIF(Scenario2[winner1-ability2],ParagonAbilities2Scenario2[[#This Row],[ability]])</calculatedColumnFormula>
    </tableColumn>
    <tableColumn id="4" xr3:uid="{E051F2C9-AD26-4F86-BA73-06F989437A9B}" name="battles-take-rate" dataDxfId="1872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871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870" headerRowBorderDxfId="1869" tableBorderDxfId="1868" totalsRowBorderDxfId="1867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866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865">
      <calculatedColumnFormula>COUNTIF(Scenario2[winner1-ability3],ParagonAbilities3Scenario2[[#This Row],[ability]])</calculatedColumnFormula>
    </tableColumn>
    <tableColumn id="4" xr3:uid="{A7CC83B2-A2E6-4450-9696-B55D92586553}" name="battles-take-rate" dataDxfId="1864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863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862" headerRowBorderDxfId="1861" tableBorderDxfId="1860" totalsRowBorderDxfId="1859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858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857">
      <calculatedColumnFormula>COUNTIF(Scenario2[winner1-ability4],ParagonAbilities4Scenario2[[#This Row],[ability]])</calculatedColumnFormula>
    </tableColumn>
    <tableColumn id="4" xr3:uid="{CA8861D8-C4EC-4F7B-8C03-8907F286C5FD}" name="battles-take-rate" dataDxfId="1856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855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854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853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852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379" totalsRowShown="0">
  <autoFilter ref="A1:AJ379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851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850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849">
      <calculatedColumnFormula>COUNTIF(Scenario3[winner1-ability1],ParagonAbilities1Scenario3[[#This Row],[ability]])</calculatedColumnFormula>
    </tableColumn>
    <tableColumn id="5" xr3:uid="{BF58455F-D839-40A6-B834-044CCA3A9D62}" name="battles-take-rate" dataDxfId="1848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847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846" headerRowBorderDxfId="1845" tableBorderDxfId="1844" totalsRowBorderDxfId="1843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842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841">
      <calculatedColumnFormula>COUNTIF(Scenario3[winner1-ability2],ParagonAbilities2Scenario3[[#This Row],[ability]])</calculatedColumnFormula>
    </tableColumn>
    <tableColumn id="4" xr3:uid="{A47A03CE-64B7-48DE-84FE-4869BB655C1E}" name="battles-take-rate" dataDxfId="1840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839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838" headerRowBorderDxfId="1837" tableBorderDxfId="1836" totalsRowBorderDxfId="1835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834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833">
      <calculatedColumnFormula>COUNTIF(Scenario3[winner1-ability3],ParagonAbilities3Scenario3[[#This Row],[ability]])</calculatedColumnFormula>
    </tableColumn>
    <tableColumn id="4" xr3:uid="{6962BF6D-C2E4-4653-B2E5-14FA4D687B66}" name="battles-take-rate" dataDxfId="1832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831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830" headerRowBorderDxfId="1829" tableBorderDxfId="1828" totalsRowBorderDxfId="1827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826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825">
      <calculatedColumnFormula>COUNTIF(Scenario3[winner1-ability4],ParagonAbilities4Scenario3[[#This Row],[ability]])</calculatedColumnFormula>
    </tableColumn>
    <tableColumn id="4" xr3:uid="{5564EF3F-A1E6-47F3-9245-63CBC8BF13EA}" name="battles-take-rate" dataDxfId="1824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823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822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821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820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819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818">
      <calculatedColumnFormula>COUNTIF(Scenario4[winner1-ability1],ParagonAbilities1Scenario4[[#This Row],[ability]])</calculatedColumnFormula>
    </tableColumn>
    <tableColumn id="5" xr3:uid="{A3A712DA-79C2-4E0A-B45F-24046DDDC055}" name="battles-take-rate" dataDxfId="1817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816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815" headerRowBorderDxfId="1814" tableBorderDxfId="1813" totalsRowBorderDxfId="1812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811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810">
      <calculatedColumnFormula>COUNTIF(Scenario4[winner1-ability2],ParagonAbilities2Scenario4[[#This Row],[ability]])</calculatedColumnFormula>
    </tableColumn>
    <tableColumn id="4" xr3:uid="{1F4853F6-9A8B-440D-A883-73FBA3E2B146}" name="battles-take-rate" dataDxfId="1809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808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807" headerRowBorderDxfId="1806" tableBorderDxfId="1805" totalsRowBorderDxfId="1804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803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802">
      <calculatedColumnFormula>COUNTIF(Scenario4[winner1-ability3],ParagonAbilities3Scenario4[[#This Row],[ability]])</calculatedColumnFormula>
    </tableColumn>
    <tableColumn id="4" xr3:uid="{90E5726D-20F9-4F3A-A0E6-A5A6EC87E009}" name="battles-take-rate" dataDxfId="1801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800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799" headerRowBorderDxfId="1798" tableBorderDxfId="1797" totalsRowBorderDxfId="1796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795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794">
      <calculatedColumnFormula>COUNTIF(Scenario4[winner1-ability4],ParagonAbilities4Scenario4[[#This Row],[ability]])</calculatedColumnFormula>
    </tableColumn>
    <tableColumn id="4" xr3:uid="{5FA50C4E-7E25-4F47-8E1C-377ED6B583BF}" name="battles-take-rate" dataDxfId="1793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792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380" totalsRowShown="0">
  <autoFilter ref="A2:G380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2027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2026"/>
    <tableColumn id="5" xr3:uid="{128C557E-8342-4183-B44E-301E27402F84}" name="hero-4"/>
    <tableColumn id="7" xr3:uid="{AAC6C4FD-799F-4646-B17E-E24AA4D9541B}" name="team-2-win" dataDxfId="2025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2024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791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790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789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788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787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786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785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784" headerRowBorderDxfId="1783" tableBorderDxfId="1782" totalsRowBorderDxfId="1781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780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779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778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777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776" headerRowBorderDxfId="1775" tableBorderDxfId="1774" totalsRowBorderDxfId="1773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772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771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770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769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768" headerRowBorderDxfId="1767" tableBorderDxfId="1766" totalsRowBorderDxfId="1765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764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763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762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761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760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759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758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757">
      <calculatedColumnFormula>L3+L24+L45+L66+L87+L108</calculatedColumnFormula>
    </tableColumn>
    <tableColumn id="4" xr3:uid="{6AD8A7A2-0013-4031-8DAB-5AD3D8FCB173}" name="wins" dataDxfId="1756">
      <calculatedColumnFormula>M3+M24+M45+M66+M87+M108</calculatedColumnFormula>
    </tableColumn>
    <tableColumn id="5" xr3:uid="{B3552DFB-EAFC-4577-B811-AF0F9687BA5C}" name="battles-take-rate" dataDxfId="1755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754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753" headerRowBorderDxfId="1752" tableBorderDxfId="1751" totalsRowBorderDxfId="1750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749">
      <calculatedColumnFormula>L8+L29+L50+L71+L92+L113</calculatedColumnFormula>
    </tableColumn>
    <tableColumn id="3" xr3:uid="{8FEED0FA-3268-41B1-9503-BD07DCBD59EB}" name="wins" dataDxfId="1748">
      <calculatedColumnFormula>M8+M29+M50+M71+M92+M113</calculatedColumnFormula>
    </tableColumn>
    <tableColumn id="4" xr3:uid="{791570BF-CF63-4FF3-98A5-66F96870FBA2}" name="battles-take-rate" dataDxfId="1747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746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745" headerRowBorderDxfId="1744" tableBorderDxfId="1743" totalsRowBorderDxfId="1742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741">
      <calculatedColumnFormula>L13+L34+L55+L76+L97+L118</calculatedColumnFormula>
    </tableColumn>
    <tableColumn id="3" xr3:uid="{03C77734-0BE9-4820-9770-29ACD0AF0635}" name="wins" dataDxfId="1740">
      <calculatedColumnFormula>M13+M34+M55+M76+M97+M118</calculatedColumnFormula>
    </tableColumn>
    <tableColumn id="4" xr3:uid="{FE54A2A3-BC60-46B8-89C1-8C761FDDC67F}" name="battles-take-rate" dataDxfId="1739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738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737" headerRowBorderDxfId="1736" tableBorderDxfId="1735" totalsRowBorderDxfId="1734">
  <autoFilter ref="A17:E20" xr:uid="{2AADA4A0-2F4A-4009-8ECF-0BECA693390C}"/>
  <tableColumns count="5">
    <tableColumn id="1" xr3:uid="{87950E31-BAB1-44C5-9C72-3AB67D671CA7}" name="ability" dataDxfId="1733"/>
    <tableColumn id="2" xr3:uid="{C84CD939-93B2-4F85-A4F0-569665A45FE6}" name="takes" dataDxfId="1732">
      <calculatedColumnFormula>L18+L39+L60+L81+L102+L123</calculatedColumnFormula>
    </tableColumn>
    <tableColumn id="3" xr3:uid="{6B188D82-4BD2-4FF2-8C12-D56DAEB9B117}" name="wins" dataDxfId="1731">
      <calculatedColumnFormula>M18+M39+M60+M81+M102+M123</calculatedColumnFormula>
    </tableColumn>
    <tableColumn id="4" xr3:uid="{00FCF0E9-BE21-44DD-BE30-37EA8F3BBCFF}" name="battles-take-rate" dataDxfId="1730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729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7">
  <autoFilter ref="I2:M37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2023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2022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2021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728">
      <calculatedColumnFormula>R3+R24+R45+R66+R87+R108</calculatedColumnFormula>
    </tableColumn>
    <tableColumn id="4" xr3:uid="{6BFD5C7B-4CFB-4B7D-B8E9-5C10F667B91B}" name="chestpiece" dataDxfId="1727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726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725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724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723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722" headerRowBorderDxfId="1721" tableBorderDxfId="1720" totalsRowBorderDxfId="1719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718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717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716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715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714" headerRowBorderDxfId="1713" tableBorderDxfId="1712" totalsRowBorderDxfId="1711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710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709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708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707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706" headerRowBorderDxfId="1705" tableBorderDxfId="1704" totalsRowBorderDxfId="1703">
  <autoFilter ref="K17:O20" xr:uid="{01E0B516-A92C-45D4-946B-0FCF2F31D98A}"/>
  <tableColumns count="5">
    <tableColumn id="1" xr3:uid="{AA1B6D33-74EE-498E-B851-AABC093752BF}" name="ability" dataDxfId="1702"/>
    <tableColumn id="2" xr3:uid="{638C4C88-BC79-4B67-BB2F-FBF29994B680}" name="takes" dataDxfId="1701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700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699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698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697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696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695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694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693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692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691" headerRowBorderDxfId="1690" tableBorderDxfId="1689" totalsRowBorderDxfId="1688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687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686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685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684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683" headerRowBorderDxfId="1682" tableBorderDxfId="1681" totalsRowBorderDxfId="1680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679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678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677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676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675" headerRowBorderDxfId="1674" tableBorderDxfId="1673" totalsRowBorderDxfId="1672">
  <autoFilter ref="K38:O41" xr:uid="{A1F38E75-59DE-4DB4-B81C-C0322397F6F7}"/>
  <tableColumns count="5">
    <tableColumn id="1" xr3:uid="{769AEF11-64B1-48E1-81F7-44ED789A5436}" name="ability" dataDxfId="1671"/>
    <tableColumn id="2" xr3:uid="{329ABE97-FD25-4B89-85FE-EF4B7E705884}" name="takes" dataDxfId="1670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669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668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667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73" totalsRowShown="0">
  <autoFilter ref="A1:T73" xr:uid="{00000000-0009-0000-0100-000001000000}"/>
  <tableColumns count="20">
    <tableColumn id="1" xr3:uid="{936E5295-3BC3-4630-97BC-068124807D82}" name="battle" dataDxfId="2018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666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665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664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663">
      <calculatedColumnFormula>COUNTIF(Scenario2[winner1-ability1],HighlanderAbilities1Scenario2[[#This Row],[ability]])</calculatedColumnFormula>
    </tableColumn>
    <tableColumn id="5" xr3:uid="{76F1983E-CA15-4A41-958C-4EAB1B656281}" name="battles-take-rate" dataDxfId="1662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661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660" headerRowBorderDxfId="1659" tableBorderDxfId="1658" totalsRowBorderDxfId="1657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656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655">
      <calculatedColumnFormula>COUNTIF(Scenario2[winner1-ability2],HighlanderAbilities2Scenario2[[#This Row],[ability]])</calculatedColumnFormula>
    </tableColumn>
    <tableColumn id="4" xr3:uid="{CBEF0BDE-C3C4-4A23-8448-66FC7E8209FB}" name="battles-take-rate" dataDxfId="1654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653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652" headerRowBorderDxfId="1651" tableBorderDxfId="1650" totalsRowBorderDxfId="1649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648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647">
      <calculatedColumnFormula>COUNTIF(Scenario2[winner1-ability3],HighlanderAbilities3Scenario2[[#This Row],[ability]])</calculatedColumnFormula>
    </tableColumn>
    <tableColumn id="4" xr3:uid="{30063EAF-50ED-4235-8FA0-74C713EDE547}" name="battles-take-rate" dataDxfId="1646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645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644" headerRowBorderDxfId="1643" tableBorderDxfId="1642" totalsRowBorderDxfId="1641">
  <autoFilter ref="K59:O62" xr:uid="{DDB7F110-02A6-4F67-8266-251AF48CB7C0}"/>
  <tableColumns count="5">
    <tableColumn id="1" xr3:uid="{24AD3B9C-E89B-4255-AF6A-993728E1E88D}" name="ability" dataDxfId="1640"/>
    <tableColumn id="2" xr3:uid="{D8585D3A-FC34-4996-9EF2-60CC70EA9A7A}" name="takes" dataDxfId="1639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638">
      <calculatedColumnFormula>COUNTIF(Scenario2[winner1-ability4],HighlanderAbilities4Scenario2[[#This Row],[ability]])</calculatedColumnFormula>
    </tableColumn>
    <tableColumn id="4" xr3:uid="{DFED8343-DB73-48A3-85AC-08485FB0C7E7}" name="battles-take-rate" dataDxfId="1637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636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635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634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633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632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631">
      <calculatedColumnFormula>COUNTIF(Scenario3[winner1-ability1],HighlanderAbilities1Scenario3[[#This Row],[ability]])</calculatedColumnFormula>
    </tableColumn>
    <tableColumn id="5" xr3:uid="{4E705C48-ED13-47DE-B143-107CFC4A9CB6}" name="battles-take-rate" dataDxfId="1630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629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628" headerRowBorderDxfId="1627" tableBorderDxfId="1626" totalsRowBorderDxfId="1625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624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623">
      <calculatedColumnFormula>COUNTIF(Scenario3[winner1-ability2],HighlanderAbilities2Scenario3[[#This Row],[ability]])</calculatedColumnFormula>
    </tableColumn>
    <tableColumn id="4" xr3:uid="{AC2E8A6D-1967-4F4D-9C38-3C0B9FDFCCDD}" name="battles-take-rate" dataDxfId="1622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621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620" headerRowBorderDxfId="1619" tableBorderDxfId="1618" totalsRowBorderDxfId="1617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616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615">
      <calculatedColumnFormula>COUNTIF(Scenario3[winner1-ability3],HighlanderAbilities3Scenario3[[#This Row],[ability]])</calculatedColumnFormula>
    </tableColumn>
    <tableColumn id="4" xr3:uid="{7F7C697F-AC90-4790-AA3C-9EFBA9C5C3BF}" name="battles-take-rate" dataDxfId="1614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613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8" totalsRowShown="0">
  <autoFilter ref="A2:E38" xr:uid="{00000000-0009-0000-0100-000002000000}"/>
  <tableColumns count="5">
    <tableColumn id="1" xr3:uid="{93718735-18B3-4DE5-A9EA-B527E4C64D70}" name="hero-1"/>
    <tableColumn id="4" xr3:uid="{B5F2BD57-B761-44AD-ACDF-19ADDC946822}" name="team-1-win" dataDxfId="2017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2016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2015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612" headerRowBorderDxfId="1611" tableBorderDxfId="1610" totalsRowBorderDxfId="1609">
  <autoFilter ref="K80:O83" xr:uid="{52A1E26F-8C1E-4E44-A492-D2899C5A6AF6}"/>
  <tableColumns count="5">
    <tableColumn id="1" xr3:uid="{169774FB-455A-4DE4-A18D-B9D975DF3A85}" name="ability" dataDxfId="1608"/>
    <tableColumn id="2" xr3:uid="{E20A1519-EC59-41A4-BE08-D8DBEAC7CA6C}" name="takes" dataDxfId="1607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606">
      <calculatedColumnFormula>COUNTIF(Scenario3[winner1-ability4],HighlanderAbilities4Scenario3[[#This Row],[ability]])</calculatedColumnFormula>
    </tableColumn>
    <tableColumn id="4" xr3:uid="{E0060D4D-D837-469A-8126-E998C0BE67B4}" name="battles-take-rate" dataDxfId="1605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604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603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602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601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600">
      <calculatedColumnFormula>COUNTIF(Scenario4[winner1-ability1],HighlanderAbilities1Scenario4[[#This Row],[ability]])</calculatedColumnFormula>
    </tableColumn>
    <tableColumn id="5" xr3:uid="{6E0B87E2-94F5-47B4-A9C5-24FE38EC78C3}" name="battles-take-rate" dataDxfId="1599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598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597" headerRowBorderDxfId="1596" tableBorderDxfId="1595" totalsRowBorderDxfId="1594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593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592">
      <calculatedColumnFormula>COUNTIF(Scenario4[winner1-ability2],HighlanderAbilities2Scenario4[[#This Row],[ability]])</calculatedColumnFormula>
    </tableColumn>
    <tableColumn id="4" xr3:uid="{A289992E-5099-433A-839B-22BE62264AB7}" name="battles-take-rate" dataDxfId="1591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590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589" headerRowBorderDxfId="1588" tableBorderDxfId="1587" totalsRowBorderDxfId="1586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585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584">
      <calculatedColumnFormula>COUNTIF(Scenario4[winner1-ability3],HighlanderAbilities3Scenario4[[#This Row],[ability]])</calculatedColumnFormula>
    </tableColumn>
    <tableColumn id="4" xr3:uid="{C7700EEB-22A4-475D-847D-673B54FC744B}" name="battles-take-rate" dataDxfId="1583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582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581" headerRowBorderDxfId="1580" tableBorderDxfId="1579" totalsRowBorderDxfId="1578">
  <autoFilter ref="K101:O104" xr:uid="{3021A274-1944-499F-919F-F5D82E87C071}"/>
  <tableColumns count="5">
    <tableColumn id="1" xr3:uid="{6A10C915-2B4E-4171-B1A6-BA0E08BCB5E6}" name="ability" dataDxfId="1577"/>
    <tableColumn id="2" xr3:uid="{1B63CB98-3358-4BF6-B784-DAB5C7511C79}" name="takes" dataDxfId="1576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575">
      <calculatedColumnFormula>COUNTIF(Scenario4[winner1-ability4],HighlanderAbilities4Scenario4[[#This Row],[ability]])</calculatedColumnFormula>
    </tableColumn>
    <tableColumn id="4" xr3:uid="{7473A2D8-3F3F-4FFA-BAB1-C8B71D109AB0}" name="battles-take-rate" dataDxfId="1574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573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572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571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570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569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568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567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566" headerRowBorderDxfId="1565" tableBorderDxfId="1564" totalsRowBorderDxfId="1563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562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561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560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559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558" headerRowBorderDxfId="1557" tableBorderDxfId="1556" totalsRowBorderDxfId="1555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554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553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552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551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1">
  <autoFilter ref="G2:J11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2014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2013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2012" totalsRowDxfId="2011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550" headerRowBorderDxfId="1549" tableBorderDxfId="1548" totalsRowBorderDxfId="1547">
  <autoFilter ref="K122:O125" xr:uid="{865DBF38-999A-4183-A029-CB08FB30F44C}"/>
  <tableColumns count="5">
    <tableColumn id="1" xr3:uid="{41E29E68-60A8-423B-9021-7DFA08756E06}" name="ability" dataDxfId="1546"/>
    <tableColumn id="2" xr3:uid="{9CC3CC3F-42CE-4277-9DE5-B1A61D3DB62A}" name="takes" dataDxfId="1545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544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543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542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541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540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539">
      <calculatedColumnFormula>L3+L24+L45+L66+L87+L108</calculatedColumnFormula>
    </tableColumn>
    <tableColumn id="4" xr3:uid="{30745929-46B0-48D6-B955-7A2AC6D9C7E1}" name="wins" dataDxfId="1538">
      <calculatedColumnFormula>M3+M24+M45+M66+M87+M108</calculatedColumnFormula>
    </tableColumn>
    <tableColumn id="5" xr3:uid="{6D02BF52-C170-4CC1-9A86-21AB4BDB7626}" name="battles-take-rate" dataDxfId="1537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536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535" headerRowBorderDxfId="1534" tableBorderDxfId="1533" totalsRowBorderDxfId="1532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531">
      <calculatedColumnFormula>L8+L29+L50+L71+L92+L113</calculatedColumnFormula>
    </tableColumn>
    <tableColumn id="3" xr3:uid="{48DF5F5A-0975-4E8D-B144-712277591A94}" name="wins" dataDxfId="1530">
      <calculatedColumnFormula>M8+M29+M50+M71+M92+M113</calculatedColumnFormula>
    </tableColumn>
    <tableColumn id="4" xr3:uid="{268E7864-1892-40A3-BCCF-FE157CEB565E}" name="battles-take-rate" dataDxfId="1529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528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527" headerRowBorderDxfId="1526" tableBorderDxfId="1525" totalsRowBorderDxfId="1524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523">
      <calculatedColumnFormula>L13+L34+L55+L76+L97+L118</calculatedColumnFormula>
    </tableColumn>
    <tableColumn id="3" xr3:uid="{925C0493-2E5C-4E18-B248-24590FEA740E}" name="wins" dataDxfId="1522">
      <calculatedColumnFormula>M13+M34+M55+M76+M97+M118</calculatedColumnFormula>
    </tableColumn>
    <tableColumn id="4" xr3:uid="{7164F2B9-2D78-40B4-A513-E10635D154E9}" name="battles-take-rate" dataDxfId="1521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520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519" headerRowBorderDxfId="1518" tableBorderDxfId="1517" totalsRowBorderDxfId="1516">
  <autoFilter ref="A17:E20" xr:uid="{2AADA4A0-2F4A-4009-8ECF-0BECA693390C}"/>
  <tableColumns count="5">
    <tableColumn id="1" xr3:uid="{B55E8E85-9B14-4EFC-B40F-2ADF016F740F}" name="ability" dataDxfId="1515"/>
    <tableColumn id="2" xr3:uid="{076E566F-F5E9-47AA-B1B5-F3E7825F4999}" name="takes" dataDxfId="1514">
      <calculatedColumnFormula>L18+L39+L60+L81+L102+L123</calculatedColumnFormula>
    </tableColumn>
    <tableColumn id="3" xr3:uid="{322B89F0-887F-4B61-98E6-57F772ED36C6}" name="wins" dataDxfId="1513">
      <calculatedColumnFormula>M18+M39+M60+M81+M102+M123</calculatedColumnFormula>
    </tableColumn>
    <tableColumn id="4" xr3:uid="{DD000198-4098-4FC5-A3B5-6351F4B85BF2}" name="battles-take-rate" dataDxfId="1512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511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510">
      <calculatedColumnFormula>R3+R24+R45+R66+R87+R108</calculatedColumnFormula>
    </tableColumn>
    <tableColumn id="4" xr3:uid="{59B0F45B-3883-4EBA-BA1D-13246CC2FDE2}" name="chestpiece" dataDxfId="1509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508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507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506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505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504" headerRowBorderDxfId="1503" tableBorderDxfId="1502" totalsRowBorderDxfId="1501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500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499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498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497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496" headerRowBorderDxfId="1495" tableBorderDxfId="1494" totalsRowBorderDxfId="1493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492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491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490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489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6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9.xml"/><Relationship Id="rId18" Type="http://schemas.openxmlformats.org/officeDocument/2006/relationships/table" Target="../tables/table324.xml"/><Relationship Id="rId26" Type="http://schemas.openxmlformats.org/officeDocument/2006/relationships/table" Target="../tables/table332.xml"/><Relationship Id="rId21" Type="http://schemas.openxmlformats.org/officeDocument/2006/relationships/table" Target="../tables/table327.xml"/><Relationship Id="rId34" Type="http://schemas.openxmlformats.org/officeDocument/2006/relationships/table" Target="../tables/table340.xml"/><Relationship Id="rId7" Type="http://schemas.openxmlformats.org/officeDocument/2006/relationships/table" Target="../tables/table313.xml"/><Relationship Id="rId12" Type="http://schemas.openxmlformats.org/officeDocument/2006/relationships/table" Target="../tables/table318.xml"/><Relationship Id="rId17" Type="http://schemas.openxmlformats.org/officeDocument/2006/relationships/table" Target="../tables/table323.xml"/><Relationship Id="rId25" Type="http://schemas.openxmlformats.org/officeDocument/2006/relationships/table" Target="../tables/table331.xml"/><Relationship Id="rId33" Type="http://schemas.openxmlformats.org/officeDocument/2006/relationships/table" Target="../tables/table339.xml"/><Relationship Id="rId2" Type="http://schemas.openxmlformats.org/officeDocument/2006/relationships/table" Target="../tables/table308.xml"/><Relationship Id="rId16" Type="http://schemas.openxmlformats.org/officeDocument/2006/relationships/table" Target="../tables/table322.xml"/><Relationship Id="rId20" Type="http://schemas.openxmlformats.org/officeDocument/2006/relationships/table" Target="../tables/table326.xml"/><Relationship Id="rId29" Type="http://schemas.openxmlformats.org/officeDocument/2006/relationships/table" Target="../tables/table335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312.xml"/><Relationship Id="rId11" Type="http://schemas.openxmlformats.org/officeDocument/2006/relationships/table" Target="../tables/table317.xml"/><Relationship Id="rId24" Type="http://schemas.openxmlformats.org/officeDocument/2006/relationships/table" Target="../tables/table330.xml"/><Relationship Id="rId32" Type="http://schemas.openxmlformats.org/officeDocument/2006/relationships/table" Target="../tables/table338.xml"/><Relationship Id="rId37" Type="http://schemas.openxmlformats.org/officeDocument/2006/relationships/table" Target="../tables/table343.xml"/><Relationship Id="rId5" Type="http://schemas.openxmlformats.org/officeDocument/2006/relationships/table" Target="../tables/table311.xml"/><Relationship Id="rId15" Type="http://schemas.openxmlformats.org/officeDocument/2006/relationships/table" Target="../tables/table321.xml"/><Relationship Id="rId23" Type="http://schemas.openxmlformats.org/officeDocument/2006/relationships/table" Target="../tables/table329.xml"/><Relationship Id="rId28" Type="http://schemas.openxmlformats.org/officeDocument/2006/relationships/table" Target="../tables/table334.xml"/><Relationship Id="rId36" Type="http://schemas.openxmlformats.org/officeDocument/2006/relationships/table" Target="../tables/table342.xml"/><Relationship Id="rId10" Type="http://schemas.openxmlformats.org/officeDocument/2006/relationships/table" Target="../tables/table316.xml"/><Relationship Id="rId19" Type="http://schemas.openxmlformats.org/officeDocument/2006/relationships/table" Target="../tables/table325.xml"/><Relationship Id="rId31" Type="http://schemas.openxmlformats.org/officeDocument/2006/relationships/table" Target="../tables/table337.xml"/><Relationship Id="rId4" Type="http://schemas.openxmlformats.org/officeDocument/2006/relationships/table" Target="../tables/table310.xml"/><Relationship Id="rId9" Type="http://schemas.openxmlformats.org/officeDocument/2006/relationships/table" Target="../tables/table315.xml"/><Relationship Id="rId14" Type="http://schemas.openxmlformats.org/officeDocument/2006/relationships/table" Target="../tables/table320.xml"/><Relationship Id="rId22" Type="http://schemas.openxmlformats.org/officeDocument/2006/relationships/table" Target="../tables/table328.xml"/><Relationship Id="rId27" Type="http://schemas.openxmlformats.org/officeDocument/2006/relationships/table" Target="../tables/table333.xml"/><Relationship Id="rId30" Type="http://schemas.openxmlformats.org/officeDocument/2006/relationships/table" Target="../tables/table336.xml"/><Relationship Id="rId35" Type="http://schemas.openxmlformats.org/officeDocument/2006/relationships/table" Target="../tables/table341.xml"/><Relationship Id="rId8" Type="http://schemas.openxmlformats.org/officeDocument/2006/relationships/table" Target="../tables/table314.xml"/><Relationship Id="rId3" Type="http://schemas.openxmlformats.org/officeDocument/2006/relationships/table" Target="../tables/table3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9"/>
  <sheetViews>
    <sheetView workbookViewId="0">
      <selection activeCell="AN7" sqref="AN7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246</v>
      </c>
      <c r="B2">
        <v>0</v>
      </c>
      <c r="C2" t="s">
        <v>53</v>
      </c>
      <c r="D2">
        <v>2</v>
      </c>
      <c r="E2">
        <v>1</v>
      </c>
      <c r="F2">
        <v>2</v>
      </c>
      <c r="G2" t="s">
        <v>54</v>
      </c>
      <c r="H2" t="s">
        <v>55</v>
      </c>
      <c r="K2" t="s">
        <v>56</v>
      </c>
      <c r="L2">
        <v>1</v>
      </c>
      <c r="N2">
        <v>1</v>
      </c>
      <c r="O2" t="s">
        <v>57</v>
      </c>
      <c r="S2" t="s">
        <v>48</v>
      </c>
      <c r="T2">
        <v>1</v>
      </c>
      <c r="V2">
        <v>2</v>
      </c>
      <c r="W2" t="s">
        <v>49</v>
      </c>
      <c r="X2" t="s">
        <v>84</v>
      </c>
      <c r="AA2" t="s">
        <v>33</v>
      </c>
      <c r="AB2">
        <v>2</v>
      </c>
      <c r="AD2">
        <v>2</v>
      </c>
      <c r="AE2" t="s">
        <v>46</v>
      </c>
      <c r="AI2">
        <v>7</v>
      </c>
      <c r="AJ2">
        <v>32</v>
      </c>
    </row>
    <row r="3" spans="1:36" x14ac:dyDescent="0.25">
      <c r="A3" t="s">
        <v>247</v>
      </c>
      <c r="B3">
        <v>1</v>
      </c>
      <c r="C3" t="s">
        <v>48</v>
      </c>
      <c r="D3">
        <v>2</v>
      </c>
      <c r="F3">
        <v>1</v>
      </c>
      <c r="G3" t="s">
        <v>49</v>
      </c>
      <c r="K3" t="s">
        <v>43</v>
      </c>
      <c r="L3">
        <v>1</v>
      </c>
      <c r="N3">
        <v>1</v>
      </c>
      <c r="O3" t="s">
        <v>135</v>
      </c>
      <c r="P3" t="s">
        <v>99</v>
      </c>
      <c r="S3" t="s">
        <v>53</v>
      </c>
      <c r="T3">
        <v>2</v>
      </c>
      <c r="U3">
        <v>1</v>
      </c>
      <c r="V3">
        <v>1</v>
      </c>
      <c r="W3" t="s">
        <v>54</v>
      </c>
      <c r="AA3" t="s">
        <v>56</v>
      </c>
      <c r="AB3">
        <v>2</v>
      </c>
      <c r="AD3">
        <v>1</v>
      </c>
      <c r="AE3" t="s">
        <v>57</v>
      </c>
      <c r="AF3" t="s">
        <v>122</v>
      </c>
      <c r="AI3">
        <v>5</v>
      </c>
      <c r="AJ3">
        <v>25</v>
      </c>
    </row>
    <row r="4" spans="1:36" x14ac:dyDescent="0.25">
      <c r="A4" t="s">
        <v>248</v>
      </c>
      <c r="B4">
        <v>2</v>
      </c>
      <c r="C4" t="s">
        <v>48</v>
      </c>
      <c r="D4">
        <v>2</v>
      </c>
      <c r="F4">
        <v>1</v>
      </c>
      <c r="G4" t="s">
        <v>49</v>
      </c>
      <c r="H4" t="s">
        <v>71</v>
      </c>
      <c r="K4" t="s">
        <v>45</v>
      </c>
      <c r="L4">
        <v>2</v>
      </c>
      <c r="N4">
        <v>2</v>
      </c>
      <c r="O4" t="s">
        <v>47</v>
      </c>
      <c r="S4" t="s">
        <v>53</v>
      </c>
      <c r="T4">
        <v>3</v>
      </c>
      <c r="U4">
        <v>1</v>
      </c>
      <c r="V4">
        <v>1</v>
      </c>
      <c r="W4" t="s">
        <v>111</v>
      </c>
      <c r="AA4" t="s">
        <v>56</v>
      </c>
      <c r="AB4">
        <v>1</v>
      </c>
      <c r="AD4">
        <v>1</v>
      </c>
      <c r="AE4" t="s">
        <v>57</v>
      </c>
      <c r="AI4">
        <v>6</v>
      </c>
      <c r="AJ4">
        <v>27</v>
      </c>
    </row>
    <row r="5" spans="1:36" x14ac:dyDescent="0.25">
      <c r="A5" t="s">
        <v>249</v>
      </c>
      <c r="B5">
        <v>3</v>
      </c>
      <c r="C5" t="s">
        <v>48</v>
      </c>
      <c r="D5">
        <v>2</v>
      </c>
      <c r="F5">
        <v>1</v>
      </c>
      <c r="G5" t="s">
        <v>49</v>
      </c>
      <c r="K5" t="s">
        <v>63</v>
      </c>
      <c r="L5">
        <v>1</v>
      </c>
      <c r="N5">
        <v>1</v>
      </c>
      <c r="O5" t="s">
        <v>103</v>
      </c>
      <c r="P5" t="s">
        <v>95</v>
      </c>
      <c r="S5" t="s">
        <v>53</v>
      </c>
      <c r="T5">
        <v>2</v>
      </c>
      <c r="U5">
        <v>1</v>
      </c>
      <c r="V5">
        <v>1</v>
      </c>
      <c r="W5" t="s">
        <v>54</v>
      </c>
      <c r="AA5" t="s">
        <v>56</v>
      </c>
      <c r="AB5">
        <v>1</v>
      </c>
      <c r="AD5">
        <v>1</v>
      </c>
      <c r="AE5" t="s">
        <v>57</v>
      </c>
      <c r="AI5">
        <v>3</v>
      </c>
      <c r="AJ5">
        <v>25</v>
      </c>
    </row>
    <row r="6" spans="1:36" x14ac:dyDescent="0.25">
      <c r="A6" t="s">
        <v>250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K6" t="s">
        <v>56</v>
      </c>
      <c r="L6">
        <v>2</v>
      </c>
      <c r="N6">
        <v>1</v>
      </c>
      <c r="O6" t="s">
        <v>57</v>
      </c>
      <c r="P6" t="s">
        <v>122</v>
      </c>
      <c r="Q6" t="s">
        <v>85</v>
      </c>
      <c r="S6" t="s">
        <v>48</v>
      </c>
      <c r="T6">
        <v>1</v>
      </c>
      <c r="V6">
        <v>1</v>
      </c>
      <c r="W6" t="s">
        <v>49</v>
      </c>
      <c r="AA6" t="s">
        <v>38</v>
      </c>
      <c r="AB6">
        <v>1</v>
      </c>
      <c r="AC6">
        <v>2</v>
      </c>
      <c r="AD6">
        <v>2</v>
      </c>
      <c r="AE6" t="s">
        <v>152</v>
      </c>
      <c r="AF6" t="s">
        <v>40</v>
      </c>
      <c r="AI6">
        <v>7</v>
      </c>
      <c r="AJ6">
        <v>27</v>
      </c>
    </row>
    <row r="7" spans="1:36" x14ac:dyDescent="0.25">
      <c r="A7" t="s">
        <v>251</v>
      </c>
      <c r="B7">
        <v>5</v>
      </c>
      <c r="C7" t="s">
        <v>48</v>
      </c>
      <c r="D7">
        <v>3</v>
      </c>
      <c r="F7">
        <v>1</v>
      </c>
      <c r="G7" t="s">
        <v>49</v>
      </c>
      <c r="K7" t="s">
        <v>227</v>
      </c>
      <c r="L7">
        <v>2</v>
      </c>
      <c r="M7">
        <v>1</v>
      </c>
      <c r="N7">
        <v>1</v>
      </c>
      <c r="O7" t="s">
        <v>228</v>
      </c>
      <c r="S7" t="s">
        <v>53</v>
      </c>
      <c r="T7">
        <v>1</v>
      </c>
      <c r="U7">
        <v>1</v>
      </c>
      <c r="V7">
        <v>1</v>
      </c>
      <c r="W7" t="s">
        <v>54</v>
      </c>
      <c r="AA7" t="s">
        <v>56</v>
      </c>
      <c r="AB7">
        <v>2</v>
      </c>
      <c r="AD7">
        <v>1</v>
      </c>
      <c r="AE7" t="s">
        <v>57</v>
      </c>
      <c r="AF7" t="s">
        <v>69</v>
      </c>
      <c r="AG7" t="s">
        <v>85</v>
      </c>
      <c r="AI7">
        <v>6</v>
      </c>
      <c r="AJ7">
        <v>45</v>
      </c>
    </row>
    <row r="8" spans="1:36" x14ac:dyDescent="0.25">
      <c r="A8" t="s">
        <v>252</v>
      </c>
      <c r="B8">
        <v>6</v>
      </c>
      <c r="C8" t="s">
        <v>33</v>
      </c>
      <c r="D8">
        <v>2</v>
      </c>
      <c r="F8">
        <v>1</v>
      </c>
      <c r="G8" t="s">
        <v>46</v>
      </c>
      <c r="H8" t="s">
        <v>35</v>
      </c>
      <c r="K8" t="s">
        <v>43</v>
      </c>
      <c r="L8">
        <v>2</v>
      </c>
      <c r="N8">
        <v>1</v>
      </c>
      <c r="O8" t="s">
        <v>135</v>
      </c>
      <c r="S8" t="s">
        <v>53</v>
      </c>
      <c r="T8">
        <v>1</v>
      </c>
      <c r="U8">
        <v>2</v>
      </c>
      <c r="V8">
        <v>1</v>
      </c>
      <c r="W8" t="s">
        <v>111</v>
      </c>
      <c r="AA8" t="s">
        <v>56</v>
      </c>
      <c r="AB8">
        <v>1</v>
      </c>
      <c r="AD8">
        <v>1</v>
      </c>
      <c r="AE8" t="s">
        <v>68</v>
      </c>
      <c r="AI8">
        <v>4</v>
      </c>
      <c r="AJ8">
        <v>40</v>
      </c>
    </row>
    <row r="9" spans="1:36" x14ac:dyDescent="0.25">
      <c r="A9" t="s">
        <v>253</v>
      </c>
      <c r="B9">
        <v>7</v>
      </c>
      <c r="C9" t="s">
        <v>33</v>
      </c>
      <c r="D9">
        <v>2</v>
      </c>
      <c r="F9">
        <v>1</v>
      </c>
      <c r="G9" t="s">
        <v>46</v>
      </c>
      <c r="K9" t="s">
        <v>45</v>
      </c>
      <c r="L9">
        <v>3</v>
      </c>
      <c r="N9">
        <v>2</v>
      </c>
      <c r="O9" t="s">
        <v>47</v>
      </c>
      <c r="S9" t="s">
        <v>53</v>
      </c>
      <c r="T9">
        <v>1</v>
      </c>
      <c r="U9">
        <v>1</v>
      </c>
      <c r="V9">
        <v>1</v>
      </c>
      <c r="W9" t="s">
        <v>54</v>
      </c>
      <c r="AA9" t="s">
        <v>56</v>
      </c>
      <c r="AB9">
        <v>3</v>
      </c>
      <c r="AD9">
        <v>3</v>
      </c>
      <c r="AE9" t="s">
        <v>68</v>
      </c>
      <c r="AI9">
        <v>8</v>
      </c>
      <c r="AJ9">
        <v>34</v>
      </c>
    </row>
    <row r="10" spans="1:36" x14ac:dyDescent="0.25">
      <c r="A10" t="s">
        <v>254</v>
      </c>
      <c r="B10">
        <v>8</v>
      </c>
      <c r="C10" t="s">
        <v>33</v>
      </c>
      <c r="D10">
        <v>3</v>
      </c>
      <c r="F10">
        <v>2</v>
      </c>
      <c r="G10" t="s">
        <v>46</v>
      </c>
      <c r="K10" t="s">
        <v>63</v>
      </c>
      <c r="L10">
        <v>1</v>
      </c>
      <c r="N10">
        <v>1</v>
      </c>
      <c r="O10" t="s">
        <v>103</v>
      </c>
      <c r="S10" t="s">
        <v>53</v>
      </c>
      <c r="T10">
        <v>1</v>
      </c>
      <c r="U10">
        <v>1</v>
      </c>
      <c r="V10">
        <v>1</v>
      </c>
      <c r="W10" t="s">
        <v>54</v>
      </c>
      <c r="AA10" t="s">
        <v>56</v>
      </c>
      <c r="AB10">
        <v>3</v>
      </c>
      <c r="AD10">
        <v>1</v>
      </c>
      <c r="AE10" t="s">
        <v>57</v>
      </c>
      <c r="AF10" t="s">
        <v>122</v>
      </c>
      <c r="AI10">
        <v>6</v>
      </c>
      <c r="AJ10">
        <v>31</v>
      </c>
    </row>
    <row r="11" spans="1:36" x14ac:dyDescent="0.25">
      <c r="A11" t="s">
        <v>255</v>
      </c>
      <c r="B11">
        <v>9</v>
      </c>
      <c r="C11" t="s">
        <v>33</v>
      </c>
      <c r="D11">
        <v>1</v>
      </c>
      <c r="F11">
        <v>3</v>
      </c>
      <c r="G11" t="s">
        <v>46</v>
      </c>
      <c r="K11" t="s">
        <v>38</v>
      </c>
      <c r="L11">
        <v>1</v>
      </c>
      <c r="M11">
        <v>1</v>
      </c>
      <c r="N11">
        <v>1</v>
      </c>
      <c r="O11" t="s">
        <v>152</v>
      </c>
      <c r="S11" t="s">
        <v>53</v>
      </c>
      <c r="T11">
        <v>1</v>
      </c>
      <c r="U11">
        <v>1</v>
      </c>
      <c r="V11">
        <v>2</v>
      </c>
      <c r="W11" t="s">
        <v>54</v>
      </c>
      <c r="AA11" t="s">
        <v>56</v>
      </c>
      <c r="AB11">
        <v>1</v>
      </c>
      <c r="AD11">
        <v>1</v>
      </c>
      <c r="AE11" t="s">
        <v>68</v>
      </c>
      <c r="AF11" t="s">
        <v>122</v>
      </c>
      <c r="AI11">
        <v>4</v>
      </c>
      <c r="AJ11">
        <v>28</v>
      </c>
    </row>
    <row r="12" spans="1:36" x14ac:dyDescent="0.25">
      <c r="A12" t="s">
        <v>256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54</v>
      </c>
      <c r="K12" t="s">
        <v>56</v>
      </c>
      <c r="L12">
        <v>2</v>
      </c>
      <c r="N12">
        <v>1</v>
      </c>
      <c r="O12" t="s">
        <v>57</v>
      </c>
      <c r="P12" t="s">
        <v>122</v>
      </c>
      <c r="S12" t="s">
        <v>33</v>
      </c>
      <c r="T12">
        <v>2</v>
      </c>
      <c r="V12">
        <v>1</v>
      </c>
      <c r="W12" t="s">
        <v>46</v>
      </c>
      <c r="AA12" t="s">
        <v>227</v>
      </c>
      <c r="AB12">
        <v>2</v>
      </c>
      <c r="AC12">
        <v>1</v>
      </c>
      <c r="AD12">
        <v>2</v>
      </c>
      <c r="AE12" t="s">
        <v>228</v>
      </c>
      <c r="AI12">
        <v>5</v>
      </c>
      <c r="AJ12">
        <v>21</v>
      </c>
    </row>
    <row r="13" spans="1:36" x14ac:dyDescent="0.25">
      <c r="A13" t="s">
        <v>257</v>
      </c>
      <c r="B13">
        <v>11</v>
      </c>
      <c r="C13" t="s">
        <v>43</v>
      </c>
      <c r="D13">
        <v>1</v>
      </c>
      <c r="F13">
        <v>2</v>
      </c>
      <c r="G13" t="s">
        <v>135</v>
      </c>
      <c r="H13" t="s">
        <v>136</v>
      </c>
      <c r="K13" t="s">
        <v>45</v>
      </c>
      <c r="L13">
        <v>3</v>
      </c>
      <c r="N13">
        <v>1</v>
      </c>
      <c r="O13" t="s">
        <v>47</v>
      </c>
      <c r="S13" t="s">
        <v>53</v>
      </c>
      <c r="T13">
        <v>1</v>
      </c>
      <c r="U13">
        <v>1</v>
      </c>
      <c r="V13">
        <v>1</v>
      </c>
      <c r="W13" t="s">
        <v>54</v>
      </c>
      <c r="AA13" t="s">
        <v>56</v>
      </c>
      <c r="AB13">
        <v>2</v>
      </c>
      <c r="AD13">
        <v>2</v>
      </c>
      <c r="AE13" t="s">
        <v>68</v>
      </c>
      <c r="AI13">
        <v>6</v>
      </c>
      <c r="AJ13">
        <v>33</v>
      </c>
    </row>
    <row r="14" spans="1:36" x14ac:dyDescent="0.25">
      <c r="A14" t="s">
        <v>258</v>
      </c>
      <c r="B14">
        <v>12</v>
      </c>
      <c r="C14" t="s">
        <v>43</v>
      </c>
      <c r="D14">
        <v>2</v>
      </c>
      <c r="F14">
        <v>1</v>
      </c>
      <c r="G14" t="s">
        <v>135</v>
      </c>
      <c r="H14" t="s">
        <v>74</v>
      </c>
      <c r="I14" t="s">
        <v>137</v>
      </c>
      <c r="K14" t="s">
        <v>63</v>
      </c>
      <c r="L14">
        <v>1</v>
      </c>
      <c r="N14">
        <v>1</v>
      </c>
      <c r="O14" t="s">
        <v>103</v>
      </c>
      <c r="P14" t="s">
        <v>91</v>
      </c>
      <c r="S14" t="s">
        <v>53</v>
      </c>
      <c r="T14">
        <v>2</v>
      </c>
      <c r="U14">
        <v>1</v>
      </c>
      <c r="V14">
        <v>1</v>
      </c>
      <c r="W14" t="s">
        <v>54</v>
      </c>
      <c r="AA14" t="s">
        <v>56</v>
      </c>
      <c r="AB14">
        <v>1</v>
      </c>
      <c r="AD14">
        <v>1</v>
      </c>
      <c r="AE14" t="s">
        <v>57</v>
      </c>
      <c r="AI14">
        <v>5</v>
      </c>
      <c r="AJ14">
        <v>37</v>
      </c>
    </row>
    <row r="15" spans="1:36" x14ac:dyDescent="0.25">
      <c r="A15" t="s">
        <v>259</v>
      </c>
      <c r="B15">
        <v>13</v>
      </c>
      <c r="C15" t="s">
        <v>53</v>
      </c>
      <c r="D15">
        <v>1</v>
      </c>
      <c r="E15">
        <v>1</v>
      </c>
      <c r="F15">
        <v>1</v>
      </c>
      <c r="G15" t="s">
        <v>54</v>
      </c>
      <c r="K15" t="s">
        <v>56</v>
      </c>
      <c r="L15">
        <v>2</v>
      </c>
      <c r="N15">
        <v>1</v>
      </c>
      <c r="O15" t="s">
        <v>68</v>
      </c>
      <c r="P15" t="s">
        <v>122</v>
      </c>
      <c r="Q15" t="s">
        <v>85</v>
      </c>
      <c r="S15" t="s">
        <v>43</v>
      </c>
      <c r="T15">
        <v>2</v>
      </c>
      <c r="V15">
        <v>3</v>
      </c>
      <c r="W15" t="s">
        <v>135</v>
      </c>
      <c r="X15" t="s">
        <v>74</v>
      </c>
      <c r="AA15" t="s">
        <v>38</v>
      </c>
      <c r="AB15">
        <v>3</v>
      </c>
      <c r="AC15">
        <v>1</v>
      </c>
      <c r="AD15">
        <v>1</v>
      </c>
      <c r="AE15" t="s">
        <v>152</v>
      </c>
      <c r="AI15">
        <v>9</v>
      </c>
      <c r="AJ15">
        <v>31</v>
      </c>
    </row>
    <row r="16" spans="1:36" x14ac:dyDescent="0.25">
      <c r="A16" t="s">
        <v>260</v>
      </c>
      <c r="B16">
        <v>14</v>
      </c>
      <c r="C16" t="s">
        <v>43</v>
      </c>
      <c r="D16">
        <v>3</v>
      </c>
      <c r="F16">
        <v>3</v>
      </c>
      <c r="G16" t="s">
        <v>135</v>
      </c>
      <c r="H16" t="s">
        <v>99</v>
      </c>
      <c r="K16" t="s">
        <v>227</v>
      </c>
      <c r="L16">
        <v>2</v>
      </c>
      <c r="M16">
        <v>1</v>
      </c>
      <c r="N16">
        <v>1</v>
      </c>
      <c r="O16" t="s">
        <v>228</v>
      </c>
      <c r="S16" t="s">
        <v>53</v>
      </c>
      <c r="T16">
        <v>2</v>
      </c>
      <c r="U16">
        <v>1</v>
      </c>
      <c r="V16">
        <v>1</v>
      </c>
      <c r="W16" t="s">
        <v>54</v>
      </c>
      <c r="AA16" t="s">
        <v>56</v>
      </c>
      <c r="AB16">
        <v>1</v>
      </c>
      <c r="AD16">
        <v>2</v>
      </c>
      <c r="AE16" t="s">
        <v>57</v>
      </c>
      <c r="AI16">
        <v>8</v>
      </c>
      <c r="AJ16">
        <v>41</v>
      </c>
    </row>
    <row r="17" spans="1:36" x14ac:dyDescent="0.25">
      <c r="A17" t="s">
        <v>261</v>
      </c>
      <c r="B17">
        <v>15</v>
      </c>
      <c r="C17" t="s">
        <v>45</v>
      </c>
      <c r="D17">
        <v>3</v>
      </c>
      <c r="F17">
        <v>1</v>
      </c>
      <c r="G17" t="s">
        <v>47</v>
      </c>
      <c r="H17" t="s">
        <v>76</v>
      </c>
      <c r="I17" t="s">
        <v>142</v>
      </c>
      <c r="K17" t="s">
        <v>63</v>
      </c>
      <c r="L17">
        <v>1</v>
      </c>
      <c r="N17">
        <v>1</v>
      </c>
      <c r="O17" t="s">
        <v>103</v>
      </c>
      <c r="S17" t="s">
        <v>53</v>
      </c>
      <c r="T17">
        <v>1</v>
      </c>
      <c r="U17">
        <v>1</v>
      </c>
      <c r="V17">
        <v>1</v>
      </c>
      <c r="W17" t="s">
        <v>54</v>
      </c>
      <c r="AA17" t="s">
        <v>56</v>
      </c>
      <c r="AB17">
        <v>2</v>
      </c>
      <c r="AD17">
        <v>2</v>
      </c>
      <c r="AE17" t="s">
        <v>57</v>
      </c>
      <c r="AF17" t="s">
        <v>122</v>
      </c>
      <c r="AG17" t="s">
        <v>85</v>
      </c>
      <c r="AH17" t="s">
        <v>125</v>
      </c>
      <c r="AI17">
        <v>9</v>
      </c>
      <c r="AJ17">
        <v>42</v>
      </c>
    </row>
    <row r="18" spans="1:36" x14ac:dyDescent="0.25">
      <c r="A18" t="s">
        <v>262</v>
      </c>
      <c r="B18">
        <v>16</v>
      </c>
      <c r="C18" t="s">
        <v>53</v>
      </c>
      <c r="D18">
        <v>3</v>
      </c>
      <c r="E18">
        <v>1</v>
      </c>
      <c r="F18">
        <v>1</v>
      </c>
      <c r="G18" t="s">
        <v>54</v>
      </c>
      <c r="H18" t="s">
        <v>55</v>
      </c>
      <c r="I18" t="s">
        <v>114</v>
      </c>
      <c r="K18" t="s">
        <v>56</v>
      </c>
      <c r="L18">
        <v>1</v>
      </c>
      <c r="N18">
        <v>1</v>
      </c>
      <c r="O18" t="s">
        <v>68</v>
      </c>
      <c r="P18" t="s">
        <v>69</v>
      </c>
      <c r="S18" t="s">
        <v>45</v>
      </c>
      <c r="T18">
        <v>2</v>
      </c>
      <c r="V18">
        <v>1</v>
      </c>
      <c r="W18" t="s">
        <v>47</v>
      </c>
      <c r="AA18" t="s">
        <v>38</v>
      </c>
      <c r="AB18">
        <v>3</v>
      </c>
      <c r="AC18">
        <v>1</v>
      </c>
      <c r="AD18">
        <v>1</v>
      </c>
      <c r="AE18" t="s">
        <v>152</v>
      </c>
      <c r="AI18">
        <v>8</v>
      </c>
      <c r="AJ18">
        <v>25</v>
      </c>
    </row>
    <row r="19" spans="1:36" x14ac:dyDescent="0.25">
      <c r="A19" t="s">
        <v>263</v>
      </c>
      <c r="B19">
        <v>17</v>
      </c>
      <c r="C19" t="s">
        <v>53</v>
      </c>
      <c r="D19">
        <v>3</v>
      </c>
      <c r="E19">
        <v>1</v>
      </c>
      <c r="F19">
        <v>1</v>
      </c>
      <c r="G19" t="s">
        <v>54</v>
      </c>
      <c r="H19" t="s">
        <v>55</v>
      </c>
      <c r="K19" t="s">
        <v>56</v>
      </c>
      <c r="L19">
        <v>1</v>
      </c>
      <c r="N19">
        <v>1</v>
      </c>
      <c r="O19" t="s">
        <v>57</v>
      </c>
      <c r="P19" t="s">
        <v>122</v>
      </c>
      <c r="S19" t="s">
        <v>45</v>
      </c>
      <c r="T19">
        <v>3</v>
      </c>
      <c r="V19">
        <v>1</v>
      </c>
      <c r="W19" t="s">
        <v>47</v>
      </c>
      <c r="AA19" t="s">
        <v>227</v>
      </c>
      <c r="AB19">
        <v>1</v>
      </c>
      <c r="AC19">
        <v>1</v>
      </c>
      <c r="AD19">
        <v>1</v>
      </c>
      <c r="AE19" t="s">
        <v>228</v>
      </c>
      <c r="AI19">
        <v>6</v>
      </c>
      <c r="AJ19">
        <v>22</v>
      </c>
    </row>
    <row r="20" spans="1:36" x14ac:dyDescent="0.25">
      <c r="A20" t="s">
        <v>264</v>
      </c>
      <c r="B20">
        <v>18</v>
      </c>
      <c r="C20" t="s">
        <v>53</v>
      </c>
      <c r="D20">
        <v>3</v>
      </c>
      <c r="E20">
        <v>1</v>
      </c>
      <c r="F20">
        <v>1</v>
      </c>
      <c r="G20" t="s">
        <v>54</v>
      </c>
      <c r="H20" t="s">
        <v>55</v>
      </c>
      <c r="I20" t="s">
        <v>97</v>
      </c>
      <c r="K20" t="s">
        <v>56</v>
      </c>
      <c r="L20">
        <v>1</v>
      </c>
      <c r="N20">
        <v>1</v>
      </c>
      <c r="O20" t="s">
        <v>57</v>
      </c>
      <c r="P20" t="s">
        <v>122</v>
      </c>
      <c r="S20" t="s">
        <v>63</v>
      </c>
      <c r="T20">
        <v>1</v>
      </c>
      <c r="V20">
        <v>1</v>
      </c>
      <c r="W20" t="s">
        <v>103</v>
      </c>
      <c r="X20" t="s">
        <v>91</v>
      </c>
      <c r="AA20" t="s">
        <v>38</v>
      </c>
      <c r="AB20">
        <v>1</v>
      </c>
      <c r="AC20">
        <v>1</v>
      </c>
      <c r="AD20">
        <v>2</v>
      </c>
      <c r="AE20" t="s">
        <v>152</v>
      </c>
      <c r="AF20" t="s">
        <v>70</v>
      </c>
      <c r="AG20" t="s">
        <v>41</v>
      </c>
      <c r="AH20" t="s">
        <v>42</v>
      </c>
      <c r="AI20">
        <v>10</v>
      </c>
      <c r="AJ20">
        <v>35</v>
      </c>
    </row>
    <row r="21" spans="1:36" x14ac:dyDescent="0.25">
      <c r="A21" t="s">
        <v>265</v>
      </c>
      <c r="B21">
        <v>19</v>
      </c>
      <c r="C21" t="s">
        <v>53</v>
      </c>
      <c r="D21">
        <v>2</v>
      </c>
      <c r="E21">
        <v>1</v>
      </c>
      <c r="F21">
        <v>1</v>
      </c>
      <c r="G21" t="s">
        <v>54</v>
      </c>
      <c r="K21" t="s">
        <v>56</v>
      </c>
      <c r="L21">
        <v>1</v>
      </c>
      <c r="N21">
        <v>1</v>
      </c>
      <c r="O21" t="s">
        <v>57</v>
      </c>
      <c r="P21" t="s">
        <v>122</v>
      </c>
      <c r="S21" t="s">
        <v>63</v>
      </c>
      <c r="T21">
        <v>1</v>
      </c>
      <c r="V21">
        <v>1</v>
      </c>
      <c r="W21" t="s">
        <v>103</v>
      </c>
      <c r="X21" t="s">
        <v>91</v>
      </c>
      <c r="AA21" t="s">
        <v>227</v>
      </c>
      <c r="AB21">
        <v>1</v>
      </c>
      <c r="AC21">
        <v>1</v>
      </c>
      <c r="AD21">
        <v>1</v>
      </c>
      <c r="AE21" t="s">
        <v>228</v>
      </c>
      <c r="AI21">
        <v>4</v>
      </c>
      <c r="AJ21">
        <v>19</v>
      </c>
    </row>
    <row r="22" spans="1:36" x14ac:dyDescent="0.25">
      <c r="A22" t="s">
        <v>266</v>
      </c>
      <c r="B22">
        <v>20</v>
      </c>
      <c r="C22" t="s">
        <v>38</v>
      </c>
      <c r="D22">
        <v>2</v>
      </c>
      <c r="E22">
        <v>2</v>
      </c>
      <c r="F22">
        <v>2</v>
      </c>
      <c r="G22" t="s">
        <v>152</v>
      </c>
      <c r="K22" t="s">
        <v>227</v>
      </c>
      <c r="L22">
        <v>2</v>
      </c>
      <c r="M22">
        <v>1</v>
      </c>
      <c r="N22">
        <v>2</v>
      </c>
      <c r="O22" t="s">
        <v>228</v>
      </c>
      <c r="P22" t="s">
        <v>231</v>
      </c>
      <c r="S22" t="s">
        <v>53</v>
      </c>
      <c r="T22">
        <v>2</v>
      </c>
      <c r="U22">
        <v>1</v>
      </c>
      <c r="V22">
        <v>1</v>
      </c>
      <c r="W22" t="s">
        <v>54</v>
      </c>
      <c r="X22" t="s">
        <v>83</v>
      </c>
      <c r="AA22" t="s">
        <v>56</v>
      </c>
      <c r="AB22">
        <v>1</v>
      </c>
      <c r="AD22">
        <v>1</v>
      </c>
      <c r="AE22" t="s">
        <v>57</v>
      </c>
      <c r="AF22" t="s">
        <v>122</v>
      </c>
      <c r="AI22">
        <v>9</v>
      </c>
      <c r="AJ22">
        <v>29</v>
      </c>
    </row>
    <row r="23" spans="1:36" x14ac:dyDescent="0.25">
      <c r="A23" t="s">
        <v>267</v>
      </c>
      <c r="B23">
        <v>21</v>
      </c>
      <c r="C23" t="s">
        <v>56</v>
      </c>
      <c r="D23">
        <v>1</v>
      </c>
      <c r="F23">
        <v>1</v>
      </c>
      <c r="G23" t="s">
        <v>57</v>
      </c>
      <c r="K23" t="s">
        <v>33</v>
      </c>
      <c r="L23">
        <v>1</v>
      </c>
      <c r="N23">
        <v>2</v>
      </c>
      <c r="O23" t="s">
        <v>46</v>
      </c>
      <c r="S23" t="s">
        <v>53</v>
      </c>
      <c r="T23">
        <v>2</v>
      </c>
      <c r="U23">
        <v>1</v>
      </c>
      <c r="V23">
        <v>1</v>
      </c>
      <c r="W23" t="s">
        <v>54</v>
      </c>
      <c r="AA23" t="s">
        <v>48</v>
      </c>
      <c r="AB23">
        <v>1</v>
      </c>
      <c r="AD23">
        <v>1</v>
      </c>
      <c r="AE23" t="s">
        <v>89</v>
      </c>
      <c r="AI23">
        <v>2</v>
      </c>
      <c r="AJ23">
        <v>26</v>
      </c>
    </row>
    <row r="24" spans="1:36" x14ac:dyDescent="0.25">
      <c r="A24" t="s">
        <v>268</v>
      </c>
      <c r="B24">
        <v>22</v>
      </c>
      <c r="C24" t="s">
        <v>56</v>
      </c>
      <c r="D24">
        <v>1</v>
      </c>
      <c r="F24">
        <v>1</v>
      </c>
      <c r="G24" t="s">
        <v>57</v>
      </c>
      <c r="K24" t="s">
        <v>43</v>
      </c>
      <c r="L24">
        <v>2</v>
      </c>
      <c r="N24">
        <v>1</v>
      </c>
      <c r="O24" t="s">
        <v>135</v>
      </c>
      <c r="P24" t="s">
        <v>74</v>
      </c>
      <c r="Q24" t="s">
        <v>137</v>
      </c>
      <c r="S24" t="s">
        <v>53</v>
      </c>
      <c r="T24">
        <v>1</v>
      </c>
      <c r="U24">
        <v>1</v>
      </c>
      <c r="V24">
        <v>1</v>
      </c>
      <c r="W24" t="s">
        <v>54</v>
      </c>
      <c r="AA24" t="s">
        <v>48</v>
      </c>
      <c r="AB24">
        <v>3</v>
      </c>
      <c r="AD24">
        <v>1</v>
      </c>
      <c r="AE24" t="s">
        <v>89</v>
      </c>
      <c r="AI24">
        <v>5</v>
      </c>
      <c r="AJ24">
        <v>22</v>
      </c>
    </row>
    <row r="25" spans="1:36" x14ac:dyDescent="0.25">
      <c r="A25" t="s">
        <v>269</v>
      </c>
      <c r="B25">
        <v>23</v>
      </c>
      <c r="C25" t="s">
        <v>53</v>
      </c>
      <c r="D25">
        <v>2</v>
      </c>
      <c r="E25">
        <v>1</v>
      </c>
      <c r="F25">
        <v>1</v>
      </c>
      <c r="G25" t="s">
        <v>54</v>
      </c>
      <c r="H25" t="s">
        <v>55</v>
      </c>
      <c r="I25" t="s">
        <v>114</v>
      </c>
      <c r="K25" t="s">
        <v>48</v>
      </c>
      <c r="L25">
        <v>2</v>
      </c>
      <c r="N25">
        <v>1</v>
      </c>
      <c r="O25" t="s">
        <v>89</v>
      </c>
      <c r="P25" t="s">
        <v>71</v>
      </c>
      <c r="Q25" t="s">
        <v>51</v>
      </c>
      <c r="R25" t="s">
        <v>128</v>
      </c>
      <c r="S25" t="s">
        <v>56</v>
      </c>
      <c r="T25">
        <v>3</v>
      </c>
      <c r="V25">
        <v>1</v>
      </c>
      <c r="W25" t="s">
        <v>57</v>
      </c>
      <c r="X25" t="s">
        <v>122</v>
      </c>
      <c r="Y25" t="s">
        <v>85</v>
      </c>
      <c r="AA25" t="s">
        <v>45</v>
      </c>
      <c r="AB25">
        <v>2</v>
      </c>
      <c r="AD25">
        <v>1</v>
      </c>
      <c r="AE25" t="s">
        <v>47</v>
      </c>
      <c r="AI25">
        <v>12</v>
      </c>
      <c r="AJ25">
        <v>43</v>
      </c>
    </row>
    <row r="26" spans="1:36" x14ac:dyDescent="0.25">
      <c r="A26" t="s">
        <v>270</v>
      </c>
      <c r="B26">
        <v>24</v>
      </c>
      <c r="C26" t="s">
        <v>56</v>
      </c>
      <c r="D26">
        <v>1</v>
      </c>
      <c r="F26">
        <v>1</v>
      </c>
      <c r="G26" t="s">
        <v>57</v>
      </c>
      <c r="H26" t="s">
        <v>122</v>
      </c>
      <c r="K26" t="s">
        <v>63</v>
      </c>
      <c r="L26">
        <v>1</v>
      </c>
      <c r="N26">
        <v>1</v>
      </c>
      <c r="O26" t="s">
        <v>103</v>
      </c>
      <c r="P26" t="s">
        <v>95</v>
      </c>
      <c r="S26" t="s">
        <v>53</v>
      </c>
      <c r="T26">
        <v>1</v>
      </c>
      <c r="U26">
        <v>1</v>
      </c>
      <c r="V26">
        <v>1</v>
      </c>
      <c r="W26" t="s">
        <v>54</v>
      </c>
      <c r="AA26" t="s">
        <v>48</v>
      </c>
      <c r="AB26">
        <v>2</v>
      </c>
      <c r="AD26">
        <v>1</v>
      </c>
      <c r="AE26" t="s">
        <v>49</v>
      </c>
      <c r="AI26">
        <v>3</v>
      </c>
      <c r="AJ26">
        <v>29</v>
      </c>
    </row>
    <row r="27" spans="1:36" x14ac:dyDescent="0.25">
      <c r="A27" t="s">
        <v>271</v>
      </c>
      <c r="B27">
        <v>25</v>
      </c>
      <c r="C27" t="s">
        <v>53</v>
      </c>
      <c r="D27">
        <v>2</v>
      </c>
      <c r="E27">
        <v>1</v>
      </c>
      <c r="F27">
        <v>1</v>
      </c>
      <c r="G27" t="s">
        <v>54</v>
      </c>
      <c r="H27" t="s">
        <v>83</v>
      </c>
      <c r="K27" t="s">
        <v>48</v>
      </c>
      <c r="L27">
        <v>1</v>
      </c>
      <c r="N27">
        <v>1</v>
      </c>
      <c r="O27" t="s">
        <v>49</v>
      </c>
      <c r="S27" t="s">
        <v>56</v>
      </c>
      <c r="T27">
        <v>1</v>
      </c>
      <c r="V27">
        <v>1</v>
      </c>
      <c r="W27" t="s">
        <v>57</v>
      </c>
      <c r="AA27" t="s">
        <v>38</v>
      </c>
      <c r="AB27">
        <v>1</v>
      </c>
      <c r="AC27">
        <v>1</v>
      </c>
      <c r="AD27">
        <v>1</v>
      </c>
      <c r="AE27" t="s">
        <v>152</v>
      </c>
      <c r="AF27" t="s">
        <v>70</v>
      </c>
      <c r="AG27" t="s">
        <v>41</v>
      </c>
      <c r="AI27">
        <v>4</v>
      </c>
      <c r="AJ27">
        <v>34</v>
      </c>
    </row>
    <row r="28" spans="1:36" x14ac:dyDescent="0.25">
      <c r="A28" t="s">
        <v>272</v>
      </c>
      <c r="B28">
        <v>26</v>
      </c>
      <c r="C28" t="s">
        <v>53</v>
      </c>
      <c r="D28">
        <v>2</v>
      </c>
      <c r="E28">
        <v>1</v>
      </c>
      <c r="F28">
        <v>1</v>
      </c>
      <c r="G28" t="s">
        <v>54</v>
      </c>
      <c r="H28" t="s">
        <v>83</v>
      </c>
      <c r="K28" t="s">
        <v>48</v>
      </c>
      <c r="L28">
        <v>1</v>
      </c>
      <c r="N28">
        <v>1</v>
      </c>
      <c r="O28" t="s">
        <v>89</v>
      </c>
      <c r="S28" t="s">
        <v>56</v>
      </c>
      <c r="T28">
        <v>1</v>
      </c>
      <c r="V28">
        <v>1</v>
      </c>
      <c r="W28" t="s">
        <v>57</v>
      </c>
      <c r="X28" t="s">
        <v>122</v>
      </c>
      <c r="AA28" t="s">
        <v>227</v>
      </c>
      <c r="AB28">
        <v>2</v>
      </c>
      <c r="AC28">
        <v>1</v>
      </c>
      <c r="AD28">
        <v>1</v>
      </c>
      <c r="AE28" t="s">
        <v>228</v>
      </c>
      <c r="AI28">
        <v>4</v>
      </c>
      <c r="AJ28">
        <v>22</v>
      </c>
    </row>
    <row r="29" spans="1:36" x14ac:dyDescent="0.25">
      <c r="A29" t="s">
        <v>273</v>
      </c>
      <c r="B29">
        <v>27</v>
      </c>
      <c r="C29" t="s">
        <v>33</v>
      </c>
      <c r="D29">
        <v>2</v>
      </c>
      <c r="F29">
        <v>3</v>
      </c>
      <c r="G29" t="s">
        <v>46</v>
      </c>
      <c r="K29" t="s">
        <v>43</v>
      </c>
      <c r="L29">
        <v>1</v>
      </c>
      <c r="N29">
        <v>1</v>
      </c>
      <c r="O29" t="s">
        <v>135</v>
      </c>
      <c r="S29" t="s">
        <v>53</v>
      </c>
      <c r="T29">
        <v>2</v>
      </c>
      <c r="U29">
        <v>2</v>
      </c>
      <c r="V29">
        <v>2</v>
      </c>
      <c r="W29" t="s">
        <v>54</v>
      </c>
      <c r="X29" t="s">
        <v>55</v>
      </c>
      <c r="AA29" t="s">
        <v>48</v>
      </c>
      <c r="AB29">
        <v>1</v>
      </c>
      <c r="AD29">
        <v>1</v>
      </c>
      <c r="AE29" t="s">
        <v>89</v>
      </c>
      <c r="AI29">
        <v>7</v>
      </c>
      <c r="AJ29">
        <v>31</v>
      </c>
    </row>
    <row r="30" spans="1:36" x14ac:dyDescent="0.25">
      <c r="A30" t="s">
        <v>274</v>
      </c>
      <c r="B30">
        <v>28</v>
      </c>
      <c r="C30" t="s">
        <v>33</v>
      </c>
      <c r="D30">
        <v>1</v>
      </c>
      <c r="F30">
        <v>2</v>
      </c>
      <c r="G30" t="s">
        <v>46</v>
      </c>
      <c r="K30" t="s">
        <v>45</v>
      </c>
      <c r="L30">
        <v>2</v>
      </c>
      <c r="N30">
        <v>1</v>
      </c>
      <c r="O30" t="s">
        <v>47</v>
      </c>
      <c r="P30" t="s">
        <v>141</v>
      </c>
      <c r="S30" t="s">
        <v>53</v>
      </c>
      <c r="T30">
        <v>1</v>
      </c>
      <c r="U30">
        <v>1</v>
      </c>
      <c r="V30">
        <v>1</v>
      </c>
      <c r="W30" t="s">
        <v>54</v>
      </c>
      <c r="AA30" t="s">
        <v>48</v>
      </c>
      <c r="AB30">
        <v>1</v>
      </c>
      <c r="AD30">
        <v>1</v>
      </c>
      <c r="AE30" t="s">
        <v>89</v>
      </c>
      <c r="AI30">
        <v>3</v>
      </c>
      <c r="AJ30">
        <v>22</v>
      </c>
    </row>
    <row r="31" spans="1:36" x14ac:dyDescent="0.25">
      <c r="A31" t="s">
        <v>275</v>
      </c>
      <c r="B31">
        <v>29</v>
      </c>
      <c r="C31" t="s">
        <v>53</v>
      </c>
      <c r="D31">
        <v>2</v>
      </c>
      <c r="E31">
        <v>1</v>
      </c>
      <c r="F31">
        <v>1</v>
      </c>
      <c r="G31" t="s">
        <v>54</v>
      </c>
      <c r="H31" t="s">
        <v>113</v>
      </c>
      <c r="K31" t="s">
        <v>48</v>
      </c>
      <c r="L31">
        <v>3</v>
      </c>
      <c r="N31">
        <v>2</v>
      </c>
      <c r="O31" t="s">
        <v>49</v>
      </c>
      <c r="P31" t="s">
        <v>71</v>
      </c>
      <c r="Q31" t="s">
        <v>127</v>
      </c>
      <c r="S31" t="s">
        <v>33</v>
      </c>
      <c r="T31">
        <v>3</v>
      </c>
      <c r="V31">
        <v>1</v>
      </c>
      <c r="W31" t="s">
        <v>46</v>
      </c>
      <c r="AA31" t="s">
        <v>63</v>
      </c>
      <c r="AB31">
        <v>1</v>
      </c>
      <c r="AD31">
        <v>1</v>
      </c>
      <c r="AE31" t="s">
        <v>103</v>
      </c>
      <c r="AI31">
        <v>9</v>
      </c>
      <c r="AJ31">
        <v>33</v>
      </c>
    </row>
    <row r="32" spans="1:36" x14ac:dyDescent="0.25">
      <c r="A32" t="s">
        <v>276</v>
      </c>
      <c r="B32">
        <v>30</v>
      </c>
      <c r="C32" t="s">
        <v>33</v>
      </c>
      <c r="D32">
        <v>1</v>
      </c>
      <c r="F32">
        <v>2</v>
      </c>
      <c r="G32" t="s">
        <v>46</v>
      </c>
      <c r="K32" t="s">
        <v>38</v>
      </c>
      <c r="L32">
        <v>1</v>
      </c>
      <c r="M32">
        <v>1</v>
      </c>
      <c r="N32">
        <v>1</v>
      </c>
      <c r="O32" t="s">
        <v>152</v>
      </c>
      <c r="S32" t="s">
        <v>53</v>
      </c>
      <c r="T32">
        <v>2</v>
      </c>
      <c r="U32">
        <v>1</v>
      </c>
      <c r="V32">
        <v>1</v>
      </c>
      <c r="W32" t="s">
        <v>54</v>
      </c>
      <c r="AA32" t="s">
        <v>48</v>
      </c>
      <c r="AB32">
        <v>1</v>
      </c>
      <c r="AD32">
        <v>1</v>
      </c>
      <c r="AE32" t="s">
        <v>89</v>
      </c>
      <c r="AI32">
        <v>2</v>
      </c>
      <c r="AJ32">
        <v>20</v>
      </c>
    </row>
    <row r="33" spans="1:36" x14ac:dyDescent="0.25">
      <c r="A33" t="s">
        <v>277</v>
      </c>
      <c r="B33">
        <v>31</v>
      </c>
      <c r="C33" t="s">
        <v>53</v>
      </c>
      <c r="D33">
        <v>2</v>
      </c>
      <c r="E33">
        <v>1</v>
      </c>
      <c r="F33">
        <v>1</v>
      </c>
      <c r="G33" t="s">
        <v>54</v>
      </c>
      <c r="K33" t="s">
        <v>48</v>
      </c>
      <c r="L33">
        <v>1</v>
      </c>
      <c r="N33">
        <v>1</v>
      </c>
      <c r="O33" t="s">
        <v>89</v>
      </c>
      <c r="P33" t="s">
        <v>84</v>
      </c>
      <c r="Q33" t="s">
        <v>90</v>
      </c>
      <c r="R33" t="s">
        <v>129</v>
      </c>
      <c r="S33" t="s">
        <v>33</v>
      </c>
      <c r="T33">
        <v>1</v>
      </c>
      <c r="V33">
        <v>3</v>
      </c>
      <c r="W33" t="s">
        <v>46</v>
      </c>
      <c r="AA33" t="s">
        <v>227</v>
      </c>
      <c r="AB33">
        <v>2</v>
      </c>
      <c r="AC33">
        <v>1</v>
      </c>
      <c r="AD33">
        <v>1</v>
      </c>
      <c r="AE33" t="s">
        <v>228</v>
      </c>
      <c r="AF33" t="s">
        <v>232</v>
      </c>
      <c r="AI33">
        <v>8</v>
      </c>
      <c r="AJ33">
        <v>33</v>
      </c>
    </row>
    <row r="34" spans="1:36" x14ac:dyDescent="0.25">
      <c r="A34" t="s">
        <v>278</v>
      </c>
      <c r="B34">
        <v>32</v>
      </c>
      <c r="C34" t="s">
        <v>43</v>
      </c>
      <c r="D34">
        <v>1</v>
      </c>
      <c r="F34">
        <v>1</v>
      </c>
      <c r="G34" t="s">
        <v>135</v>
      </c>
      <c r="H34" t="s">
        <v>99</v>
      </c>
      <c r="K34" t="s">
        <v>45</v>
      </c>
      <c r="L34">
        <v>2</v>
      </c>
      <c r="N34">
        <v>1</v>
      </c>
      <c r="O34" t="s">
        <v>47</v>
      </c>
      <c r="S34" t="s">
        <v>53</v>
      </c>
      <c r="T34">
        <v>2</v>
      </c>
      <c r="U34">
        <v>1</v>
      </c>
      <c r="V34">
        <v>1</v>
      </c>
      <c r="W34" t="s">
        <v>54</v>
      </c>
      <c r="AA34" t="s">
        <v>48</v>
      </c>
      <c r="AB34">
        <v>1</v>
      </c>
      <c r="AD34">
        <v>1</v>
      </c>
      <c r="AE34" t="s">
        <v>89</v>
      </c>
      <c r="AI34">
        <v>3</v>
      </c>
      <c r="AJ34">
        <v>50</v>
      </c>
    </row>
    <row r="35" spans="1:36" x14ac:dyDescent="0.25">
      <c r="A35" t="s">
        <v>279</v>
      </c>
      <c r="B35">
        <v>33</v>
      </c>
      <c r="C35" t="s">
        <v>43</v>
      </c>
      <c r="D35">
        <v>2</v>
      </c>
      <c r="F35">
        <v>2</v>
      </c>
      <c r="G35" t="s">
        <v>135</v>
      </c>
      <c r="H35" t="s">
        <v>99</v>
      </c>
      <c r="K35" t="s">
        <v>63</v>
      </c>
      <c r="L35">
        <v>1</v>
      </c>
      <c r="N35">
        <v>1</v>
      </c>
      <c r="O35" t="s">
        <v>103</v>
      </c>
      <c r="P35" t="s">
        <v>95</v>
      </c>
      <c r="S35" t="s">
        <v>53</v>
      </c>
      <c r="T35">
        <v>3</v>
      </c>
      <c r="U35">
        <v>1</v>
      </c>
      <c r="V35">
        <v>1</v>
      </c>
      <c r="W35" t="s">
        <v>54</v>
      </c>
      <c r="X35" t="s">
        <v>55</v>
      </c>
      <c r="Y35" t="s">
        <v>97</v>
      </c>
      <c r="AA35" t="s">
        <v>48</v>
      </c>
      <c r="AB35">
        <v>2</v>
      </c>
      <c r="AD35">
        <v>1</v>
      </c>
      <c r="AE35" t="s">
        <v>49</v>
      </c>
      <c r="AI35">
        <v>9</v>
      </c>
      <c r="AJ35">
        <v>35</v>
      </c>
    </row>
    <row r="36" spans="1:36" x14ac:dyDescent="0.25">
      <c r="A36" t="s">
        <v>280</v>
      </c>
      <c r="B36">
        <v>34</v>
      </c>
      <c r="C36" t="s">
        <v>43</v>
      </c>
      <c r="D36">
        <v>2</v>
      </c>
      <c r="F36">
        <v>1</v>
      </c>
      <c r="G36" t="s">
        <v>135</v>
      </c>
      <c r="H36" t="s">
        <v>74</v>
      </c>
      <c r="K36" t="s">
        <v>38</v>
      </c>
      <c r="L36">
        <v>1</v>
      </c>
      <c r="M36">
        <v>1</v>
      </c>
      <c r="N36">
        <v>1</v>
      </c>
      <c r="O36" t="s">
        <v>152</v>
      </c>
      <c r="P36" t="s">
        <v>70</v>
      </c>
      <c r="S36" t="s">
        <v>53</v>
      </c>
      <c r="T36">
        <v>1</v>
      </c>
      <c r="U36">
        <v>1</v>
      </c>
      <c r="V36">
        <v>2</v>
      </c>
      <c r="W36" t="s">
        <v>54</v>
      </c>
      <c r="AA36" t="s">
        <v>48</v>
      </c>
      <c r="AB36">
        <v>1</v>
      </c>
      <c r="AD36">
        <v>1</v>
      </c>
      <c r="AE36" t="s">
        <v>89</v>
      </c>
      <c r="AI36">
        <v>4</v>
      </c>
      <c r="AJ36">
        <v>32</v>
      </c>
    </row>
    <row r="37" spans="1:36" x14ac:dyDescent="0.25">
      <c r="A37" t="s">
        <v>281</v>
      </c>
      <c r="B37">
        <v>35</v>
      </c>
      <c r="C37" t="s">
        <v>53</v>
      </c>
      <c r="D37">
        <v>2</v>
      </c>
      <c r="E37">
        <v>1</v>
      </c>
      <c r="F37">
        <v>1</v>
      </c>
      <c r="G37" t="s">
        <v>54</v>
      </c>
      <c r="H37" t="s">
        <v>113</v>
      </c>
      <c r="K37" t="s">
        <v>48</v>
      </c>
      <c r="L37">
        <v>3</v>
      </c>
      <c r="N37">
        <v>1</v>
      </c>
      <c r="O37" t="s">
        <v>89</v>
      </c>
      <c r="S37" t="s">
        <v>43</v>
      </c>
      <c r="T37">
        <v>3</v>
      </c>
      <c r="V37">
        <v>1</v>
      </c>
      <c r="W37" t="s">
        <v>135</v>
      </c>
      <c r="X37" t="s">
        <v>74</v>
      </c>
      <c r="Y37" t="s">
        <v>75</v>
      </c>
      <c r="Z37" t="s">
        <v>138</v>
      </c>
      <c r="AA37" t="s">
        <v>227</v>
      </c>
      <c r="AB37">
        <v>2</v>
      </c>
      <c r="AC37">
        <v>1</v>
      </c>
      <c r="AD37">
        <v>1</v>
      </c>
      <c r="AE37" t="s">
        <v>228</v>
      </c>
      <c r="AF37" t="s">
        <v>231</v>
      </c>
      <c r="AI37">
        <v>11</v>
      </c>
      <c r="AJ37">
        <v>37</v>
      </c>
    </row>
    <row r="38" spans="1:36" x14ac:dyDescent="0.25">
      <c r="A38" t="s">
        <v>282</v>
      </c>
      <c r="B38">
        <v>36</v>
      </c>
      <c r="C38" t="s">
        <v>45</v>
      </c>
      <c r="D38">
        <v>2</v>
      </c>
      <c r="F38">
        <v>1</v>
      </c>
      <c r="G38" t="s">
        <v>47</v>
      </c>
      <c r="K38" t="s">
        <v>63</v>
      </c>
      <c r="L38">
        <v>1</v>
      </c>
      <c r="N38">
        <v>1</v>
      </c>
      <c r="O38" t="s">
        <v>103</v>
      </c>
      <c r="P38" t="s">
        <v>91</v>
      </c>
      <c r="S38" t="s">
        <v>53</v>
      </c>
      <c r="T38">
        <v>1</v>
      </c>
      <c r="U38">
        <v>1</v>
      </c>
      <c r="V38">
        <v>1</v>
      </c>
      <c r="W38" t="s">
        <v>54</v>
      </c>
      <c r="AA38" t="s">
        <v>48</v>
      </c>
      <c r="AB38">
        <v>2</v>
      </c>
      <c r="AD38">
        <v>1</v>
      </c>
      <c r="AE38" t="s">
        <v>49</v>
      </c>
      <c r="AF38" t="s">
        <v>71</v>
      </c>
      <c r="AG38" t="s">
        <v>127</v>
      </c>
      <c r="AI38">
        <v>5</v>
      </c>
      <c r="AJ38">
        <v>31</v>
      </c>
    </row>
    <row r="39" spans="1:36" x14ac:dyDescent="0.25">
      <c r="A39" t="s">
        <v>283</v>
      </c>
      <c r="B39">
        <v>37</v>
      </c>
      <c r="C39" t="s">
        <v>53</v>
      </c>
      <c r="D39">
        <v>3</v>
      </c>
      <c r="E39">
        <v>1</v>
      </c>
      <c r="F39">
        <v>1</v>
      </c>
      <c r="G39" t="s">
        <v>54</v>
      </c>
      <c r="H39" t="s">
        <v>83</v>
      </c>
      <c r="I39" t="s">
        <v>97</v>
      </c>
      <c r="K39" t="s">
        <v>48</v>
      </c>
      <c r="L39">
        <v>2</v>
      </c>
      <c r="N39">
        <v>1</v>
      </c>
      <c r="O39" t="s">
        <v>89</v>
      </c>
      <c r="S39" t="s">
        <v>45</v>
      </c>
      <c r="T39">
        <v>3</v>
      </c>
      <c r="V39">
        <v>1</v>
      </c>
      <c r="W39" t="s">
        <v>47</v>
      </c>
      <c r="AA39" t="s">
        <v>38</v>
      </c>
      <c r="AB39">
        <v>2</v>
      </c>
      <c r="AC39">
        <v>2</v>
      </c>
      <c r="AD39">
        <v>3</v>
      </c>
      <c r="AE39" t="s">
        <v>152</v>
      </c>
      <c r="AI39">
        <v>11</v>
      </c>
      <c r="AJ39">
        <v>33</v>
      </c>
    </row>
    <row r="40" spans="1:36" x14ac:dyDescent="0.25">
      <c r="A40" t="s">
        <v>284</v>
      </c>
      <c r="B40">
        <v>38</v>
      </c>
      <c r="C40" t="s">
        <v>53</v>
      </c>
      <c r="D40">
        <v>1</v>
      </c>
      <c r="E40">
        <v>1</v>
      </c>
      <c r="F40">
        <v>1</v>
      </c>
      <c r="G40" t="s">
        <v>111</v>
      </c>
      <c r="K40" t="s">
        <v>48</v>
      </c>
      <c r="L40">
        <v>3</v>
      </c>
      <c r="N40">
        <v>2</v>
      </c>
      <c r="O40" t="s">
        <v>89</v>
      </c>
      <c r="P40" t="s">
        <v>84</v>
      </c>
      <c r="Q40" t="s">
        <v>90</v>
      </c>
      <c r="R40" t="s">
        <v>128</v>
      </c>
      <c r="S40" t="s">
        <v>45</v>
      </c>
      <c r="T40">
        <v>3</v>
      </c>
      <c r="V40">
        <v>1</v>
      </c>
      <c r="W40" t="s">
        <v>47</v>
      </c>
      <c r="X40" t="s">
        <v>141</v>
      </c>
      <c r="Y40" t="s">
        <v>93</v>
      </c>
      <c r="AA40" t="s">
        <v>227</v>
      </c>
      <c r="AB40">
        <v>3</v>
      </c>
      <c r="AC40">
        <v>1</v>
      </c>
      <c r="AD40">
        <v>1</v>
      </c>
      <c r="AE40" t="s">
        <v>228</v>
      </c>
      <c r="AF40" t="s">
        <v>231</v>
      </c>
      <c r="AG40" t="s">
        <v>235</v>
      </c>
      <c r="AI40">
        <v>14</v>
      </c>
      <c r="AJ40">
        <v>34</v>
      </c>
    </row>
    <row r="41" spans="1:36" x14ac:dyDescent="0.25">
      <c r="A41" t="s">
        <v>285</v>
      </c>
      <c r="B41">
        <v>39</v>
      </c>
      <c r="C41" t="s">
        <v>53</v>
      </c>
      <c r="D41">
        <v>2</v>
      </c>
      <c r="E41">
        <v>1</v>
      </c>
      <c r="F41">
        <v>1</v>
      </c>
      <c r="G41" t="s">
        <v>54</v>
      </c>
      <c r="H41" t="s">
        <v>55</v>
      </c>
      <c r="K41" t="s">
        <v>48</v>
      </c>
      <c r="L41">
        <v>1</v>
      </c>
      <c r="N41">
        <v>1</v>
      </c>
      <c r="O41" t="s">
        <v>49</v>
      </c>
      <c r="P41" t="s">
        <v>71</v>
      </c>
      <c r="S41" t="s">
        <v>63</v>
      </c>
      <c r="T41">
        <v>1</v>
      </c>
      <c r="V41">
        <v>1</v>
      </c>
      <c r="W41" t="s">
        <v>103</v>
      </c>
      <c r="AA41" t="s">
        <v>38</v>
      </c>
      <c r="AB41">
        <v>2</v>
      </c>
      <c r="AC41">
        <v>1</v>
      </c>
      <c r="AD41">
        <v>1</v>
      </c>
      <c r="AE41" t="s">
        <v>152</v>
      </c>
      <c r="AI41">
        <v>4</v>
      </c>
      <c r="AJ41">
        <v>20</v>
      </c>
    </row>
    <row r="42" spans="1:36" x14ac:dyDescent="0.25">
      <c r="A42" t="s">
        <v>286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54</v>
      </c>
      <c r="K42" t="s">
        <v>48</v>
      </c>
      <c r="L42">
        <v>2</v>
      </c>
      <c r="N42">
        <v>1</v>
      </c>
      <c r="O42" t="s">
        <v>89</v>
      </c>
      <c r="P42" t="s">
        <v>71</v>
      </c>
      <c r="Q42" t="s">
        <v>127</v>
      </c>
      <c r="S42" t="s">
        <v>63</v>
      </c>
      <c r="T42">
        <v>1</v>
      </c>
      <c r="V42">
        <v>1</v>
      </c>
      <c r="W42" t="s">
        <v>103</v>
      </c>
      <c r="AA42" t="s">
        <v>227</v>
      </c>
      <c r="AB42">
        <v>1</v>
      </c>
      <c r="AC42">
        <v>1</v>
      </c>
      <c r="AD42">
        <v>1</v>
      </c>
      <c r="AE42" t="s">
        <v>228</v>
      </c>
      <c r="AI42">
        <v>3</v>
      </c>
      <c r="AJ42">
        <v>22</v>
      </c>
    </row>
    <row r="43" spans="1:36" x14ac:dyDescent="0.25">
      <c r="A43" t="s">
        <v>287</v>
      </c>
      <c r="B43">
        <v>41</v>
      </c>
      <c r="C43" t="s">
        <v>53</v>
      </c>
      <c r="D43">
        <v>2</v>
      </c>
      <c r="E43">
        <v>1</v>
      </c>
      <c r="F43">
        <v>1</v>
      </c>
      <c r="G43" t="s">
        <v>111</v>
      </c>
      <c r="K43" t="s">
        <v>48</v>
      </c>
      <c r="L43">
        <v>3</v>
      </c>
      <c r="N43">
        <v>1</v>
      </c>
      <c r="O43" t="s">
        <v>89</v>
      </c>
      <c r="P43" t="s">
        <v>71</v>
      </c>
      <c r="Q43" t="s">
        <v>127</v>
      </c>
      <c r="R43" t="s">
        <v>128</v>
      </c>
      <c r="S43" t="s">
        <v>38</v>
      </c>
      <c r="T43">
        <v>3</v>
      </c>
      <c r="U43">
        <v>1</v>
      </c>
      <c r="V43">
        <v>1</v>
      </c>
      <c r="W43" t="s">
        <v>152</v>
      </c>
      <c r="X43" t="s">
        <v>96</v>
      </c>
      <c r="AA43" t="s">
        <v>227</v>
      </c>
      <c r="AB43">
        <v>2</v>
      </c>
      <c r="AC43">
        <v>1</v>
      </c>
      <c r="AD43">
        <v>1</v>
      </c>
      <c r="AE43" t="s">
        <v>228</v>
      </c>
      <c r="AI43">
        <v>10</v>
      </c>
      <c r="AJ43">
        <v>25</v>
      </c>
    </row>
    <row r="44" spans="1:36" x14ac:dyDescent="0.25">
      <c r="A44" t="s">
        <v>288</v>
      </c>
      <c r="B44">
        <v>42</v>
      </c>
      <c r="C44" t="s">
        <v>53</v>
      </c>
      <c r="D44">
        <v>1</v>
      </c>
      <c r="E44">
        <v>2</v>
      </c>
      <c r="F44">
        <v>1</v>
      </c>
      <c r="G44" t="s">
        <v>54</v>
      </c>
      <c r="K44" t="s">
        <v>33</v>
      </c>
      <c r="L44">
        <v>3</v>
      </c>
      <c r="N44">
        <v>1</v>
      </c>
      <c r="O44" t="s">
        <v>46</v>
      </c>
      <c r="S44" t="s">
        <v>56</v>
      </c>
      <c r="T44">
        <v>2</v>
      </c>
      <c r="V44">
        <v>1</v>
      </c>
      <c r="W44" t="s">
        <v>57</v>
      </c>
      <c r="AA44" t="s">
        <v>48</v>
      </c>
      <c r="AB44">
        <v>3</v>
      </c>
      <c r="AD44">
        <v>2</v>
      </c>
      <c r="AE44" t="s">
        <v>49</v>
      </c>
      <c r="AI44">
        <v>7</v>
      </c>
      <c r="AJ44">
        <v>23</v>
      </c>
    </row>
    <row r="45" spans="1:36" x14ac:dyDescent="0.25">
      <c r="A45" t="s">
        <v>289</v>
      </c>
      <c r="B45">
        <v>43</v>
      </c>
      <c r="C45" t="s">
        <v>56</v>
      </c>
      <c r="D45">
        <v>1</v>
      </c>
      <c r="F45">
        <v>1</v>
      </c>
      <c r="G45" t="s">
        <v>68</v>
      </c>
      <c r="H45" t="s">
        <v>122</v>
      </c>
      <c r="K45" t="s">
        <v>43</v>
      </c>
      <c r="L45">
        <v>2</v>
      </c>
      <c r="N45">
        <v>1</v>
      </c>
      <c r="O45" t="s">
        <v>135</v>
      </c>
      <c r="P45" t="s">
        <v>99</v>
      </c>
      <c r="S45" t="s">
        <v>53</v>
      </c>
      <c r="T45">
        <v>1</v>
      </c>
      <c r="U45">
        <v>1</v>
      </c>
      <c r="V45">
        <v>1</v>
      </c>
      <c r="W45" t="s">
        <v>111</v>
      </c>
      <c r="X45" t="s">
        <v>113</v>
      </c>
      <c r="AA45" t="s">
        <v>33</v>
      </c>
      <c r="AB45">
        <v>1</v>
      </c>
      <c r="AD45">
        <v>1</v>
      </c>
      <c r="AE45" t="s">
        <v>46</v>
      </c>
      <c r="AI45">
        <v>4</v>
      </c>
      <c r="AJ45">
        <v>33</v>
      </c>
    </row>
    <row r="46" spans="1:36" x14ac:dyDescent="0.25">
      <c r="A46" t="s">
        <v>290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54</v>
      </c>
      <c r="H46" t="s">
        <v>113</v>
      </c>
      <c r="K46" t="s">
        <v>33</v>
      </c>
      <c r="L46">
        <v>1</v>
      </c>
      <c r="N46">
        <v>3</v>
      </c>
      <c r="O46" t="s">
        <v>46</v>
      </c>
      <c r="P46" t="s">
        <v>66</v>
      </c>
      <c r="S46" t="s">
        <v>56</v>
      </c>
      <c r="T46">
        <v>3</v>
      </c>
      <c r="V46">
        <v>1</v>
      </c>
      <c r="W46" t="s">
        <v>57</v>
      </c>
      <c r="AA46" t="s">
        <v>45</v>
      </c>
      <c r="AB46">
        <v>3</v>
      </c>
      <c r="AD46">
        <v>1</v>
      </c>
      <c r="AE46" t="s">
        <v>47</v>
      </c>
      <c r="AI46">
        <v>8</v>
      </c>
      <c r="AJ46">
        <v>19</v>
      </c>
    </row>
    <row r="47" spans="1:36" x14ac:dyDescent="0.25">
      <c r="A47" t="s">
        <v>291</v>
      </c>
      <c r="B47">
        <v>45</v>
      </c>
      <c r="C47" t="s">
        <v>53</v>
      </c>
      <c r="D47">
        <v>3</v>
      </c>
      <c r="E47">
        <v>1</v>
      </c>
      <c r="F47">
        <v>2</v>
      </c>
      <c r="G47" t="s">
        <v>54</v>
      </c>
      <c r="H47" t="s">
        <v>55</v>
      </c>
      <c r="K47" t="s">
        <v>33</v>
      </c>
      <c r="L47">
        <v>3</v>
      </c>
      <c r="N47">
        <v>1</v>
      </c>
      <c r="O47" t="s">
        <v>46</v>
      </c>
      <c r="S47" t="s">
        <v>56</v>
      </c>
      <c r="T47">
        <v>2</v>
      </c>
      <c r="V47">
        <v>1</v>
      </c>
      <c r="W47" t="s">
        <v>57</v>
      </c>
      <c r="X47" t="s">
        <v>122</v>
      </c>
      <c r="AA47" t="s">
        <v>63</v>
      </c>
      <c r="AB47">
        <v>1</v>
      </c>
      <c r="AD47">
        <v>1</v>
      </c>
      <c r="AE47" t="s">
        <v>103</v>
      </c>
      <c r="AI47">
        <v>8</v>
      </c>
      <c r="AJ47">
        <v>39</v>
      </c>
    </row>
    <row r="48" spans="1:36" x14ac:dyDescent="0.25">
      <c r="A48" t="s">
        <v>292</v>
      </c>
      <c r="B48">
        <v>46</v>
      </c>
      <c r="C48" t="s">
        <v>56</v>
      </c>
      <c r="D48">
        <v>1</v>
      </c>
      <c r="F48">
        <v>1</v>
      </c>
      <c r="G48" t="s">
        <v>57</v>
      </c>
      <c r="H48" t="s">
        <v>122</v>
      </c>
      <c r="K48" t="s">
        <v>38</v>
      </c>
      <c r="L48">
        <v>2</v>
      </c>
      <c r="M48">
        <v>1</v>
      </c>
      <c r="N48">
        <v>2</v>
      </c>
      <c r="O48" t="s">
        <v>152</v>
      </c>
      <c r="P48" t="s">
        <v>70</v>
      </c>
      <c r="S48" t="s">
        <v>53</v>
      </c>
      <c r="T48">
        <v>2</v>
      </c>
      <c r="U48">
        <v>1</v>
      </c>
      <c r="V48">
        <v>1</v>
      </c>
      <c r="W48" t="s">
        <v>54</v>
      </c>
      <c r="X48" t="s">
        <v>83</v>
      </c>
      <c r="Y48" t="s">
        <v>114</v>
      </c>
      <c r="AA48" t="s">
        <v>33</v>
      </c>
      <c r="AB48">
        <v>1</v>
      </c>
      <c r="AD48">
        <v>1</v>
      </c>
      <c r="AE48" t="s">
        <v>46</v>
      </c>
      <c r="AI48">
        <v>7</v>
      </c>
      <c r="AJ48">
        <v>30</v>
      </c>
    </row>
    <row r="49" spans="1:36" x14ac:dyDescent="0.25">
      <c r="A49" t="s">
        <v>293</v>
      </c>
      <c r="B49">
        <v>47</v>
      </c>
      <c r="C49" t="s">
        <v>53</v>
      </c>
      <c r="D49">
        <v>2</v>
      </c>
      <c r="E49">
        <v>1</v>
      </c>
      <c r="F49">
        <v>1</v>
      </c>
      <c r="G49" t="s">
        <v>54</v>
      </c>
      <c r="H49" t="s">
        <v>55</v>
      </c>
      <c r="K49" t="s">
        <v>33</v>
      </c>
      <c r="L49">
        <v>2</v>
      </c>
      <c r="N49">
        <v>2</v>
      </c>
      <c r="O49" t="s">
        <v>46</v>
      </c>
      <c r="P49" t="s">
        <v>35</v>
      </c>
      <c r="S49" t="s">
        <v>56</v>
      </c>
      <c r="T49">
        <v>1</v>
      </c>
      <c r="V49">
        <v>2</v>
      </c>
      <c r="W49" t="s">
        <v>57</v>
      </c>
      <c r="AA49" t="s">
        <v>227</v>
      </c>
      <c r="AB49">
        <v>1</v>
      </c>
      <c r="AC49">
        <v>1</v>
      </c>
      <c r="AD49">
        <v>2</v>
      </c>
      <c r="AE49" t="s">
        <v>228</v>
      </c>
      <c r="AF49" t="s">
        <v>231</v>
      </c>
      <c r="AG49" t="s">
        <v>235</v>
      </c>
      <c r="AI49">
        <v>9</v>
      </c>
      <c r="AJ49">
        <v>45</v>
      </c>
    </row>
    <row r="50" spans="1:36" x14ac:dyDescent="0.25">
      <c r="A50" t="s">
        <v>294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54</v>
      </c>
      <c r="K50" t="s">
        <v>33</v>
      </c>
      <c r="L50">
        <v>2</v>
      </c>
      <c r="N50">
        <v>2</v>
      </c>
      <c r="O50" t="s">
        <v>46</v>
      </c>
      <c r="S50" t="s">
        <v>48</v>
      </c>
      <c r="T50">
        <v>3</v>
      </c>
      <c r="V50">
        <v>1</v>
      </c>
      <c r="W50" t="s">
        <v>49</v>
      </c>
      <c r="AA50" t="s">
        <v>43</v>
      </c>
      <c r="AB50">
        <v>2</v>
      </c>
      <c r="AD50">
        <v>1</v>
      </c>
      <c r="AE50" t="s">
        <v>135</v>
      </c>
      <c r="AI50">
        <v>5</v>
      </c>
      <c r="AJ50">
        <v>22</v>
      </c>
    </row>
    <row r="51" spans="1:36" x14ac:dyDescent="0.25">
      <c r="A51" t="s">
        <v>295</v>
      </c>
      <c r="B51">
        <v>49</v>
      </c>
      <c r="C51" t="s">
        <v>48</v>
      </c>
      <c r="D51">
        <v>1</v>
      </c>
      <c r="F51">
        <v>1</v>
      </c>
      <c r="G51" t="s">
        <v>49</v>
      </c>
      <c r="H51" t="s">
        <v>84</v>
      </c>
      <c r="K51" t="s">
        <v>45</v>
      </c>
      <c r="L51">
        <v>3</v>
      </c>
      <c r="N51">
        <v>2</v>
      </c>
      <c r="O51" t="s">
        <v>47</v>
      </c>
      <c r="S51" t="s">
        <v>53</v>
      </c>
      <c r="T51">
        <v>2</v>
      </c>
      <c r="U51">
        <v>1</v>
      </c>
      <c r="V51">
        <v>1</v>
      </c>
      <c r="W51" t="s">
        <v>54</v>
      </c>
      <c r="X51" t="s">
        <v>55</v>
      </c>
      <c r="AA51" t="s">
        <v>33</v>
      </c>
      <c r="AB51">
        <v>2</v>
      </c>
      <c r="AD51">
        <v>3</v>
      </c>
      <c r="AE51" t="s">
        <v>46</v>
      </c>
      <c r="AI51">
        <v>9</v>
      </c>
      <c r="AJ51">
        <v>32</v>
      </c>
    </row>
    <row r="52" spans="1:36" x14ac:dyDescent="0.25">
      <c r="A52" t="s">
        <v>296</v>
      </c>
      <c r="B52">
        <v>50</v>
      </c>
      <c r="C52" t="s">
        <v>48</v>
      </c>
      <c r="D52">
        <v>1</v>
      </c>
      <c r="F52">
        <v>1</v>
      </c>
      <c r="G52" t="s">
        <v>49</v>
      </c>
      <c r="H52" t="s">
        <v>50</v>
      </c>
      <c r="K52" t="s">
        <v>63</v>
      </c>
      <c r="L52">
        <v>2</v>
      </c>
      <c r="N52">
        <v>1</v>
      </c>
      <c r="O52" t="s">
        <v>103</v>
      </c>
      <c r="P52" t="s">
        <v>91</v>
      </c>
      <c r="Q52" t="s">
        <v>147</v>
      </c>
      <c r="S52" t="s">
        <v>53</v>
      </c>
      <c r="T52">
        <v>3</v>
      </c>
      <c r="U52">
        <v>1</v>
      </c>
      <c r="V52">
        <v>2</v>
      </c>
      <c r="W52" t="s">
        <v>111</v>
      </c>
      <c r="X52" t="s">
        <v>55</v>
      </c>
      <c r="AA52" t="s">
        <v>33</v>
      </c>
      <c r="AB52">
        <v>2</v>
      </c>
      <c r="AD52">
        <v>2</v>
      </c>
      <c r="AE52" t="s">
        <v>46</v>
      </c>
      <c r="AI52">
        <v>10</v>
      </c>
      <c r="AJ52">
        <v>32</v>
      </c>
    </row>
    <row r="53" spans="1:36" x14ac:dyDescent="0.25">
      <c r="A53" t="s">
        <v>297</v>
      </c>
      <c r="B53">
        <v>51</v>
      </c>
      <c r="C53" t="s">
        <v>53</v>
      </c>
      <c r="D53">
        <v>2</v>
      </c>
      <c r="E53">
        <v>1</v>
      </c>
      <c r="F53">
        <v>1</v>
      </c>
      <c r="G53" t="s">
        <v>54</v>
      </c>
      <c r="K53" t="s">
        <v>33</v>
      </c>
      <c r="L53">
        <v>3</v>
      </c>
      <c r="N53">
        <v>1</v>
      </c>
      <c r="O53" t="s">
        <v>46</v>
      </c>
      <c r="S53" t="s">
        <v>48</v>
      </c>
      <c r="T53">
        <v>1</v>
      </c>
      <c r="V53">
        <v>1</v>
      </c>
      <c r="W53" t="s">
        <v>49</v>
      </c>
      <c r="AA53" t="s">
        <v>38</v>
      </c>
      <c r="AB53">
        <v>1</v>
      </c>
      <c r="AC53">
        <v>1</v>
      </c>
      <c r="AD53">
        <v>2</v>
      </c>
      <c r="AE53" t="s">
        <v>152</v>
      </c>
      <c r="AI53">
        <v>4</v>
      </c>
      <c r="AJ53">
        <v>16</v>
      </c>
    </row>
    <row r="54" spans="1:36" x14ac:dyDescent="0.25">
      <c r="A54" t="s">
        <v>298</v>
      </c>
      <c r="B54">
        <v>52</v>
      </c>
      <c r="C54" t="s">
        <v>53</v>
      </c>
      <c r="D54">
        <v>1</v>
      </c>
      <c r="E54">
        <v>1</v>
      </c>
      <c r="F54">
        <v>1</v>
      </c>
      <c r="G54" t="s">
        <v>54</v>
      </c>
      <c r="K54" t="s">
        <v>33</v>
      </c>
      <c r="L54">
        <v>2</v>
      </c>
      <c r="N54">
        <v>1</v>
      </c>
      <c r="O54" t="s">
        <v>46</v>
      </c>
      <c r="S54" t="s">
        <v>48</v>
      </c>
      <c r="T54">
        <v>1</v>
      </c>
      <c r="V54">
        <v>1</v>
      </c>
      <c r="W54" t="s">
        <v>49</v>
      </c>
      <c r="X54" t="s">
        <v>50</v>
      </c>
      <c r="AA54" t="s">
        <v>227</v>
      </c>
      <c r="AB54">
        <v>1</v>
      </c>
      <c r="AC54">
        <v>1</v>
      </c>
      <c r="AD54">
        <v>1</v>
      </c>
      <c r="AE54" t="s">
        <v>228</v>
      </c>
      <c r="AI54">
        <v>2</v>
      </c>
      <c r="AJ54">
        <v>20</v>
      </c>
    </row>
    <row r="55" spans="1:36" x14ac:dyDescent="0.25">
      <c r="A55" t="s">
        <v>299</v>
      </c>
      <c r="B55">
        <v>53</v>
      </c>
      <c r="C55" t="s">
        <v>43</v>
      </c>
      <c r="D55">
        <v>2</v>
      </c>
      <c r="F55">
        <v>2</v>
      </c>
      <c r="G55" t="s">
        <v>135</v>
      </c>
      <c r="H55" t="s">
        <v>99</v>
      </c>
      <c r="I55" t="s">
        <v>100</v>
      </c>
      <c r="J55" t="s">
        <v>101</v>
      </c>
      <c r="K55" t="s">
        <v>45</v>
      </c>
      <c r="L55">
        <v>2</v>
      </c>
      <c r="N55">
        <v>1</v>
      </c>
      <c r="O55" t="s">
        <v>47</v>
      </c>
      <c r="S55" t="s">
        <v>53</v>
      </c>
      <c r="T55">
        <v>2</v>
      </c>
      <c r="U55">
        <v>2</v>
      </c>
      <c r="V55">
        <v>1</v>
      </c>
      <c r="W55" t="s">
        <v>54</v>
      </c>
      <c r="AA55" t="s">
        <v>33</v>
      </c>
      <c r="AB55">
        <v>1</v>
      </c>
      <c r="AD55">
        <v>2</v>
      </c>
      <c r="AE55" t="s">
        <v>46</v>
      </c>
      <c r="AI55">
        <v>9</v>
      </c>
      <c r="AJ55">
        <v>39</v>
      </c>
    </row>
    <row r="56" spans="1:36" x14ac:dyDescent="0.25">
      <c r="A56" t="s">
        <v>300</v>
      </c>
      <c r="B56">
        <v>54</v>
      </c>
      <c r="C56" t="s">
        <v>53</v>
      </c>
      <c r="D56">
        <v>2</v>
      </c>
      <c r="E56">
        <v>1</v>
      </c>
      <c r="F56">
        <v>1</v>
      </c>
      <c r="G56" t="s">
        <v>54</v>
      </c>
      <c r="H56" t="s">
        <v>83</v>
      </c>
      <c r="I56" t="s">
        <v>114</v>
      </c>
      <c r="K56" t="s">
        <v>33</v>
      </c>
      <c r="L56">
        <v>3</v>
      </c>
      <c r="N56">
        <v>1</v>
      </c>
      <c r="O56" t="s">
        <v>46</v>
      </c>
      <c r="S56" t="s">
        <v>43</v>
      </c>
      <c r="T56">
        <v>3</v>
      </c>
      <c r="V56">
        <v>1</v>
      </c>
      <c r="W56" t="s">
        <v>135</v>
      </c>
      <c r="X56" t="s">
        <v>136</v>
      </c>
      <c r="AA56" t="s">
        <v>63</v>
      </c>
      <c r="AB56">
        <v>1</v>
      </c>
      <c r="AD56">
        <v>1</v>
      </c>
      <c r="AE56" t="s">
        <v>103</v>
      </c>
      <c r="AF56" t="s">
        <v>91</v>
      </c>
      <c r="AI56">
        <v>9</v>
      </c>
      <c r="AJ56">
        <v>32</v>
      </c>
    </row>
    <row r="57" spans="1:36" x14ac:dyDescent="0.25">
      <c r="A57" t="s">
        <v>301</v>
      </c>
      <c r="B57">
        <v>55</v>
      </c>
      <c r="C57" t="s">
        <v>43</v>
      </c>
      <c r="D57">
        <v>2</v>
      </c>
      <c r="F57">
        <v>1</v>
      </c>
      <c r="G57" t="s">
        <v>135</v>
      </c>
      <c r="H57" t="s">
        <v>99</v>
      </c>
      <c r="K57" t="s">
        <v>38</v>
      </c>
      <c r="L57">
        <v>1</v>
      </c>
      <c r="M57">
        <v>1</v>
      </c>
      <c r="N57">
        <v>1</v>
      </c>
      <c r="O57" t="s">
        <v>152</v>
      </c>
      <c r="P57" t="s">
        <v>70</v>
      </c>
      <c r="S57" t="s">
        <v>53</v>
      </c>
      <c r="T57">
        <v>1</v>
      </c>
      <c r="U57">
        <v>1</v>
      </c>
      <c r="V57">
        <v>1</v>
      </c>
      <c r="W57" t="s">
        <v>54</v>
      </c>
      <c r="X57" t="s">
        <v>55</v>
      </c>
      <c r="Y57" t="s">
        <v>97</v>
      </c>
      <c r="AA57" t="s">
        <v>33</v>
      </c>
      <c r="AB57">
        <v>1</v>
      </c>
      <c r="AD57">
        <v>1</v>
      </c>
      <c r="AE57" t="s">
        <v>46</v>
      </c>
      <c r="AI57">
        <v>5</v>
      </c>
      <c r="AJ57">
        <v>32</v>
      </c>
    </row>
    <row r="58" spans="1:36" x14ac:dyDescent="0.25">
      <c r="A58" t="s">
        <v>302</v>
      </c>
      <c r="B58">
        <v>56</v>
      </c>
      <c r="C58" t="s">
        <v>43</v>
      </c>
      <c r="D58">
        <v>2</v>
      </c>
      <c r="F58">
        <v>1</v>
      </c>
      <c r="G58" t="s">
        <v>135</v>
      </c>
      <c r="H58" t="s">
        <v>74</v>
      </c>
      <c r="I58" t="s">
        <v>137</v>
      </c>
      <c r="K58" t="s">
        <v>227</v>
      </c>
      <c r="L58">
        <v>1</v>
      </c>
      <c r="M58">
        <v>1</v>
      </c>
      <c r="N58">
        <v>1</v>
      </c>
      <c r="O58" t="s">
        <v>228</v>
      </c>
      <c r="S58" t="s">
        <v>53</v>
      </c>
      <c r="T58">
        <v>2</v>
      </c>
      <c r="U58">
        <v>1</v>
      </c>
      <c r="V58">
        <v>2</v>
      </c>
      <c r="W58" t="s">
        <v>54</v>
      </c>
      <c r="X58" t="s">
        <v>83</v>
      </c>
      <c r="AA58" t="s">
        <v>33</v>
      </c>
      <c r="AB58">
        <v>2</v>
      </c>
      <c r="AD58">
        <v>3</v>
      </c>
      <c r="AE58" t="s">
        <v>46</v>
      </c>
      <c r="AI58">
        <v>9</v>
      </c>
      <c r="AJ58">
        <v>24</v>
      </c>
    </row>
    <row r="59" spans="1:36" x14ac:dyDescent="0.25">
      <c r="A59" t="s">
        <v>303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54</v>
      </c>
      <c r="K59" t="s">
        <v>33</v>
      </c>
      <c r="L59">
        <v>1</v>
      </c>
      <c r="N59">
        <v>3</v>
      </c>
      <c r="O59" t="s">
        <v>46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1</v>
      </c>
      <c r="AD59">
        <v>1</v>
      </c>
      <c r="AE59" t="s">
        <v>103</v>
      </c>
      <c r="AF59" t="s">
        <v>91</v>
      </c>
      <c r="AI59">
        <v>4</v>
      </c>
      <c r="AJ59">
        <v>25</v>
      </c>
    </row>
    <row r="60" spans="1:36" x14ac:dyDescent="0.25">
      <c r="A60" t="s">
        <v>304</v>
      </c>
      <c r="B60">
        <v>58</v>
      </c>
      <c r="C60" t="s">
        <v>45</v>
      </c>
      <c r="D60">
        <v>2</v>
      </c>
      <c r="F60">
        <v>1</v>
      </c>
      <c r="G60" t="s">
        <v>47</v>
      </c>
      <c r="K60" t="s">
        <v>38</v>
      </c>
      <c r="L60">
        <v>2</v>
      </c>
      <c r="M60">
        <v>1</v>
      </c>
      <c r="N60">
        <v>2</v>
      </c>
      <c r="O60" t="s">
        <v>152</v>
      </c>
      <c r="P60" t="s">
        <v>70</v>
      </c>
      <c r="S60" t="s">
        <v>53</v>
      </c>
      <c r="T60">
        <v>2</v>
      </c>
      <c r="U60">
        <v>1</v>
      </c>
      <c r="V60">
        <v>1</v>
      </c>
      <c r="W60" t="s">
        <v>54</v>
      </c>
      <c r="AA60" t="s">
        <v>33</v>
      </c>
      <c r="AB60">
        <v>1</v>
      </c>
      <c r="AD60">
        <v>1</v>
      </c>
      <c r="AE60" t="s">
        <v>46</v>
      </c>
      <c r="AI60">
        <v>5</v>
      </c>
      <c r="AJ60">
        <v>20</v>
      </c>
    </row>
    <row r="61" spans="1:36" x14ac:dyDescent="0.25">
      <c r="A61" t="s">
        <v>305</v>
      </c>
      <c r="B61">
        <v>59</v>
      </c>
      <c r="C61" t="s">
        <v>45</v>
      </c>
      <c r="D61">
        <v>3</v>
      </c>
      <c r="F61">
        <v>1</v>
      </c>
      <c r="G61" t="s">
        <v>47</v>
      </c>
      <c r="K61" t="s">
        <v>227</v>
      </c>
      <c r="L61">
        <v>1</v>
      </c>
      <c r="M61">
        <v>1</v>
      </c>
      <c r="N61">
        <v>1</v>
      </c>
      <c r="O61" t="s">
        <v>228</v>
      </c>
      <c r="S61" t="s">
        <v>53</v>
      </c>
      <c r="T61">
        <v>1</v>
      </c>
      <c r="U61">
        <v>1</v>
      </c>
      <c r="V61">
        <v>1</v>
      </c>
      <c r="W61" t="s">
        <v>54</v>
      </c>
      <c r="AA61" t="s">
        <v>33</v>
      </c>
      <c r="AB61">
        <v>1</v>
      </c>
      <c r="AD61">
        <v>2</v>
      </c>
      <c r="AE61" t="s">
        <v>46</v>
      </c>
      <c r="AI61">
        <v>3</v>
      </c>
      <c r="AJ61">
        <v>22</v>
      </c>
    </row>
    <row r="62" spans="1:36" x14ac:dyDescent="0.25">
      <c r="A62" t="s">
        <v>306</v>
      </c>
      <c r="B62">
        <v>60</v>
      </c>
      <c r="C62" t="s">
        <v>53</v>
      </c>
      <c r="D62">
        <v>3</v>
      </c>
      <c r="E62">
        <v>1</v>
      </c>
      <c r="F62">
        <v>1</v>
      </c>
      <c r="G62" t="s">
        <v>54</v>
      </c>
      <c r="K62" t="s">
        <v>33</v>
      </c>
      <c r="L62">
        <v>1</v>
      </c>
      <c r="N62">
        <v>1</v>
      </c>
      <c r="O62" t="s">
        <v>46</v>
      </c>
      <c r="S62" t="s">
        <v>63</v>
      </c>
      <c r="T62">
        <v>1</v>
      </c>
      <c r="V62">
        <v>2</v>
      </c>
      <c r="W62" t="s">
        <v>103</v>
      </c>
      <c r="X62" t="s">
        <v>95</v>
      </c>
      <c r="Y62" t="s">
        <v>104</v>
      </c>
      <c r="AA62" t="s">
        <v>38</v>
      </c>
      <c r="AB62">
        <v>1</v>
      </c>
      <c r="AC62">
        <v>1</v>
      </c>
      <c r="AD62">
        <v>1</v>
      </c>
      <c r="AE62" t="s">
        <v>152</v>
      </c>
      <c r="AI62">
        <v>5</v>
      </c>
      <c r="AJ62">
        <v>24</v>
      </c>
    </row>
    <row r="63" spans="1:36" x14ac:dyDescent="0.25">
      <c r="A63" t="s">
        <v>307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111</v>
      </c>
      <c r="K63" t="s">
        <v>33</v>
      </c>
      <c r="L63">
        <v>3</v>
      </c>
      <c r="N63">
        <v>1</v>
      </c>
      <c r="O63" t="s">
        <v>46</v>
      </c>
      <c r="S63" t="s">
        <v>63</v>
      </c>
      <c r="T63">
        <v>1</v>
      </c>
      <c r="V63">
        <v>1</v>
      </c>
      <c r="W63" t="s">
        <v>103</v>
      </c>
      <c r="AA63" t="s">
        <v>227</v>
      </c>
      <c r="AB63">
        <v>2</v>
      </c>
      <c r="AC63">
        <v>1</v>
      </c>
      <c r="AD63">
        <v>1</v>
      </c>
      <c r="AE63" t="s">
        <v>228</v>
      </c>
      <c r="AI63">
        <v>3</v>
      </c>
      <c r="AJ63">
        <v>19</v>
      </c>
    </row>
    <row r="64" spans="1:36" x14ac:dyDescent="0.25">
      <c r="A64" t="s">
        <v>308</v>
      </c>
      <c r="B64">
        <v>62</v>
      </c>
      <c r="C64" t="s">
        <v>38</v>
      </c>
      <c r="D64">
        <v>1</v>
      </c>
      <c r="E64">
        <v>2</v>
      </c>
      <c r="F64">
        <v>2</v>
      </c>
      <c r="G64" t="s">
        <v>152</v>
      </c>
      <c r="H64" t="s">
        <v>40</v>
      </c>
      <c r="K64" t="s">
        <v>227</v>
      </c>
      <c r="L64">
        <v>2</v>
      </c>
      <c r="M64">
        <v>2</v>
      </c>
      <c r="N64">
        <v>1</v>
      </c>
      <c r="O64" t="s">
        <v>228</v>
      </c>
      <c r="P64" t="s">
        <v>231</v>
      </c>
      <c r="S64" t="s">
        <v>53</v>
      </c>
      <c r="T64">
        <v>1</v>
      </c>
      <c r="U64">
        <v>1</v>
      </c>
      <c r="V64">
        <v>1</v>
      </c>
      <c r="W64" t="s">
        <v>54</v>
      </c>
      <c r="AA64" t="s">
        <v>33</v>
      </c>
      <c r="AB64">
        <v>1</v>
      </c>
      <c r="AD64">
        <v>3</v>
      </c>
      <c r="AE64" t="s">
        <v>46</v>
      </c>
      <c r="AI64">
        <v>8</v>
      </c>
      <c r="AJ64">
        <v>26</v>
      </c>
    </row>
    <row r="65" spans="1:36" x14ac:dyDescent="0.25">
      <c r="A65" t="s">
        <v>309</v>
      </c>
      <c r="B65">
        <v>63</v>
      </c>
      <c r="C65" t="s">
        <v>53</v>
      </c>
      <c r="D65">
        <v>2</v>
      </c>
      <c r="E65">
        <v>1</v>
      </c>
      <c r="F65">
        <v>1</v>
      </c>
      <c r="G65" t="s">
        <v>54</v>
      </c>
      <c r="K65" t="s">
        <v>43</v>
      </c>
      <c r="L65">
        <v>2</v>
      </c>
      <c r="N65">
        <v>2</v>
      </c>
      <c r="O65" t="s">
        <v>135</v>
      </c>
      <c r="P65" t="s">
        <v>99</v>
      </c>
      <c r="S65" t="s">
        <v>56</v>
      </c>
      <c r="T65">
        <v>1</v>
      </c>
      <c r="V65">
        <v>1</v>
      </c>
      <c r="W65" t="s">
        <v>57</v>
      </c>
      <c r="X65" t="s">
        <v>122</v>
      </c>
      <c r="AA65" t="s">
        <v>48</v>
      </c>
      <c r="AB65">
        <v>1</v>
      </c>
      <c r="AD65">
        <v>1</v>
      </c>
      <c r="AE65" t="s">
        <v>49</v>
      </c>
      <c r="AI65">
        <v>5</v>
      </c>
      <c r="AJ65">
        <v>27</v>
      </c>
    </row>
    <row r="66" spans="1:36" x14ac:dyDescent="0.25">
      <c r="A66" t="s">
        <v>310</v>
      </c>
      <c r="B66">
        <v>64</v>
      </c>
      <c r="C66" t="s">
        <v>56</v>
      </c>
      <c r="D66">
        <v>1</v>
      </c>
      <c r="F66">
        <v>1</v>
      </c>
      <c r="G66" t="s">
        <v>68</v>
      </c>
      <c r="H66" t="s">
        <v>122</v>
      </c>
      <c r="K66" t="s">
        <v>33</v>
      </c>
      <c r="L66">
        <v>1</v>
      </c>
      <c r="N66">
        <v>3</v>
      </c>
      <c r="O66" t="s">
        <v>46</v>
      </c>
      <c r="S66" t="s">
        <v>53</v>
      </c>
      <c r="T66">
        <v>2</v>
      </c>
      <c r="U66">
        <v>1</v>
      </c>
      <c r="V66">
        <v>1</v>
      </c>
      <c r="W66" t="s">
        <v>54</v>
      </c>
      <c r="X66" t="s">
        <v>55</v>
      </c>
      <c r="Y66" t="s">
        <v>97</v>
      </c>
      <c r="AA66" t="s">
        <v>43</v>
      </c>
      <c r="AB66">
        <v>2</v>
      </c>
      <c r="AD66">
        <v>1</v>
      </c>
      <c r="AE66" t="s">
        <v>135</v>
      </c>
      <c r="AI66">
        <v>7</v>
      </c>
      <c r="AJ66">
        <v>26</v>
      </c>
    </row>
    <row r="67" spans="1:36" x14ac:dyDescent="0.25">
      <c r="A67" t="s">
        <v>311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54</v>
      </c>
      <c r="K67" t="s">
        <v>43</v>
      </c>
      <c r="L67">
        <v>2</v>
      </c>
      <c r="N67">
        <v>1</v>
      </c>
      <c r="O67" t="s">
        <v>135</v>
      </c>
      <c r="P67" t="s">
        <v>136</v>
      </c>
      <c r="S67" t="s">
        <v>56</v>
      </c>
      <c r="T67">
        <v>2</v>
      </c>
      <c r="V67">
        <v>1</v>
      </c>
      <c r="W67" t="s">
        <v>57</v>
      </c>
      <c r="X67" t="s">
        <v>122</v>
      </c>
      <c r="AA67" t="s">
        <v>45</v>
      </c>
      <c r="AB67">
        <v>3</v>
      </c>
      <c r="AD67">
        <v>1</v>
      </c>
      <c r="AE67" t="s">
        <v>47</v>
      </c>
      <c r="AI67">
        <v>7</v>
      </c>
      <c r="AJ67">
        <v>36</v>
      </c>
    </row>
    <row r="68" spans="1:36" x14ac:dyDescent="0.25">
      <c r="A68" t="s">
        <v>312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43</v>
      </c>
      <c r="L68">
        <v>2</v>
      </c>
      <c r="N68">
        <v>2</v>
      </c>
      <c r="O68" t="s">
        <v>135</v>
      </c>
      <c r="P68" t="s">
        <v>99</v>
      </c>
      <c r="S68" t="s">
        <v>56</v>
      </c>
      <c r="T68">
        <v>1</v>
      </c>
      <c r="V68">
        <v>1</v>
      </c>
      <c r="W68" t="s">
        <v>57</v>
      </c>
      <c r="X68" t="s">
        <v>122</v>
      </c>
      <c r="AA68" t="s">
        <v>63</v>
      </c>
      <c r="AB68">
        <v>1</v>
      </c>
      <c r="AD68">
        <v>1</v>
      </c>
      <c r="AE68" t="s">
        <v>103</v>
      </c>
      <c r="AI68">
        <v>4</v>
      </c>
      <c r="AJ68">
        <v>29</v>
      </c>
    </row>
    <row r="69" spans="1:36" x14ac:dyDescent="0.25">
      <c r="A69" t="s">
        <v>313</v>
      </c>
      <c r="B69">
        <v>67</v>
      </c>
      <c r="C69" t="s">
        <v>56</v>
      </c>
      <c r="D69">
        <v>1</v>
      </c>
      <c r="F69">
        <v>1</v>
      </c>
      <c r="G69" t="s">
        <v>57</v>
      </c>
      <c r="H69" t="s">
        <v>122</v>
      </c>
      <c r="K69" t="s">
        <v>38</v>
      </c>
      <c r="L69">
        <v>1</v>
      </c>
      <c r="M69">
        <v>1</v>
      </c>
      <c r="N69">
        <v>1</v>
      </c>
      <c r="O69" t="s">
        <v>152</v>
      </c>
      <c r="P69" t="s">
        <v>70</v>
      </c>
      <c r="S69" t="s">
        <v>53</v>
      </c>
      <c r="T69">
        <v>1</v>
      </c>
      <c r="U69">
        <v>1</v>
      </c>
      <c r="V69">
        <v>2</v>
      </c>
      <c r="W69" t="s">
        <v>54</v>
      </c>
      <c r="X69" t="s">
        <v>55</v>
      </c>
      <c r="Y69" t="s">
        <v>97</v>
      </c>
      <c r="AA69" t="s">
        <v>43</v>
      </c>
      <c r="AB69">
        <v>2</v>
      </c>
      <c r="AD69">
        <v>1</v>
      </c>
      <c r="AE69" t="s">
        <v>135</v>
      </c>
      <c r="AF69" t="s">
        <v>99</v>
      </c>
      <c r="AI69">
        <v>7</v>
      </c>
      <c r="AJ69">
        <v>27</v>
      </c>
    </row>
    <row r="70" spans="1:36" x14ac:dyDescent="0.25">
      <c r="A70" t="s">
        <v>314</v>
      </c>
      <c r="B70">
        <v>68</v>
      </c>
      <c r="C70" t="s">
        <v>56</v>
      </c>
      <c r="D70">
        <v>3</v>
      </c>
      <c r="F70">
        <v>1</v>
      </c>
      <c r="G70" t="s">
        <v>57</v>
      </c>
      <c r="H70" t="s">
        <v>122</v>
      </c>
      <c r="I70" t="s">
        <v>87</v>
      </c>
      <c r="K70" t="s">
        <v>227</v>
      </c>
      <c r="L70">
        <v>1</v>
      </c>
      <c r="M70">
        <v>1</v>
      </c>
      <c r="N70">
        <v>1</v>
      </c>
      <c r="O70" t="s">
        <v>228</v>
      </c>
      <c r="P70" t="s">
        <v>231</v>
      </c>
      <c r="S70" t="s">
        <v>53</v>
      </c>
      <c r="T70">
        <v>3</v>
      </c>
      <c r="U70">
        <v>1</v>
      </c>
      <c r="V70">
        <v>1</v>
      </c>
      <c r="W70" t="s">
        <v>54</v>
      </c>
      <c r="AA70" t="s">
        <v>43</v>
      </c>
      <c r="AB70">
        <v>1</v>
      </c>
      <c r="AD70">
        <v>1</v>
      </c>
      <c r="AE70" t="s">
        <v>73</v>
      </c>
      <c r="AF70" t="s">
        <v>136</v>
      </c>
      <c r="AI70">
        <v>8</v>
      </c>
      <c r="AJ70">
        <v>32</v>
      </c>
    </row>
    <row r="71" spans="1:36" x14ac:dyDescent="0.25">
      <c r="A71" t="s">
        <v>315</v>
      </c>
      <c r="B71">
        <v>69</v>
      </c>
      <c r="C71" t="s">
        <v>48</v>
      </c>
      <c r="D71">
        <v>1</v>
      </c>
      <c r="F71">
        <v>1</v>
      </c>
      <c r="G71" t="s">
        <v>49</v>
      </c>
      <c r="K71" t="s">
        <v>33</v>
      </c>
      <c r="L71">
        <v>3</v>
      </c>
      <c r="N71">
        <v>3</v>
      </c>
      <c r="O71" t="s">
        <v>46</v>
      </c>
      <c r="P71" t="s">
        <v>66</v>
      </c>
      <c r="Q71" t="s">
        <v>132</v>
      </c>
      <c r="S71" t="s">
        <v>53</v>
      </c>
      <c r="T71">
        <v>1</v>
      </c>
      <c r="U71">
        <v>1</v>
      </c>
      <c r="V71">
        <v>1</v>
      </c>
      <c r="W71" t="s">
        <v>111</v>
      </c>
      <c r="AA71" t="s">
        <v>43</v>
      </c>
      <c r="AB71">
        <v>3</v>
      </c>
      <c r="AD71">
        <v>3</v>
      </c>
      <c r="AE71" t="s">
        <v>135</v>
      </c>
      <c r="AF71" t="s">
        <v>136</v>
      </c>
      <c r="AI71">
        <v>11</v>
      </c>
      <c r="AJ71">
        <v>32</v>
      </c>
    </row>
    <row r="72" spans="1:36" x14ac:dyDescent="0.25">
      <c r="A72" t="s">
        <v>316</v>
      </c>
      <c r="B72">
        <v>70</v>
      </c>
      <c r="C72" t="s">
        <v>48</v>
      </c>
      <c r="D72">
        <v>1</v>
      </c>
      <c r="F72">
        <v>1</v>
      </c>
      <c r="G72" t="s">
        <v>49</v>
      </c>
      <c r="H72" t="s">
        <v>50</v>
      </c>
      <c r="K72" t="s">
        <v>45</v>
      </c>
      <c r="L72">
        <v>3</v>
      </c>
      <c r="N72">
        <v>1</v>
      </c>
      <c r="O72" t="s">
        <v>47</v>
      </c>
      <c r="P72" t="s">
        <v>141</v>
      </c>
      <c r="S72" t="s">
        <v>53</v>
      </c>
      <c r="T72">
        <v>1</v>
      </c>
      <c r="U72">
        <v>1</v>
      </c>
      <c r="V72">
        <v>1</v>
      </c>
      <c r="W72" t="s">
        <v>54</v>
      </c>
      <c r="AA72" t="s">
        <v>43</v>
      </c>
      <c r="AB72">
        <v>3</v>
      </c>
      <c r="AD72">
        <v>1</v>
      </c>
      <c r="AE72" t="s">
        <v>135</v>
      </c>
      <c r="AI72">
        <v>6</v>
      </c>
      <c r="AJ72">
        <v>20</v>
      </c>
    </row>
    <row r="73" spans="1:36" x14ac:dyDescent="0.25">
      <c r="A73" t="s">
        <v>317</v>
      </c>
      <c r="B73">
        <v>71</v>
      </c>
      <c r="C73" t="s">
        <v>48</v>
      </c>
      <c r="D73">
        <v>2</v>
      </c>
      <c r="F73">
        <v>1</v>
      </c>
      <c r="G73" t="s">
        <v>49</v>
      </c>
      <c r="K73" t="s">
        <v>63</v>
      </c>
      <c r="L73">
        <v>1</v>
      </c>
      <c r="N73">
        <v>1</v>
      </c>
      <c r="O73" t="s">
        <v>103</v>
      </c>
      <c r="S73" t="s">
        <v>53</v>
      </c>
      <c r="T73">
        <v>1</v>
      </c>
      <c r="U73">
        <v>1</v>
      </c>
      <c r="V73">
        <v>1</v>
      </c>
      <c r="W73" t="s">
        <v>54</v>
      </c>
      <c r="X73" t="s">
        <v>113</v>
      </c>
      <c r="AA73" t="s">
        <v>43</v>
      </c>
      <c r="AB73">
        <v>2</v>
      </c>
      <c r="AD73">
        <v>1</v>
      </c>
      <c r="AE73" t="s">
        <v>135</v>
      </c>
      <c r="AI73">
        <v>3</v>
      </c>
      <c r="AJ73">
        <v>26</v>
      </c>
    </row>
    <row r="74" spans="1:36" x14ac:dyDescent="0.25">
      <c r="A74" t="s">
        <v>318</v>
      </c>
      <c r="B74">
        <v>72</v>
      </c>
      <c r="C74" t="s">
        <v>48</v>
      </c>
      <c r="D74">
        <v>2</v>
      </c>
      <c r="F74">
        <v>1</v>
      </c>
      <c r="G74" t="s">
        <v>49</v>
      </c>
      <c r="K74" t="s">
        <v>38</v>
      </c>
      <c r="L74">
        <v>1</v>
      </c>
      <c r="M74">
        <v>1</v>
      </c>
      <c r="N74">
        <v>1</v>
      </c>
      <c r="O74" t="s">
        <v>152</v>
      </c>
      <c r="P74" t="s">
        <v>70</v>
      </c>
      <c r="Q74" t="s">
        <v>41</v>
      </c>
      <c r="S74" t="s">
        <v>53</v>
      </c>
      <c r="T74">
        <v>3</v>
      </c>
      <c r="U74">
        <v>2</v>
      </c>
      <c r="V74">
        <v>1</v>
      </c>
      <c r="W74" t="s">
        <v>54</v>
      </c>
      <c r="AA74" t="s">
        <v>43</v>
      </c>
      <c r="AB74">
        <v>1</v>
      </c>
      <c r="AD74">
        <v>1</v>
      </c>
      <c r="AE74" t="s">
        <v>135</v>
      </c>
      <c r="AF74" t="s">
        <v>136</v>
      </c>
      <c r="AI74">
        <v>7</v>
      </c>
      <c r="AJ74">
        <v>36</v>
      </c>
    </row>
    <row r="75" spans="1:36" x14ac:dyDescent="0.25">
      <c r="A75" t="s">
        <v>319</v>
      </c>
      <c r="B75">
        <v>73</v>
      </c>
      <c r="C75" t="s">
        <v>48</v>
      </c>
      <c r="D75">
        <v>2</v>
      </c>
      <c r="F75">
        <v>1</v>
      </c>
      <c r="G75" t="s">
        <v>49</v>
      </c>
      <c r="K75" t="s">
        <v>227</v>
      </c>
      <c r="L75">
        <v>2</v>
      </c>
      <c r="M75">
        <v>1</v>
      </c>
      <c r="N75">
        <v>1</v>
      </c>
      <c r="O75" t="s">
        <v>228</v>
      </c>
      <c r="S75" t="s">
        <v>53</v>
      </c>
      <c r="T75">
        <v>1</v>
      </c>
      <c r="U75">
        <v>1</v>
      </c>
      <c r="V75">
        <v>1</v>
      </c>
      <c r="W75" t="s">
        <v>54</v>
      </c>
      <c r="AA75" t="s">
        <v>43</v>
      </c>
      <c r="AB75">
        <v>1</v>
      </c>
      <c r="AD75">
        <v>1</v>
      </c>
      <c r="AE75" t="s">
        <v>73</v>
      </c>
      <c r="AF75" t="s">
        <v>136</v>
      </c>
      <c r="AI75">
        <v>3</v>
      </c>
      <c r="AJ75">
        <v>28</v>
      </c>
    </row>
    <row r="76" spans="1:36" x14ac:dyDescent="0.25">
      <c r="A76" t="s">
        <v>320</v>
      </c>
      <c r="B76">
        <v>74</v>
      </c>
      <c r="C76" t="s">
        <v>33</v>
      </c>
      <c r="D76">
        <v>1</v>
      </c>
      <c r="F76">
        <v>1</v>
      </c>
      <c r="G76" t="s">
        <v>46</v>
      </c>
      <c r="K76" t="s">
        <v>45</v>
      </c>
      <c r="L76">
        <v>3</v>
      </c>
      <c r="N76">
        <v>2</v>
      </c>
      <c r="O76" t="s">
        <v>47</v>
      </c>
      <c r="P76" t="s">
        <v>76</v>
      </c>
      <c r="Q76" t="s">
        <v>93</v>
      </c>
      <c r="S76" t="s">
        <v>53</v>
      </c>
      <c r="T76">
        <v>3</v>
      </c>
      <c r="U76">
        <v>1</v>
      </c>
      <c r="V76">
        <v>1</v>
      </c>
      <c r="W76" t="s">
        <v>54</v>
      </c>
      <c r="X76" t="s">
        <v>83</v>
      </c>
      <c r="AA76" t="s">
        <v>43</v>
      </c>
      <c r="AB76">
        <v>1</v>
      </c>
      <c r="AD76">
        <v>1</v>
      </c>
      <c r="AE76" t="s">
        <v>135</v>
      </c>
      <c r="AF76" t="s">
        <v>74</v>
      </c>
      <c r="AI76">
        <v>9</v>
      </c>
      <c r="AJ76">
        <v>26</v>
      </c>
    </row>
    <row r="77" spans="1:36" x14ac:dyDescent="0.25">
      <c r="A77" t="s">
        <v>321</v>
      </c>
      <c r="B77">
        <v>75</v>
      </c>
      <c r="C77" t="s">
        <v>33</v>
      </c>
      <c r="D77">
        <v>3</v>
      </c>
      <c r="F77">
        <v>2</v>
      </c>
      <c r="G77" t="s">
        <v>46</v>
      </c>
      <c r="K77" t="s">
        <v>63</v>
      </c>
      <c r="L77">
        <v>1</v>
      </c>
      <c r="N77">
        <v>1</v>
      </c>
      <c r="O77" t="s">
        <v>103</v>
      </c>
      <c r="S77" t="s">
        <v>53</v>
      </c>
      <c r="T77">
        <v>1</v>
      </c>
      <c r="U77">
        <v>1</v>
      </c>
      <c r="V77">
        <v>1</v>
      </c>
      <c r="W77" t="s">
        <v>54</v>
      </c>
      <c r="AA77" t="s">
        <v>43</v>
      </c>
      <c r="AB77">
        <v>3</v>
      </c>
      <c r="AD77">
        <v>2</v>
      </c>
      <c r="AE77" t="s">
        <v>135</v>
      </c>
      <c r="AF77" t="s">
        <v>136</v>
      </c>
      <c r="AI77">
        <v>7</v>
      </c>
      <c r="AJ77">
        <v>28</v>
      </c>
    </row>
    <row r="78" spans="1:36" x14ac:dyDescent="0.25">
      <c r="A78" t="s">
        <v>322</v>
      </c>
      <c r="B78">
        <v>76</v>
      </c>
      <c r="C78" t="s">
        <v>53</v>
      </c>
      <c r="D78">
        <v>1</v>
      </c>
      <c r="E78">
        <v>1</v>
      </c>
      <c r="F78">
        <v>1</v>
      </c>
      <c r="G78" t="s">
        <v>111</v>
      </c>
      <c r="H78" t="s">
        <v>113</v>
      </c>
      <c r="K78" t="s">
        <v>43</v>
      </c>
      <c r="L78">
        <v>3</v>
      </c>
      <c r="N78">
        <v>1</v>
      </c>
      <c r="O78" t="s">
        <v>135</v>
      </c>
      <c r="P78" t="s">
        <v>136</v>
      </c>
      <c r="Q78" t="s">
        <v>137</v>
      </c>
      <c r="R78" t="s">
        <v>138</v>
      </c>
      <c r="S78" t="s">
        <v>33</v>
      </c>
      <c r="T78">
        <v>2</v>
      </c>
      <c r="V78">
        <v>1</v>
      </c>
      <c r="W78" t="s">
        <v>46</v>
      </c>
      <c r="X78" t="s">
        <v>66</v>
      </c>
      <c r="AA78" t="s">
        <v>38</v>
      </c>
      <c r="AB78">
        <v>1</v>
      </c>
      <c r="AC78">
        <v>1</v>
      </c>
      <c r="AD78">
        <v>1</v>
      </c>
      <c r="AE78" t="s">
        <v>152</v>
      </c>
      <c r="AF78" t="s">
        <v>70</v>
      </c>
      <c r="AI78">
        <v>9</v>
      </c>
      <c r="AJ78">
        <v>58</v>
      </c>
    </row>
    <row r="79" spans="1:36" x14ac:dyDescent="0.25">
      <c r="A79" t="s">
        <v>323</v>
      </c>
      <c r="B79">
        <v>77</v>
      </c>
      <c r="C79" t="s">
        <v>33</v>
      </c>
      <c r="D79">
        <v>2</v>
      </c>
      <c r="F79">
        <v>1</v>
      </c>
      <c r="G79" t="s">
        <v>46</v>
      </c>
      <c r="K79" t="s">
        <v>227</v>
      </c>
      <c r="L79">
        <v>1</v>
      </c>
      <c r="M79">
        <v>1</v>
      </c>
      <c r="N79">
        <v>1</v>
      </c>
      <c r="O79" t="s">
        <v>228</v>
      </c>
      <c r="S79" t="s">
        <v>53</v>
      </c>
      <c r="T79">
        <v>2</v>
      </c>
      <c r="U79">
        <v>1</v>
      </c>
      <c r="V79">
        <v>1</v>
      </c>
      <c r="W79" t="s">
        <v>111</v>
      </c>
      <c r="AA79" t="s">
        <v>43</v>
      </c>
      <c r="AB79">
        <v>1</v>
      </c>
      <c r="AD79">
        <v>1</v>
      </c>
      <c r="AE79" t="s">
        <v>73</v>
      </c>
      <c r="AI79">
        <v>2</v>
      </c>
      <c r="AJ79">
        <v>19</v>
      </c>
    </row>
    <row r="80" spans="1:36" x14ac:dyDescent="0.25">
      <c r="A80" t="s">
        <v>324</v>
      </c>
      <c r="B80">
        <v>78</v>
      </c>
      <c r="C80" t="s">
        <v>45</v>
      </c>
      <c r="D80">
        <v>3</v>
      </c>
      <c r="F80">
        <v>1</v>
      </c>
      <c r="G80" t="s">
        <v>86</v>
      </c>
      <c r="K80" t="s">
        <v>63</v>
      </c>
      <c r="L80">
        <v>1</v>
      </c>
      <c r="N80">
        <v>1</v>
      </c>
      <c r="O80" t="s">
        <v>103</v>
      </c>
      <c r="P80" t="s">
        <v>95</v>
      </c>
      <c r="S80" t="s">
        <v>53</v>
      </c>
      <c r="T80">
        <v>2</v>
      </c>
      <c r="U80">
        <v>1</v>
      </c>
      <c r="V80">
        <v>1</v>
      </c>
      <c r="W80" t="s">
        <v>54</v>
      </c>
      <c r="AA80" t="s">
        <v>43</v>
      </c>
      <c r="AB80">
        <v>1</v>
      </c>
      <c r="AD80">
        <v>1</v>
      </c>
      <c r="AE80" t="s">
        <v>135</v>
      </c>
      <c r="AF80" t="s">
        <v>136</v>
      </c>
      <c r="AI80">
        <v>5</v>
      </c>
      <c r="AJ80">
        <v>31</v>
      </c>
    </row>
    <row r="81" spans="1:36" x14ac:dyDescent="0.25">
      <c r="A81" t="s">
        <v>325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54</v>
      </c>
      <c r="K81" t="s">
        <v>43</v>
      </c>
      <c r="L81">
        <v>1</v>
      </c>
      <c r="N81">
        <v>1</v>
      </c>
      <c r="O81" t="s">
        <v>135</v>
      </c>
      <c r="P81" t="s">
        <v>74</v>
      </c>
      <c r="Q81" t="s">
        <v>137</v>
      </c>
      <c r="S81" t="s">
        <v>45</v>
      </c>
      <c r="T81">
        <v>3</v>
      </c>
      <c r="V81">
        <v>1</v>
      </c>
      <c r="W81" t="s">
        <v>47</v>
      </c>
      <c r="AA81" t="s">
        <v>38</v>
      </c>
      <c r="AB81">
        <v>1</v>
      </c>
      <c r="AC81">
        <v>1</v>
      </c>
      <c r="AD81">
        <v>2</v>
      </c>
      <c r="AE81" t="s">
        <v>152</v>
      </c>
      <c r="AI81">
        <v>6</v>
      </c>
      <c r="AJ81">
        <v>24</v>
      </c>
    </row>
    <row r="82" spans="1:36" x14ac:dyDescent="0.25">
      <c r="A82" t="s">
        <v>326</v>
      </c>
      <c r="B82">
        <v>80</v>
      </c>
      <c r="C82" t="s">
        <v>45</v>
      </c>
      <c r="D82">
        <v>3</v>
      </c>
      <c r="F82">
        <v>2</v>
      </c>
      <c r="G82" t="s">
        <v>47</v>
      </c>
      <c r="K82" t="s">
        <v>227</v>
      </c>
      <c r="L82">
        <v>1</v>
      </c>
      <c r="M82">
        <v>1</v>
      </c>
      <c r="N82">
        <v>2</v>
      </c>
      <c r="O82" t="s">
        <v>228</v>
      </c>
      <c r="S82" t="s">
        <v>53</v>
      </c>
      <c r="T82">
        <v>3</v>
      </c>
      <c r="U82">
        <v>1</v>
      </c>
      <c r="V82">
        <v>1</v>
      </c>
      <c r="W82" t="s">
        <v>54</v>
      </c>
      <c r="AA82" t="s">
        <v>43</v>
      </c>
      <c r="AB82">
        <v>1</v>
      </c>
      <c r="AD82">
        <v>1</v>
      </c>
      <c r="AE82" t="s">
        <v>73</v>
      </c>
      <c r="AF82" t="s">
        <v>136</v>
      </c>
      <c r="AI82">
        <v>7</v>
      </c>
      <c r="AJ82">
        <v>20</v>
      </c>
    </row>
    <row r="83" spans="1:36" x14ac:dyDescent="0.25">
      <c r="A83" t="s">
        <v>327</v>
      </c>
      <c r="B83">
        <v>81</v>
      </c>
      <c r="C83" t="s">
        <v>53</v>
      </c>
      <c r="D83">
        <v>2</v>
      </c>
      <c r="E83">
        <v>1</v>
      </c>
      <c r="F83">
        <v>1</v>
      </c>
      <c r="G83" t="s">
        <v>54</v>
      </c>
      <c r="H83" t="s">
        <v>55</v>
      </c>
      <c r="K83" t="s">
        <v>43</v>
      </c>
      <c r="L83">
        <v>2</v>
      </c>
      <c r="N83">
        <v>1</v>
      </c>
      <c r="O83" t="s">
        <v>135</v>
      </c>
      <c r="P83" t="s">
        <v>74</v>
      </c>
      <c r="S83" t="s">
        <v>63</v>
      </c>
      <c r="T83">
        <v>1</v>
      </c>
      <c r="V83">
        <v>1</v>
      </c>
      <c r="W83" t="s">
        <v>103</v>
      </c>
      <c r="X83" t="s">
        <v>91</v>
      </c>
      <c r="AA83" t="s">
        <v>38</v>
      </c>
      <c r="AB83">
        <v>1</v>
      </c>
      <c r="AC83">
        <v>2</v>
      </c>
      <c r="AD83">
        <v>1</v>
      </c>
      <c r="AE83" t="s">
        <v>152</v>
      </c>
      <c r="AI83">
        <v>6</v>
      </c>
      <c r="AJ83">
        <v>21</v>
      </c>
    </row>
    <row r="84" spans="1:36" x14ac:dyDescent="0.25">
      <c r="A84" t="s">
        <v>328</v>
      </c>
      <c r="B84">
        <v>82</v>
      </c>
      <c r="C84" t="s">
        <v>53</v>
      </c>
      <c r="D84">
        <v>2</v>
      </c>
      <c r="E84">
        <v>1</v>
      </c>
      <c r="F84">
        <v>1</v>
      </c>
      <c r="G84" t="s">
        <v>54</v>
      </c>
      <c r="K84" t="s">
        <v>43</v>
      </c>
      <c r="L84">
        <v>1</v>
      </c>
      <c r="N84">
        <v>1</v>
      </c>
      <c r="O84" t="s">
        <v>73</v>
      </c>
      <c r="P84" t="s">
        <v>99</v>
      </c>
      <c r="Q84" t="s">
        <v>75</v>
      </c>
      <c r="S84" t="s">
        <v>63</v>
      </c>
      <c r="T84">
        <v>1</v>
      </c>
      <c r="V84">
        <v>1</v>
      </c>
      <c r="W84" t="s">
        <v>103</v>
      </c>
      <c r="AA84" t="s">
        <v>227</v>
      </c>
      <c r="AB84">
        <v>1</v>
      </c>
      <c r="AC84">
        <v>1</v>
      </c>
      <c r="AD84">
        <v>1</v>
      </c>
      <c r="AE84" t="s">
        <v>228</v>
      </c>
      <c r="AI84">
        <v>3</v>
      </c>
      <c r="AJ84">
        <v>21</v>
      </c>
    </row>
    <row r="85" spans="1:36" x14ac:dyDescent="0.25">
      <c r="A85" t="s">
        <v>329</v>
      </c>
      <c r="B85">
        <v>83</v>
      </c>
      <c r="C85" t="s">
        <v>53</v>
      </c>
      <c r="D85">
        <v>2</v>
      </c>
      <c r="E85">
        <v>1</v>
      </c>
      <c r="F85">
        <v>2</v>
      </c>
      <c r="G85" t="s">
        <v>54</v>
      </c>
      <c r="H85" t="s">
        <v>55</v>
      </c>
      <c r="K85" t="s">
        <v>43</v>
      </c>
      <c r="L85">
        <v>1</v>
      </c>
      <c r="N85">
        <v>2</v>
      </c>
      <c r="O85" t="s">
        <v>73</v>
      </c>
      <c r="P85" t="s">
        <v>99</v>
      </c>
      <c r="S85" t="s">
        <v>38</v>
      </c>
      <c r="T85">
        <v>3</v>
      </c>
      <c r="U85">
        <v>1</v>
      </c>
      <c r="V85">
        <v>3</v>
      </c>
      <c r="W85" t="s">
        <v>152</v>
      </c>
      <c r="AA85" t="s">
        <v>227</v>
      </c>
      <c r="AB85">
        <v>1</v>
      </c>
      <c r="AC85">
        <v>1</v>
      </c>
      <c r="AD85">
        <v>1</v>
      </c>
      <c r="AE85" t="s">
        <v>228</v>
      </c>
      <c r="AF85" t="s">
        <v>231</v>
      </c>
      <c r="AI85">
        <v>10</v>
      </c>
      <c r="AJ85">
        <v>38</v>
      </c>
    </row>
    <row r="86" spans="1:36" x14ac:dyDescent="0.25">
      <c r="A86" t="s">
        <v>330</v>
      </c>
      <c r="B86">
        <v>84</v>
      </c>
      <c r="C86" t="s">
        <v>53</v>
      </c>
      <c r="D86">
        <v>3</v>
      </c>
      <c r="E86">
        <v>2</v>
      </c>
      <c r="F86">
        <v>1</v>
      </c>
      <c r="G86" t="s">
        <v>54</v>
      </c>
      <c r="H86" t="s">
        <v>83</v>
      </c>
      <c r="K86" t="s">
        <v>45</v>
      </c>
      <c r="L86">
        <v>2</v>
      </c>
      <c r="N86">
        <v>1</v>
      </c>
      <c r="O86" t="s">
        <v>47</v>
      </c>
      <c r="S86" t="s">
        <v>56</v>
      </c>
      <c r="T86">
        <v>1</v>
      </c>
      <c r="V86">
        <v>1</v>
      </c>
      <c r="W86" t="s">
        <v>57</v>
      </c>
      <c r="X86" t="s">
        <v>122</v>
      </c>
      <c r="Y86" t="s">
        <v>85</v>
      </c>
      <c r="AA86" t="s">
        <v>48</v>
      </c>
      <c r="AB86">
        <v>3</v>
      </c>
      <c r="AD86">
        <v>1</v>
      </c>
      <c r="AE86" t="s">
        <v>49</v>
      </c>
      <c r="AF86" t="s">
        <v>84</v>
      </c>
      <c r="AI86">
        <v>10</v>
      </c>
      <c r="AJ86">
        <v>34</v>
      </c>
    </row>
    <row r="87" spans="1:36" x14ac:dyDescent="0.25">
      <c r="A87" t="s">
        <v>331</v>
      </c>
      <c r="B87">
        <v>85</v>
      </c>
      <c r="C87" t="s">
        <v>56</v>
      </c>
      <c r="D87">
        <v>2</v>
      </c>
      <c r="F87">
        <v>1</v>
      </c>
      <c r="G87" t="s">
        <v>68</v>
      </c>
      <c r="H87" t="s">
        <v>122</v>
      </c>
      <c r="K87" t="s">
        <v>33</v>
      </c>
      <c r="L87">
        <v>1</v>
      </c>
      <c r="N87">
        <v>3</v>
      </c>
      <c r="O87" t="s">
        <v>46</v>
      </c>
      <c r="S87" t="s">
        <v>53</v>
      </c>
      <c r="T87">
        <v>2</v>
      </c>
      <c r="U87">
        <v>1</v>
      </c>
      <c r="V87">
        <v>1</v>
      </c>
      <c r="W87" t="s">
        <v>54</v>
      </c>
      <c r="X87" t="s">
        <v>55</v>
      </c>
      <c r="AA87" t="s">
        <v>45</v>
      </c>
      <c r="AB87">
        <v>2</v>
      </c>
      <c r="AD87">
        <v>1</v>
      </c>
      <c r="AE87" t="s">
        <v>47</v>
      </c>
      <c r="AI87">
        <v>7</v>
      </c>
      <c r="AJ87">
        <v>22</v>
      </c>
    </row>
    <row r="88" spans="1:36" x14ac:dyDescent="0.25">
      <c r="A88" t="s">
        <v>332</v>
      </c>
      <c r="B88">
        <v>86</v>
      </c>
      <c r="C88" t="s">
        <v>53</v>
      </c>
      <c r="D88">
        <v>1</v>
      </c>
      <c r="E88">
        <v>1</v>
      </c>
      <c r="F88">
        <v>1</v>
      </c>
      <c r="G88" t="s">
        <v>54</v>
      </c>
      <c r="K88" t="s">
        <v>45</v>
      </c>
      <c r="L88">
        <v>3</v>
      </c>
      <c r="N88">
        <v>2</v>
      </c>
      <c r="O88" t="s">
        <v>47</v>
      </c>
      <c r="S88" t="s">
        <v>56</v>
      </c>
      <c r="T88">
        <v>2</v>
      </c>
      <c r="V88">
        <v>1</v>
      </c>
      <c r="W88" t="s">
        <v>57</v>
      </c>
      <c r="X88" t="s">
        <v>122</v>
      </c>
      <c r="AA88" t="s">
        <v>43</v>
      </c>
      <c r="AB88">
        <v>1</v>
      </c>
      <c r="AD88">
        <v>1</v>
      </c>
      <c r="AE88" t="s">
        <v>135</v>
      </c>
      <c r="AI88">
        <v>5</v>
      </c>
      <c r="AJ88">
        <v>23</v>
      </c>
    </row>
    <row r="89" spans="1:36" x14ac:dyDescent="0.25">
      <c r="A89" t="s">
        <v>333</v>
      </c>
      <c r="B89">
        <v>87</v>
      </c>
      <c r="C89" t="s">
        <v>56</v>
      </c>
      <c r="D89">
        <v>1</v>
      </c>
      <c r="F89">
        <v>1</v>
      </c>
      <c r="G89" t="s">
        <v>57</v>
      </c>
      <c r="K89" t="s">
        <v>63</v>
      </c>
      <c r="L89">
        <v>1</v>
      </c>
      <c r="N89">
        <v>1</v>
      </c>
      <c r="O89" t="s">
        <v>103</v>
      </c>
      <c r="P89" t="s">
        <v>91</v>
      </c>
      <c r="S89" t="s">
        <v>53</v>
      </c>
      <c r="T89">
        <v>3</v>
      </c>
      <c r="U89">
        <v>1</v>
      </c>
      <c r="V89">
        <v>1</v>
      </c>
      <c r="W89" t="s">
        <v>54</v>
      </c>
      <c r="X89" t="s">
        <v>55</v>
      </c>
      <c r="AA89" t="s">
        <v>45</v>
      </c>
      <c r="AB89">
        <v>2</v>
      </c>
      <c r="AD89">
        <v>1</v>
      </c>
      <c r="AE89" t="s">
        <v>47</v>
      </c>
      <c r="AI89">
        <v>5</v>
      </c>
      <c r="AJ89">
        <v>37</v>
      </c>
    </row>
    <row r="90" spans="1:36" x14ac:dyDescent="0.25">
      <c r="A90" t="s">
        <v>334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K90" t="s">
        <v>45</v>
      </c>
      <c r="L90">
        <v>2</v>
      </c>
      <c r="N90">
        <v>1</v>
      </c>
      <c r="O90" t="s">
        <v>47</v>
      </c>
      <c r="S90" t="s">
        <v>56</v>
      </c>
      <c r="T90">
        <v>2</v>
      </c>
      <c r="V90">
        <v>1</v>
      </c>
      <c r="W90" t="s">
        <v>57</v>
      </c>
      <c r="X90" t="s">
        <v>122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4</v>
      </c>
      <c r="AJ90">
        <v>23</v>
      </c>
    </row>
    <row r="91" spans="1:36" x14ac:dyDescent="0.25">
      <c r="A91" t="s">
        <v>335</v>
      </c>
      <c r="B91">
        <v>89</v>
      </c>
      <c r="C91" t="s">
        <v>56</v>
      </c>
      <c r="D91">
        <v>1</v>
      </c>
      <c r="F91">
        <v>1</v>
      </c>
      <c r="G91" t="s">
        <v>57</v>
      </c>
      <c r="H91" t="s">
        <v>122</v>
      </c>
      <c r="K91" t="s">
        <v>227</v>
      </c>
      <c r="L91">
        <v>3</v>
      </c>
      <c r="M91">
        <v>1</v>
      </c>
      <c r="N91">
        <v>1</v>
      </c>
      <c r="O91" t="s">
        <v>228</v>
      </c>
      <c r="S91" t="s">
        <v>53</v>
      </c>
      <c r="T91">
        <v>1</v>
      </c>
      <c r="U91">
        <v>1</v>
      </c>
      <c r="V91">
        <v>1</v>
      </c>
      <c r="W91" t="s">
        <v>54</v>
      </c>
      <c r="X91" t="s">
        <v>83</v>
      </c>
      <c r="AA91" t="s">
        <v>45</v>
      </c>
      <c r="AB91">
        <v>2</v>
      </c>
      <c r="AD91">
        <v>1</v>
      </c>
      <c r="AE91" t="s">
        <v>47</v>
      </c>
      <c r="AI91">
        <v>5</v>
      </c>
      <c r="AJ91">
        <v>28</v>
      </c>
    </row>
    <row r="92" spans="1:36" x14ac:dyDescent="0.25">
      <c r="A92" t="s">
        <v>336</v>
      </c>
      <c r="B92">
        <v>90</v>
      </c>
      <c r="C92" t="s">
        <v>48</v>
      </c>
      <c r="D92">
        <v>2</v>
      </c>
      <c r="F92">
        <v>1</v>
      </c>
      <c r="G92" t="s">
        <v>49</v>
      </c>
      <c r="K92" t="s">
        <v>33</v>
      </c>
      <c r="L92">
        <v>1</v>
      </c>
      <c r="N92">
        <v>2</v>
      </c>
      <c r="O92" t="s">
        <v>46</v>
      </c>
      <c r="S92" t="s">
        <v>53</v>
      </c>
      <c r="T92">
        <v>2</v>
      </c>
      <c r="U92">
        <v>1</v>
      </c>
      <c r="V92">
        <v>2</v>
      </c>
      <c r="W92" t="s">
        <v>54</v>
      </c>
      <c r="X92" t="s">
        <v>55</v>
      </c>
      <c r="AA92" t="s">
        <v>45</v>
      </c>
      <c r="AB92">
        <v>1</v>
      </c>
      <c r="AD92">
        <v>1</v>
      </c>
      <c r="AE92" t="s">
        <v>47</v>
      </c>
      <c r="AI92">
        <v>5</v>
      </c>
      <c r="AJ92">
        <v>28</v>
      </c>
    </row>
    <row r="93" spans="1:36" x14ac:dyDescent="0.25">
      <c r="A93" t="s">
        <v>337</v>
      </c>
      <c r="B93">
        <v>91</v>
      </c>
      <c r="C93" t="s">
        <v>48</v>
      </c>
      <c r="D93">
        <v>1</v>
      </c>
      <c r="F93">
        <v>1</v>
      </c>
      <c r="G93" t="s">
        <v>49</v>
      </c>
      <c r="H93" t="s">
        <v>84</v>
      </c>
      <c r="I93" t="s">
        <v>127</v>
      </c>
      <c r="J93" t="s">
        <v>128</v>
      </c>
      <c r="K93" t="s">
        <v>43</v>
      </c>
      <c r="L93">
        <v>2</v>
      </c>
      <c r="N93">
        <v>2</v>
      </c>
      <c r="O93" t="s">
        <v>135</v>
      </c>
      <c r="P93" t="s">
        <v>136</v>
      </c>
      <c r="S93" t="s">
        <v>53</v>
      </c>
      <c r="T93">
        <v>3</v>
      </c>
      <c r="U93">
        <v>1</v>
      </c>
      <c r="V93">
        <v>1</v>
      </c>
      <c r="W93" t="s">
        <v>54</v>
      </c>
      <c r="AA93" t="s">
        <v>45</v>
      </c>
      <c r="AB93">
        <v>2</v>
      </c>
      <c r="AD93">
        <v>1</v>
      </c>
      <c r="AE93" t="s">
        <v>47</v>
      </c>
      <c r="AI93">
        <v>9</v>
      </c>
      <c r="AJ93">
        <v>29</v>
      </c>
    </row>
    <row r="94" spans="1:36" x14ac:dyDescent="0.25">
      <c r="A94" t="s">
        <v>338</v>
      </c>
      <c r="B94">
        <v>92</v>
      </c>
      <c r="C94" t="s">
        <v>53</v>
      </c>
      <c r="D94">
        <v>2</v>
      </c>
      <c r="E94">
        <v>1</v>
      </c>
      <c r="F94">
        <v>1</v>
      </c>
      <c r="G94" t="s">
        <v>54</v>
      </c>
      <c r="K94" t="s">
        <v>45</v>
      </c>
      <c r="L94">
        <v>2</v>
      </c>
      <c r="N94">
        <v>1</v>
      </c>
      <c r="O94" t="s">
        <v>47</v>
      </c>
      <c r="S94" t="s">
        <v>48</v>
      </c>
      <c r="T94">
        <v>1</v>
      </c>
      <c r="V94">
        <v>1</v>
      </c>
      <c r="W94" t="s">
        <v>49</v>
      </c>
      <c r="AA94" t="s">
        <v>63</v>
      </c>
      <c r="AB94">
        <v>1</v>
      </c>
      <c r="AD94">
        <v>1</v>
      </c>
      <c r="AE94" t="s">
        <v>103</v>
      </c>
      <c r="AI94">
        <v>2</v>
      </c>
      <c r="AJ94">
        <v>24</v>
      </c>
    </row>
    <row r="95" spans="1:36" x14ac:dyDescent="0.25">
      <c r="A95" t="s">
        <v>339</v>
      </c>
      <c r="B95">
        <v>93</v>
      </c>
      <c r="C95" t="s">
        <v>48</v>
      </c>
      <c r="D95">
        <v>1</v>
      </c>
      <c r="F95">
        <v>2</v>
      </c>
      <c r="G95" t="s">
        <v>49</v>
      </c>
      <c r="K95" t="s">
        <v>38</v>
      </c>
      <c r="L95">
        <v>2</v>
      </c>
      <c r="M95">
        <v>1</v>
      </c>
      <c r="N95">
        <v>1</v>
      </c>
      <c r="O95" t="s">
        <v>152</v>
      </c>
      <c r="P95" t="s">
        <v>70</v>
      </c>
      <c r="Q95" t="s">
        <v>41</v>
      </c>
      <c r="S95" t="s">
        <v>53</v>
      </c>
      <c r="T95">
        <v>2</v>
      </c>
      <c r="U95">
        <v>1</v>
      </c>
      <c r="V95">
        <v>1</v>
      </c>
      <c r="W95" t="s">
        <v>54</v>
      </c>
      <c r="AA95" t="s">
        <v>45</v>
      </c>
      <c r="AB95">
        <v>2</v>
      </c>
      <c r="AD95">
        <v>1</v>
      </c>
      <c r="AE95" t="s">
        <v>47</v>
      </c>
      <c r="AI95">
        <v>6</v>
      </c>
      <c r="AJ95">
        <v>30</v>
      </c>
    </row>
    <row r="96" spans="1:36" x14ac:dyDescent="0.25">
      <c r="A96" t="s">
        <v>340</v>
      </c>
      <c r="B96">
        <v>94</v>
      </c>
      <c r="C96" t="s">
        <v>48</v>
      </c>
      <c r="D96">
        <v>3</v>
      </c>
      <c r="F96">
        <v>1</v>
      </c>
      <c r="G96" t="s">
        <v>49</v>
      </c>
      <c r="H96" t="s">
        <v>71</v>
      </c>
      <c r="I96" t="s">
        <v>127</v>
      </c>
      <c r="K96" t="s">
        <v>227</v>
      </c>
      <c r="L96">
        <v>3</v>
      </c>
      <c r="M96">
        <v>1</v>
      </c>
      <c r="N96">
        <v>1</v>
      </c>
      <c r="O96" t="s">
        <v>228</v>
      </c>
      <c r="P96" t="s">
        <v>231</v>
      </c>
      <c r="S96" t="s">
        <v>53</v>
      </c>
      <c r="T96">
        <v>2</v>
      </c>
      <c r="U96">
        <v>3</v>
      </c>
      <c r="V96">
        <v>1</v>
      </c>
      <c r="W96" t="s">
        <v>54</v>
      </c>
      <c r="AA96" t="s">
        <v>45</v>
      </c>
      <c r="AB96">
        <v>2</v>
      </c>
      <c r="AD96">
        <v>1</v>
      </c>
      <c r="AE96" t="s">
        <v>47</v>
      </c>
      <c r="AI96">
        <v>11</v>
      </c>
      <c r="AJ96">
        <v>37</v>
      </c>
    </row>
    <row r="97" spans="1:36" x14ac:dyDescent="0.25">
      <c r="A97" t="s">
        <v>341</v>
      </c>
      <c r="B97">
        <v>95</v>
      </c>
      <c r="C97" t="s">
        <v>33</v>
      </c>
      <c r="D97">
        <v>2</v>
      </c>
      <c r="F97">
        <v>3</v>
      </c>
      <c r="G97" t="s">
        <v>46</v>
      </c>
      <c r="K97" t="s">
        <v>43</v>
      </c>
      <c r="L97">
        <v>2</v>
      </c>
      <c r="N97">
        <v>1</v>
      </c>
      <c r="O97" t="s">
        <v>135</v>
      </c>
      <c r="P97" t="s">
        <v>74</v>
      </c>
      <c r="Q97" t="s">
        <v>137</v>
      </c>
      <c r="R97" t="s">
        <v>139</v>
      </c>
      <c r="S97" t="s">
        <v>53</v>
      </c>
      <c r="T97">
        <v>1</v>
      </c>
      <c r="U97">
        <v>3</v>
      </c>
      <c r="V97">
        <v>1</v>
      </c>
      <c r="W97" t="s">
        <v>54</v>
      </c>
      <c r="X97" t="s">
        <v>113</v>
      </c>
      <c r="AA97" t="s">
        <v>45</v>
      </c>
      <c r="AB97">
        <v>3</v>
      </c>
      <c r="AD97">
        <v>1</v>
      </c>
      <c r="AE97" t="s">
        <v>140</v>
      </c>
      <c r="AI97">
        <v>12</v>
      </c>
      <c r="AJ97">
        <v>27</v>
      </c>
    </row>
    <row r="98" spans="1:36" x14ac:dyDescent="0.25">
      <c r="A98" t="s">
        <v>342</v>
      </c>
      <c r="B98">
        <v>96</v>
      </c>
      <c r="C98" t="s">
        <v>33</v>
      </c>
      <c r="D98">
        <v>1</v>
      </c>
      <c r="F98">
        <v>2</v>
      </c>
      <c r="G98" t="s">
        <v>46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2</v>
      </c>
      <c r="U98">
        <v>1</v>
      </c>
      <c r="V98">
        <v>1</v>
      </c>
      <c r="W98" t="s">
        <v>54</v>
      </c>
      <c r="AA98" t="s">
        <v>45</v>
      </c>
      <c r="AB98">
        <v>2</v>
      </c>
      <c r="AD98">
        <v>1</v>
      </c>
      <c r="AE98" t="s">
        <v>47</v>
      </c>
      <c r="AI98">
        <v>4</v>
      </c>
      <c r="AJ98">
        <v>24</v>
      </c>
    </row>
    <row r="99" spans="1:36" x14ac:dyDescent="0.25">
      <c r="A99" t="s">
        <v>343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K99" t="s">
        <v>45</v>
      </c>
      <c r="L99">
        <v>1</v>
      </c>
      <c r="N99">
        <v>1</v>
      </c>
      <c r="O99" t="s">
        <v>47</v>
      </c>
      <c r="S99" t="s">
        <v>33</v>
      </c>
      <c r="T99">
        <v>1</v>
      </c>
      <c r="V99">
        <v>2</v>
      </c>
      <c r="W99" t="s">
        <v>46</v>
      </c>
      <c r="AA99" t="s">
        <v>38</v>
      </c>
      <c r="AB99">
        <v>1</v>
      </c>
      <c r="AC99">
        <v>2</v>
      </c>
      <c r="AD99">
        <v>1</v>
      </c>
      <c r="AE99" t="s">
        <v>152</v>
      </c>
      <c r="AF99" t="s">
        <v>70</v>
      </c>
      <c r="AI99">
        <v>4</v>
      </c>
      <c r="AJ99">
        <v>29</v>
      </c>
    </row>
    <row r="100" spans="1:36" x14ac:dyDescent="0.25">
      <c r="A100" t="s">
        <v>344</v>
      </c>
      <c r="B100">
        <v>98</v>
      </c>
      <c r="C100" t="s">
        <v>33</v>
      </c>
      <c r="D100">
        <v>1</v>
      </c>
      <c r="F100">
        <v>2</v>
      </c>
      <c r="G100" t="s">
        <v>46</v>
      </c>
      <c r="H100" t="s">
        <v>66</v>
      </c>
      <c r="K100" t="s">
        <v>227</v>
      </c>
      <c r="L100">
        <v>2</v>
      </c>
      <c r="M100">
        <v>1</v>
      </c>
      <c r="N100">
        <v>1</v>
      </c>
      <c r="O100" t="s">
        <v>228</v>
      </c>
      <c r="S100" t="s">
        <v>53</v>
      </c>
      <c r="T100">
        <v>1</v>
      </c>
      <c r="U100">
        <v>1</v>
      </c>
      <c r="V100">
        <v>1</v>
      </c>
      <c r="W100" t="s">
        <v>54</v>
      </c>
      <c r="AA100" t="s">
        <v>45</v>
      </c>
      <c r="AB100">
        <v>2</v>
      </c>
      <c r="AD100">
        <v>1</v>
      </c>
      <c r="AE100" t="s">
        <v>47</v>
      </c>
      <c r="AI100">
        <v>4</v>
      </c>
      <c r="AJ100">
        <v>26</v>
      </c>
    </row>
    <row r="101" spans="1:36" x14ac:dyDescent="0.25">
      <c r="A101" t="s">
        <v>345</v>
      </c>
      <c r="B101">
        <v>99</v>
      </c>
      <c r="C101" t="s">
        <v>53</v>
      </c>
      <c r="D101">
        <v>2</v>
      </c>
      <c r="E101">
        <v>1</v>
      </c>
      <c r="F101">
        <v>1</v>
      </c>
      <c r="G101" t="s">
        <v>54</v>
      </c>
      <c r="K101" t="s">
        <v>45</v>
      </c>
      <c r="L101">
        <v>2</v>
      </c>
      <c r="N101">
        <v>1</v>
      </c>
      <c r="O101" t="s">
        <v>47</v>
      </c>
      <c r="S101" t="s">
        <v>43</v>
      </c>
      <c r="T101">
        <v>1</v>
      </c>
      <c r="V101">
        <v>1</v>
      </c>
      <c r="W101" t="s">
        <v>135</v>
      </c>
      <c r="AA101" t="s">
        <v>63</v>
      </c>
      <c r="AB101">
        <v>1</v>
      </c>
      <c r="AD101">
        <v>1</v>
      </c>
      <c r="AE101" t="s">
        <v>103</v>
      </c>
      <c r="AF101" t="s">
        <v>91</v>
      </c>
      <c r="AI101">
        <v>3</v>
      </c>
      <c r="AJ101">
        <v>22</v>
      </c>
    </row>
    <row r="102" spans="1:36" x14ac:dyDescent="0.25">
      <c r="A102" t="s">
        <v>346</v>
      </c>
      <c r="B102">
        <v>100</v>
      </c>
      <c r="C102" t="s">
        <v>53</v>
      </c>
      <c r="D102">
        <v>1</v>
      </c>
      <c r="E102">
        <v>1</v>
      </c>
      <c r="F102">
        <v>2</v>
      </c>
      <c r="G102" t="s">
        <v>54</v>
      </c>
      <c r="K102" t="s">
        <v>45</v>
      </c>
      <c r="L102">
        <v>1</v>
      </c>
      <c r="N102">
        <v>1</v>
      </c>
      <c r="O102" t="s">
        <v>47</v>
      </c>
      <c r="S102" t="s">
        <v>43</v>
      </c>
      <c r="T102">
        <v>1</v>
      </c>
      <c r="V102">
        <v>1</v>
      </c>
      <c r="W102" t="s">
        <v>135</v>
      </c>
      <c r="X102" t="s">
        <v>74</v>
      </c>
      <c r="AA102" t="s">
        <v>38</v>
      </c>
      <c r="AB102">
        <v>2</v>
      </c>
      <c r="AC102">
        <v>1</v>
      </c>
      <c r="AD102">
        <v>2</v>
      </c>
      <c r="AE102" t="s">
        <v>152</v>
      </c>
      <c r="AI102">
        <v>4</v>
      </c>
      <c r="AJ102">
        <v>31</v>
      </c>
    </row>
    <row r="103" spans="1:36" x14ac:dyDescent="0.25">
      <c r="A103" t="s">
        <v>347</v>
      </c>
      <c r="B103">
        <v>101</v>
      </c>
      <c r="C103" t="s">
        <v>43</v>
      </c>
      <c r="D103">
        <v>1</v>
      </c>
      <c r="F103">
        <v>1</v>
      </c>
      <c r="G103" t="s">
        <v>135</v>
      </c>
      <c r="H103" t="s">
        <v>99</v>
      </c>
      <c r="I103" t="s">
        <v>137</v>
      </c>
      <c r="K103" t="s">
        <v>227</v>
      </c>
      <c r="L103">
        <v>2</v>
      </c>
      <c r="M103">
        <v>1</v>
      </c>
      <c r="N103">
        <v>1</v>
      </c>
      <c r="O103" t="s">
        <v>228</v>
      </c>
      <c r="S103" t="s">
        <v>53</v>
      </c>
      <c r="T103">
        <v>1</v>
      </c>
      <c r="U103">
        <v>1</v>
      </c>
      <c r="V103">
        <v>2</v>
      </c>
      <c r="W103" t="s">
        <v>54</v>
      </c>
      <c r="AA103" t="s">
        <v>45</v>
      </c>
      <c r="AB103">
        <v>1</v>
      </c>
      <c r="AD103">
        <v>1</v>
      </c>
      <c r="AE103" t="s">
        <v>47</v>
      </c>
      <c r="AI103">
        <v>4</v>
      </c>
      <c r="AJ103">
        <v>23</v>
      </c>
    </row>
    <row r="104" spans="1:36" x14ac:dyDescent="0.25">
      <c r="A104" t="s">
        <v>348</v>
      </c>
      <c r="B104">
        <v>102</v>
      </c>
      <c r="C104" t="s">
        <v>63</v>
      </c>
      <c r="D104">
        <v>2</v>
      </c>
      <c r="F104">
        <v>1</v>
      </c>
      <c r="G104" t="s">
        <v>103</v>
      </c>
      <c r="K104" t="s">
        <v>38</v>
      </c>
      <c r="L104">
        <v>3</v>
      </c>
      <c r="M104">
        <v>1</v>
      </c>
      <c r="N104">
        <v>1</v>
      </c>
      <c r="O104" t="s">
        <v>152</v>
      </c>
      <c r="P104" t="s">
        <v>70</v>
      </c>
      <c r="S104" t="s">
        <v>53</v>
      </c>
      <c r="T104">
        <v>1</v>
      </c>
      <c r="U104">
        <v>1</v>
      </c>
      <c r="V104">
        <v>1</v>
      </c>
      <c r="W104" t="s">
        <v>54</v>
      </c>
      <c r="X104" t="s">
        <v>55</v>
      </c>
      <c r="AA104" t="s">
        <v>45</v>
      </c>
      <c r="AB104">
        <v>2</v>
      </c>
      <c r="AD104">
        <v>1</v>
      </c>
      <c r="AE104" t="s">
        <v>47</v>
      </c>
      <c r="AI104">
        <v>6</v>
      </c>
      <c r="AJ104">
        <v>29</v>
      </c>
    </row>
    <row r="105" spans="1:36" x14ac:dyDescent="0.25">
      <c r="A105" t="s">
        <v>349</v>
      </c>
      <c r="B105">
        <v>103</v>
      </c>
      <c r="C105" t="s">
        <v>53</v>
      </c>
      <c r="D105">
        <v>3</v>
      </c>
      <c r="E105">
        <v>2</v>
      </c>
      <c r="F105">
        <v>1</v>
      </c>
      <c r="G105" t="s">
        <v>54</v>
      </c>
      <c r="H105" t="s">
        <v>83</v>
      </c>
      <c r="K105" t="s">
        <v>45</v>
      </c>
      <c r="L105">
        <v>1</v>
      </c>
      <c r="N105">
        <v>1</v>
      </c>
      <c r="O105" t="s">
        <v>47</v>
      </c>
      <c r="S105" t="s">
        <v>63</v>
      </c>
      <c r="T105">
        <v>2</v>
      </c>
      <c r="V105">
        <v>1</v>
      </c>
      <c r="W105" t="s">
        <v>103</v>
      </c>
      <c r="X105" t="s">
        <v>91</v>
      </c>
      <c r="AA105" t="s">
        <v>227</v>
      </c>
      <c r="AB105">
        <v>2</v>
      </c>
      <c r="AC105">
        <v>1</v>
      </c>
      <c r="AD105">
        <v>1</v>
      </c>
      <c r="AE105" t="s">
        <v>228</v>
      </c>
      <c r="AF105" t="s">
        <v>231</v>
      </c>
      <c r="AG105" t="s">
        <v>235</v>
      </c>
      <c r="AI105">
        <v>9</v>
      </c>
      <c r="AJ105">
        <v>31</v>
      </c>
    </row>
    <row r="106" spans="1:36" x14ac:dyDescent="0.25">
      <c r="A106" t="s">
        <v>350</v>
      </c>
      <c r="B106">
        <v>104</v>
      </c>
      <c r="C106" t="s">
        <v>53</v>
      </c>
      <c r="D106">
        <v>1</v>
      </c>
      <c r="E106">
        <v>1</v>
      </c>
      <c r="F106">
        <v>1</v>
      </c>
      <c r="G106" t="s">
        <v>54</v>
      </c>
      <c r="H106" t="s">
        <v>113</v>
      </c>
      <c r="K106" t="s">
        <v>45</v>
      </c>
      <c r="L106">
        <v>2</v>
      </c>
      <c r="N106">
        <v>1</v>
      </c>
      <c r="O106" t="s">
        <v>47</v>
      </c>
      <c r="S106" t="s">
        <v>38</v>
      </c>
      <c r="T106">
        <v>1</v>
      </c>
      <c r="U106">
        <v>1</v>
      </c>
      <c r="V106">
        <v>1</v>
      </c>
      <c r="W106" t="s">
        <v>152</v>
      </c>
      <c r="AA106" t="s">
        <v>227</v>
      </c>
      <c r="AB106">
        <v>2</v>
      </c>
      <c r="AC106">
        <v>1</v>
      </c>
      <c r="AD106">
        <v>1</v>
      </c>
      <c r="AE106" t="s">
        <v>228</v>
      </c>
      <c r="AF106" t="s">
        <v>231</v>
      </c>
      <c r="AI106">
        <v>4</v>
      </c>
      <c r="AJ106">
        <v>26</v>
      </c>
    </row>
    <row r="107" spans="1:36" x14ac:dyDescent="0.25">
      <c r="A107" t="s">
        <v>351</v>
      </c>
      <c r="B107">
        <v>105</v>
      </c>
      <c r="C107" t="s">
        <v>56</v>
      </c>
      <c r="D107">
        <v>2</v>
      </c>
      <c r="F107">
        <v>3</v>
      </c>
      <c r="G107" t="s">
        <v>57</v>
      </c>
      <c r="H107" t="s">
        <v>122</v>
      </c>
      <c r="I107" t="s">
        <v>85</v>
      </c>
      <c r="J107" t="s">
        <v>125</v>
      </c>
      <c r="K107" t="s">
        <v>48</v>
      </c>
      <c r="L107">
        <v>2</v>
      </c>
      <c r="N107">
        <v>2</v>
      </c>
      <c r="O107" t="s">
        <v>49</v>
      </c>
      <c r="S107" t="s">
        <v>53</v>
      </c>
      <c r="T107">
        <v>2</v>
      </c>
      <c r="U107">
        <v>1</v>
      </c>
      <c r="V107">
        <v>1</v>
      </c>
      <c r="W107" t="s">
        <v>54</v>
      </c>
      <c r="AA107" t="s">
        <v>63</v>
      </c>
      <c r="AB107">
        <v>2</v>
      </c>
      <c r="AD107">
        <v>1</v>
      </c>
      <c r="AE107" t="s">
        <v>103</v>
      </c>
      <c r="AF107" t="s">
        <v>91</v>
      </c>
      <c r="AG107" t="s">
        <v>147</v>
      </c>
      <c r="AI107">
        <v>12</v>
      </c>
      <c r="AJ107">
        <v>33</v>
      </c>
    </row>
    <row r="108" spans="1:36" x14ac:dyDescent="0.25">
      <c r="A108" t="s">
        <v>352</v>
      </c>
      <c r="B108">
        <v>106</v>
      </c>
      <c r="C108" t="s">
        <v>56</v>
      </c>
      <c r="D108">
        <v>1</v>
      </c>
      <c r="F108">
        <v>1</v>
      </c>
      <c r="G108" t="s">
        <v>57</v>
      </c>
      <c r="H108" t="s">
        <v>122</v>
      </c>
      <c r="K108" t="s">
        <v>33</v>
      </c>
      <c r="L108">
        <v>3</v>
      </c>
      <c r="N108">
        <v>1</v>
      </c>
      <c r="O108" t="s">
        <v>46</v>
      </c>
      <c r="S108" t="s">
        <v>53</v>
      </c>
      <c r="T108">
        <v>1</v>
      </c>
      <c r="U108">
        <v>1</v>
      </c>
      <c r="V108">
        <v>1</v>
      </c>
      <c r="W108" t="s">
        <v>54</v>
      </c>
      <c r="AA108" t="s">
        <v>63</v>
      </c>
      <c r="AB108">
        <v>2</v>
      </c>
      <c r="AD108">
        <v>1</v>
      </c>
      <c r="AE108" t="s">
        <v>103</v>
      </c>
      <c r="AI108">
        <v>4</v>
      </c>
      <c r="AJ108">
        <v>23</v>
      </c>
    </row>
    <row r="109" spans="1:36" x14ac:dyDescent="0.25">
      <c r="A109" t="s">
        <v>353</v>
      </c>
      <c r="B109">
        <v>107</v>
      </c>
      <c r="C109" t="s">
        <v>56</v>
      </c>
      <c r="D109">
        <v>1</v>
      </c>
      <c r="F109">
        <v>1</v>
      </c>
      <c r="G109" t="s">
        <v>57</v>
      </c>
      <c r="K109" t="s">
        <v>43</v>
      </c>
      <c r="L109">
        <v>3</v>
      </c>
      <c r="N109">
        <v>2</v>
      </c>
      <c r="O109" t="s">
        <v>135</v>
      </c>
      <c r="P109" t="s">
        <v>99</v>
      </c>
      <c r="Q109" t="s">
        <v>75</v>
      </c>
      <c r="R109" t="s">
        <v>138</v>
      </c>
      <c r="S109" t="s">
        <v>53</v>
      </c>
      <c r="T109">
        <v>3</v>
      </c>
      <c r="U109">
        <v>1</v>
      </c>
      <c r="V109">
        <v>2</v>
      </c>
      <c r="W109" t="s">
        <v>54</v>
      </c>
      <c r="X109" t="s">
        <v>83</v>
      </c>
      <c r="Y109" t="s">
        <v>97</v>
      </c>
      <c r="AA109" t="s">
        <v>63</v>
      </c>
      <c r="AB109">
        <v>1</v>
      </c>
      <c r="AD109">
        <v>1</v>
      </c>
      <c r="AE109" t="s">
        <v>72</v>
      </c>
      <c r="AF109" t="s">
        <v>91</v>
      </c>
      <c r="AI109">
        <v>12</v>
      </c>
      <c r="AJ109">
        <v>40</v>
      </c>
    </row>
    <row r="110" spans="1:36" x14ac:dyDescent="0.25">
      <c r="A110" t="s">
        <v>354</v>
      </c>
      <c r="B110">
        <v>108</v>
      </c>
      <c r="C110" t="s">
        <v>56</v>
      </c>
      <c r="D110">
        <v>1</v>
      </c>
      <c r="F110">
        <v>1</v>
      </c>
      <c r="G110" t="s">
        <v>57</v>
      </c>
      <c r="K110" t="s">
        <v>45</v>
      </c>
      <c r="L110">
        <v>3</v>
      </c>
      <c r="N110">
        <v>1</v>
      </c>
      <c r="O110" t="s">
        <v>47</v>
      </c>
      <c r="S110" t="s">
        <v>53</v>
      </c>
      <c r="T110">
        <v>2</v>
      </c>
      <c r="U110">
        <v>1</v>
      </c>
      <c r="V110">
        <v>1</v>
      </c>
      <c r="W110" t="s">
        <v>54</v>
      </c>
      <c r="AA110" t="s">
        <v>63</v>
      </c>
      <c r="AB110">
        <v>2</v>
      </c>
      <c r="AD110">
        <v>1</v>
      </c>
      <c r="AE110" t="s">
        <v>72</v>
      </c>
      <c r="AI110">
        <v>4</v>
      </c>
      <c r="AJ110">
        <v>22</v>
      </c>
    </row>
    <row r="111" spans="1:36" x14ac:dyDescent="0.25">
      <c r="A111" t="s">
        <v>355</v>
      </c>
      <c r="B111">
        <v>109</v>
      </c>
      <c r="C111" t="s">
        <v>53</v>
      </c>
      <c r="D111">
        <v>2</v>
      </c>
      <c r="E111">
        <v>1</v>
      </c>
      <c r="F111">
        <v>1</v>
      </c>
      <c r="G111" t="s">
        <v>54</v>
      </c>
      <c r="H111" t="s">
        <v>55</v>
      </c>
      <c r="K111" t="s">
        <v>63</v>
      </c>
      <c r="L111">
        <v>1</v>
      </c>
      <c r="N111">
        <v>1</v>
      </c>
      <c r="O111" t="s">
        <v>103</v>
      </c>
      <c r="P111" t="s">
        <v>95</v>
      </c>
      <c r="S111" t="s">
        <v>56</v>
      </c>
      <c r="T111">
        <v>2</v>
      </c>
      <c r="V111">
        <v>1</v>
      </c>
      <c r="W111" t="s">
        <v>57</v>
      </c>
      <c r="AA111" t="s">
        <v>38</v>
      </c>
      <c r="AB111">
        <v>1</v>
      </c>
      <c r="AC111">
        <v>1</v>
      </c>
      <c r="AD111">
        <v>2</v>
      </c>
      <c r="AE111" t="s">
        <v>152</v>
      </c>
      <c r="AF111" t="s">
        <v>40</v>
      </c>
      <c r="AI111">
        <v>7</v>
      </c>
      <c r="AJ111">
        <v>34</v>
      </c>
    </row>
    <row r="112" spans="1:36" x14ac:dyDescent="0.25">
      <c r="A112" t="s">
        <v>356</v>
      </c>
      <c r="B112">
        <v>110</v>
      </c>
      <c r="C112" t="s">
        <v>53</v>
      </c>
      <c r="D112">
        <v>2</v>
      </c>
      <c r="E112">
        <v>1</v>
      </c>
      <c r="F112">
        <v>2</v>
      </c>
      <c r="G112" t="s">
        <v>54</v>
      </c>
      <c r="H112" t="s">
        <v>83</v>
      </c>
      <c r="K112" t="s">
        <v>63</v>
      </c>
      <c r="L112">
        <v>2</v>
      </c>
      <c r="N112">
        <v>1</v>
      </c>
      <c r="O112" t="s">
        <v>103</v>
      </c>
      <c r="P112" t="s">
        <v>95</v>
      </c>
      <c r="S112" t="s">
        <v>56</v>
      </c>
      <c r="T112">
        <v>1</v>
      </c>
      <c r="V112">
        <v>1</v>
      </c>
      <c r="W112" t="s">
        <v>57</v>
      </c>
      <c r="X112" t="s">
        <v>122</v>
      </c>
      <c r="AA112" t="s">
        <v>227</v>
      </c>
      <c r="AB112">
        <v>1</v>
      </c>
      <c r="AC112">
        <v>1</v>
      </c>
      <c r="AD112">
        <v>1</v>
      </c>
      <c r="AE112" t="s">
        <v>228</v>
      </c>
      <c r="AI112">
        <v>6</v>
      </c>
      <c r="AJ112">
        <v>33</v>
      </c>
    </row>
    <row r="113" spans="1:36" x14ac:dyDescent="0.25">
      <c r="A113" t="s">
        <v>357</v>
      </c>
      <c r="B113">
        <v>111</v>
      </c>
      <c r="C113" t="s">
        <v>48</v>
      </c>
      <c r="D113">
        <v>1</v>
      </c>
      <c r="F113">
        <v>1</v>
      </c>
      <c r="G113" t="s">
        <v>49</v>
      </c>
      <c r="K113" t="s">
        <v>33</v>
      </c>
      <c r="L113">
        <v>3</v>
      </c>
      <c r="N113">
        <v>1</v>
      </c>
      <c r="O113" t="s">
        <v>46</v>
      </c>
      <c r="P113" t="s">
        <v>66</v>
      </c>
      <c r="S113" t="s">
        <v>53</v>
      </c>
      <c r="T113">
        <v>1</v>
      </c>
      <c r="U113">
        <v>1</v>
      </c>
      <c r="V113">
        <v>1</v>
      </c>
      <c r="W113" t="s">
        <v>111</v>
      </c>
      <c r="AA113" t="s">
        <v>63</v>
      </c>
      <c r="AB113">
        <v>1</v>
      </c>
      <c r="AD113">
        <v>1</v>
      </c>
      <c r="AE113" t="s">
        <v>72</v>
      </c>
      <c r="AI113">
        <v>3</v>
      </c>
      <c r="AJ113">
        <v>25</v>
      </c>
    </row>
    <row r="114" spans="1:36" x14ac:dyDescent="0.25">
      <c r="A114" t="s">
        <v>358</v>
      </c>
      <c r="B114">
        <v>112</v>
      </c>
      <c r="C114" t="s">
        <v>53</v>
      </c>
      <c r="D114">
        <v>3</v>
      </c>
      <c r="E114">
        <v>3</v>
      </c>
      <c r="F114">
        <v>2</v>
      </c>
      <c r="G114" t="s">
        <v>54</v>
      </c>
      <c r="H114" t="s">
        <v>83</v>
      </c>
      <c r="K114" t="s">
        <v>63</v>
      </c>
      <c r="L114">
        <v>2</v>
      </c>
      <c r="N114">
        <v>1</v>
      </c>
      <c r="O114" t="s">
        <v>72</v>
      </c>
      <c r="P114" t="s">
        <v>91</v>
      </c>
      <c r="S114" t="s">
        <v>48</v>
      </c>
      <c r="T114">
        <v>1</v>
      </c>
      <c r="V114">
        <v>1</v>
      </c>
      <c r="W114" t="s">
        <v>49</v>
      </c>
      <c r="AA114" t="s">
        <v>43</v>
      </c>
      <c r="AB114">
        <v>2</v>
      </c>
      <c r="AD114">
        <v>1</v>
      </c>
      <c r="AE114" t="s">
        <v>135</v>
      </c>
      <c r="AF114" t="s">
        <v>99</v>
      </c>
      <c r="AG114" t="s">
        <v>75</v>
      </c>
      <c r="AI114">
        <v>11</v>
      </c>
      <c r="AJ114">
        <v>33</v>
      </c>
    </row>
    <row r="115" spans="1:36" x14ac:dyDescent="0.25">
      <c r="A115" t="s">
        <v>359</v>
      </c>
      <c r="B115">
        <v>113</v>
      </c>
      <c r="C115" t="s">
        <v>48</v>
      </c>
      <c r="D115">
        <v>2</v>
      </c>
      <c r="F115">
        <v>1</v>
      </c>
      <c r="G115" t="s">
        <v>49</v>
      </c>
      <c r="H115" t="s">
        <v>50</v>
      </c>
      <c r="I115" t="s">
        <v>51</v>
      </c>
      <c r="K115" t="s">
        <v>45</v>
      </c>
      <c r="L115">
        <v>3</v>
      </c>
      <c r="N115">
        <v>1</v>
      </c>
      <c r="O115" t="s">
        <v>47</v>
      </c>
      <c r="S115" t="s">
        <v>53</v>
      </c>
      <c r="T115">
        <v>3</v>
      </c>
      <c r="U115">
        <v>2</v>
      </c>
      <c r="V115">
        <v>1</v>
      </c>
      <c r="W115" t="s">
        <v>54</v>
      </c>
      <c r="AA115" t="s">
        <v>63</v>
      </c>
      <c r="AB115">
        <v>2</v>
      </c>
      <c r="AD115">
        <v>1</v>
      </c>
      <c r="AE115" t="s">
        <v>72</v>
      </c>
      <c r="AF115" t="s">
        <v>91</v>
      </c>
      <c r="AI115">
        <v>10</v>
      </c>
      <c r="AJ115">
        <v>25</v>
      </c>
    </row>
    <row r="116" spans="1:36" x14ac:dyDescent="0.25">
      <c r="A116" t="s">
        <v>360</v>
      </c>
      <c r="B116">
        <v>114</v>
      </c>
      <c r="C116" t="s">
        <v>48</v>
      </c>
      <c r="D116">
        <v>3</v>
      </c>
      <c r="F116">
        <v>3</v>
      </c>
      <c r="G116" t="s">
        <v>49</v>
      </c>
      <c r="H116" t="s">
        <v>84</v>
      </c>
      <c r="I116" t="s">
        <v>127</v>
      </c>
      <c r="K116" t="s">
        <v>38</v>
      </c>
      <c r="L116">
        <v>1</v>
      </c>
      <c r="M116">
        <v>1</v>
      </c>
      <c r="N116">
        <v>1</v>
      </c>
      <c r="O116" t="s">
        <v>152</v>
      </c>
      <c r="S116" t="s">
        <v>53</v>
      </c>
      <c r="T116">
        <v>3</v>
      </c>
      <c r="U116">
        <v>1</v>
      </c>
      <c r="V116">
        <v>2</v>
      </c>
      <c r="W116" t="s">
        <v>54</v>
      </c>
      <c r="X116" t="s">
        <v>83</v>
      </c>
      <c r="Y116" t="s">
        <v>114</v>
      </c>
      <c r="AA116" t="s">
        <v>63</v>
      </c>
      <c r="AB116">
        <v>1</v>
      </c>
      <c r="AD116">
        <v>1</v>
      </c>
      <c r="AE116" t="s">
        <v>72</v>
      </c>
      <c r="AI116">
        <v>11</v>
      </c>
      <c r="AJ116">
        <v>39</v>
      </c>
    </row>
    <row r="117" spans="1:36" x14ac:dyDescent="0.25">
      <c r="A117" t="s">
        <v>361</v>
      </c>
      <c r="B117">
        <v>115</v>
      </c>
      <c r="C117" t="s">
        <v>53</v>
      </c>
      <c r="D117">
        <v>2</v>
      </c>
      <c r="E117">
        <v>1</v>
      </c>
      <c r="F117">
        <v>1</v>
      </c>
      <c r="G117" t="s">
        <v>111</v>
      </c>
      <c r="H117" t="s">
        <v>55</v>
      </c>
      <c r="K117" t="s">
        <v>63</v>
      </c>
      <c r="L117">
        <v>2</v>
      </c>
      <c r="N117">
        <v>2</v>
      </c>
      <c r="O117" t="s">
        <v>103</v>
      </c>
      <c r="P117" t="s">
        <v>95</v>
      </c>
      <c r="Q117" t="s">
        <v>147</v>
      </c>
      <c r="S117" t="s">
        <v>48</v>
      </c>
      <c r="T117">
        <v>2</v>
      </c>
      <c r="V117">
        <v>1</v>
      </c>
      <c r="W117" t="s">
        <v>49</v>
      </c>
      <c r="AA117" t="s">
        <v>227</v>
      </c>
      <c r="AB117">
        <v>3</v>
      </c>
      <c r="AC117">
        <v>1</v>
      </c>
      <c r="AD117">
        <v>2</v>
      </c>
      <c r="AE117" t="s">
        <v>228</v>
      </c>
      <c r="AF117" t="s">
        <v>231</v>
      </c>
      <c r="AI117">
        <v>11</v>
      </c>
      <c r="AJ117">
        <v>32</v>
      </c>
    </row>
    <row r="118" spans="1:36" x14ac:dyDescent="0.25">
      <c r="A118" t="s">
        <v>362</v>
      </c>
      <c r="B118">
        <v>116</v>
      </c>
      <c r="C118" t="s">
        <v>33</v>
      </c>
      <c r="D118">
        <v>1</v>
      </c>
      <c r="F118">
        <v>1</v>
      </c>
      <c r="G118" t="s">
        <v>46</v>
      </c>
      <c r="H118" t="s">
        <v>35</v>
      </c>
      <c r="K118" t="s">
        <v>43</v>
      </c>
      <c r="L118">
        <v>1</v>
      </c>
      <c r="N118">
        <v>1</v>
      </c>
      <c r="O118" t="s">
        <v>135</v>
      </c>
      <c r="P118" t="s">
        <v>74</v>
      </c>
      <c r="Q118" t="s">
        <v>137</v>
      </c>
      <c r="S118" t="s">
        <v>53</v>
      </c>
      <c r="T118">
        <v>2</v>
      </c>
      <c r="U118">
        <v>3</v>
      </c>
      <c r="V118">
        <v>1</v>
      </c>
      <c r="W118" t="s">
        <v>54</v>
      </c>
      <c r="AA118" t="s">
        <v>63</v>
      </c>
      <c r="AB118">
        <v>1</v>
      </c>
      <c r="AD118">
        <v>1</v>
      </c>
      <c r="AE118" t="s">
        <v>72</v>
      </c>
      <c r="AI118">
        <v>6</v>
      </c>
      <c r="AJ118">
        <v>29</v>
      </c>
    </row>
    <row r="119" spans="1:36" x14ac:dyDescent="0.25">
      <c r="A119" t="s">
        <v>363</v>
      </c>
      <c r="B119">
        <v>117</v>
      </c>
      <c r="C119" t="s">
        <v>53</v>
      </c>
      <c r="D119">
        <v>1</v>
      </c>
      <c r="E119">
        <v>1</v>
      </c>
      <c r="F119">
        <v>1</v>
      </c>
      <c r="G119" t="s">
        <v>54</v>
      </c>
      <c r="K119" t="s">
        <v>63</v>
      </c>
      <c r="L119">
        <v>3</v>
      </c>
      <c r="N119">
        <v>1</v>
      </c>
      <c r="O119" t="s">
        <v>72</v>
      </c>
      <c r="P119" t="s">
        <v>91</v>
      </c>
      <c r="S119" t="s">
        <v>33</v>
      </c>
      <c r="T119">
        <v>2</v>
      </c>
      <c r="V119">
        <v>1</v>
      </c>
      <c r="W119" t="s">
        <v>46</v>
      </c>
      <c r="AA119" t="s">
        <v>45</v>
      </c>
      <c r="AB119">
        <v>2</v>
      </c>
      <c r="AD119">
        <v>1</v>
      </c>
      <c r="AE119" t="s">
        <v>47</v>
      </c>
      <c r="AI119">
        <v>5</v>
      </c>
      <c r="AJ119">
        <v>23</v>
      </c>
    </row>
    <row r="120" spans="1:36" x14ac:dyDescent="0.25">
      <c r="A120" t="s">
        <v>364</v>
      </c>
      <c r="B120">
        <v>118</v>
      </c>
      <c r="C120" t="s">
        <v>33</v>
      </c>
      <c r="D120">
        <v>3</v>
      </c>
      <c r="F120">
        <v>2</v>
      </c>
      <c r="G120" t="s">
        <v>46</v>
      </c>
      <c r="H120" t="s">
        <v>35</v>
      </c>
      <c r="K120" t="s">
        <v>38</v>
      </c>
      <c r="L120">
        <v>1</v>
      </c>
      <c r="M120">
        <v>1</v>
      </c>
      <c r="N120">
        <v>1</v>
      </c>
      <c r="O120" t="s">
        <v>152</v>
      </c>
      <c r="P120" t="s">
        <v>40</v>
      </c>
      <c r="S120" t="s">
        <v>53</v>
      </c>
      <c r="T120">
        <v>1</v>
      </c>
      <c r="U120">
        <v>1</v>
      </c>
      <c r="V120">
        <v>1</v>
      </c>
      <c r="W120" t="s">
        <v>54</v>
      </c>
      <c r="AA120" t="s">
        <v>63</v>
      </c>
      <c r="AB120">
        <v>2</v>
      </c>
      <c r="AD120">
        <v>1</v>
      </c>
      <c r="AE120" t="s">
        <v>72</v>
      </c>
      <c r="AF120" t="s">
        <v>91</v>
      </c>
      <c r="AI120">
        <v>7</v>
      </c>
      <c r="AJ120">
        <v>47</v>
      </c>
    </row>
    <row r="121" spans="1:36" x14ac:dyDescent="0.25">
      <c r="A121" t="s">
        <v>365</v>
      </c>
      <c r="B121">
        <v>119</v>
      </c>
      <c r="C121" t="s">
        <v>53</v>
      </c>
      <c r="D121">
        <v>1</v>
      </c>
      <c r="E121">
        <v>1</v>
      </c>
      <c r="F121">
        <v>1</v>
      </c>
      <c r="G121" t="s">
        <v>111</v>
      </c>
      <c r="H121" t="s">
        <v>83</v>
      </c>
      <c r="K121" t="s">
        <v>63</v>
      </c>
      <c r="L121">
        <v>3</v>
      </c>
      <c r="N121">
        <v>1</v>
      </c>
      <c r="O121" t="s">
        <v>103</v>
      </c>
      <c r="P121" t="s">
        <v>95</v>
      </c>
      <c r="S121" t="s">
        <v>33</v>
      </c>
      <c r="T121">
        <v>3</v>
      </c>
      <c r="V121">
        <v>3</v>
      </c>
      <c r="W121" t="s">
        <v>46</v>
      </c>
      <c r="AA121" t="s">
        <v>227</v>
      </c>
      <c r="AB121">
        <v>1</v>
      </c>
      <c r="AC121">
        <v>1</v>
      </c>
      <c r="AD121">
        <v>1</v>
      </c>
      <c r="AE121" t="s">
        <v>228</v>
      </c>
      <c r="AI121">
        <v>8</v>
      </c>
      <c r="AJ121">
        <v>26</v>
      </c>
    </row>
    <row r="122" spans="1:36" x14ac:dyDescent="0.25">
      <c r="A122" t="s">
        <v>366</v>
      </c>
      <c r="B122">
        <v>120</v>
      </c>
      <c r="C122" t="s">
        <v>43</v>
      </c>
      <c r="D122">
        <v>3</v>
      </c>
      <c r="F122">
        <v>3</v>
      </c>
      <c r="G122" t="s">
        <v>135</v>
      </c>
      <c r="H122" t="s">
        <v>74</v>
      </c>
      <c r="I122" t="s">
        <v>137</v>
      </c>
      <c r="J122" t="s">
        <v>139</v>
      </c>
      <c r="K122" t="s">
        <v>45</v>
      </c>
      <c r="L122">
        <v>2</v>
      </c>
      <c r="N122">
        <v>1</v>
      </c>
      <c r="O122" t="s">
        <v>47</v>
      </c>
      <c r="S122" t="s">
        <v>53</v>
      </c>
      <c r="T122">
        <v>2</v>
      </c>
      <c r="U122">
        <v>1</v>
      </c>
      <c r="V122">
        <v>2</v>
      </c>
      <c r="W122" t="s">
        <v>54</v>
      </c>
      <c r="X122" t="s">
        <v>83</v>
      </c>
      <c r="AA122" t="s">
        <v>63</v>
      </c>
      <c r="AB122">
        <v>2</v>
      </c>
      <c r="AD122">
        <v>1</v>
      </c>
      <c r="AE122" t="s">
        <v>72</v>
      </c>
      <c r="AF122" t="s">
        <v>91</v>
      </c>
      <c r="AG122" t="s">
        <v>147</v>
      </c>
      <c r="AH122" t="s">
        <v>149</v>
      </c>
      <c r="AI122">
        <v>17</v>
      </c>
      <c r="AJ122">
        <v>80</v>
      </c>
    </row>
    <row r="123" spans="1:36" x14ac:dyDescent="0.25">
      <c r="A123" t="s">
        <v>367</v>
      </c>
      <c r="B123">
        <v>121</v>
      </c>
      <c r="C123" t="s">
        <v>43</v>
      </c>
      <c r="D123">
        <v>1</v>
      </c>
      <c r="F123">
        <v>2</v>
      </c>
      <c r="G123" t="s">
        <v>135</v>
      </c>
      <c r="H123" t="s">
        <v>74</v>
      </c>
      <c r="I123" t="s">
        <v>75</v>
      </c>
      <c r="K123" t="s">
        <v>38</v>
      </c>
      <c r="L123">
        <v>2</v>
      </c>
      <c r="M123">
        <v>3</v>
      </c>
      <c r="N123">
        <v>2</v>
      </c>
      <c r="O123" t="s">
        <v>152</v>
      </c>
      <c r="P123" t="s">
        <v>96</v>
      </c>
      <c r="Q123" t="s">
        <v>154</v>
      </c>
      <c r="R123" t="s">
        <v>42</v>
      </c>
      <c r="S123" t="s">
        <v>53</v>
      </c>
      <c r="T123">
        <v>1</v>
      </c>
      <c r="U123">
        <v>1</v>
      </c>
      <c r="V123">
        <v>1</v>
      </c>
      <c r="W123" t="s">
        <v>54</v>
      </c>
      <c r="AA123" t="s">
        <v>63</v>
      </c>
      <c r="AB123">
        <v>3</v>
      </c>
      <c r="AD123">
        <v>1</v>
      </c>
      <c r="AE123" t="s">
        <v>72</v>
      </c>
      <c r="AF123" t="s">
        <v>95</v>
      </c>
      <c r="AG123" t="s">
        <v>104</v>
      </c>
      <c r="AH123" t="s">
        <v>151</v>
      </c>
      <c r="AI123">
        <v>15</v>
      </c>
      <c r="AJ123">
        <v>39</v>
      </c>
    </row>
    <row r="124" spans="1:36" x14ac:dyDescent="0.25">
      <c r="A124" t="s">
        <v>368</v>
      </c>
      <c r="B124">
        <v>122</v>
      </c>
      <c r="C124" t="s">
        <v>43</v>
      </c>
      <c r="D124">
        <v>3</v>
      </c>
      <c r="F124">
        <v>3</v>
      </c>
      <c r="G124" t="s">
        <v>135</v>
      </c>
      <c r="H124" t="s">
        <v>99</v>
      </c>
      <c r="I124" t="s">
        <v>75</v>
      </c>
      <c r="J124" t="s">
        <v>138</v>
      </c>
      <c r="K124" t="s">
        <v>227</v>
      </c>
      <c r="L124">
        <v>1</v>
      </c>
      <c r="M124">
        <v>1</v>
      </c>
      <c r="N124">
        <v>1</v>
      </c>
      <c r="O124" t="s">
        <v>228</v>
      </c>
      <c r="S124" t="s">
        <v>53</v>
      </c>
      <c r="T124">
        <v>1</v>
      </c>
      <c r="U124">
        <v>1</v>
      </c>
      <c r="V124">
        <v>1</v>
      </c>
      <c r="W124" t="s">
        <v>54</v>
      </c>
      <c r="X124" t="s">
        <v>83</v>
      </c>
      <c r="Y124" t="s">
        <v>105</v>
      </c>
      <c r="AA124" t="s">
        <v>63</v>
      </c>
      <c r="AB124">
        <v>2</v>
      </c>
      <c r="AD124">
        <v>2</v>
      </c>
      <c r="AE124" t="s">
        <v>103</v>
      </c>
      <c r="AF124" t="s">
        <v>95</v>
      </c>
      <c r="AG124" t="s">
        <v>104</v>
      </c>
      <c r="AH124" t="s">
        <v>151</v>
      </c>
      <c r="AI124">
        <v>15</v>
      </c>
      <c r="AJ124">
        <v>91</v>
      </c>
    </row>
    <row r="125" spans="1:36" x14ac:dyDescent="0.25">
      <c r="A125" t="s">
        <v>369</v>
      </c>
      <c r="B125">
        <v>123</v>
      </c>
      <c r="C125" t="s">
        <v>45</v>
      </c>
      <c r="D125">
        <v>3</v>
      </c>
      <c r="F125">
        <v>2</v>
      </c>
      <c r="G125" t="s">
        <v>47</v>
      </c>
      <c r="K125" t="s">
        <v>38</v>
      </c>
      <c r="L125">
        <v>1</v>
      </c>
      <c r="M125">
        <v>1</v>
      </c>
      <c r="N125">
        <v>1</v>
      </c>
      <c r="O125" t="s">
        <v>152</v>
      </c>
      <c r="P125" t="s">
        <v>70</v>
      </c>
      <c r="S125" t="s">
        <v>53</v>
      </c>
      <c r="T125">
        <v>2</v>
      </c>
      <c r="U125">
        <v>1</v>
      </c>
      <c r="V125">
        <v>1</v>
      </c>
      <c r="W125" t="s">
        <v>54</v>
      </c>
      <c r="AA125" t="s">
        <v>63</v>
      </c>
      <c r="AB125">
        <v>1</v>
      </c>
      <c r="AD125">
        <v>1</v>
      </c>
      <c r="AE125" t="s">
        <v>72</v>
      </c>
      <c r="AI125">
        <v>5</v>
      </c>
      <c r="AJ125">
        <v>30</v>
      </c>
    </row>
    <row r="126" spans="1:36" x14ac:dyDescent="0.25">
      <c r="A126" t="s">
        <v>370</v>
      </c>
      <c r="B126">
        <v>124</v>
      </c>
      <c r="C126" t="s">
        <v>45</v>
      </c>
      <c r="D126">
        <v>3</v>
      </c>
      <c r="F126">
        <v>1</v>
      </c>
      <c r="G126" t="s">
        <v>47</v>
      </c>
      <c r="K126" t="s">
        <v>227</v>
      </c>
      <c r="L126">
        <v>3</v>
      </c>
      <c r="M126">
        <v>1</v>
      </c>
      <c r="N126">
        <v>1</v>
      </c>
      <c r="O126" t="s">
        <v>228</v>
      </c>
      <c r="P126" t="s">
        <v>231</v>
      </c>
      <c r="S126" t="s">
        <v>53</v>
      </c>
      <c r="T126">
        <v>2</v>
      </c>
      <c r="U126">
        <v>1</v>
      </c>
      <c r="V126">
        <v>1</v>
      </c>
      <c r="W126" t="s">
        <v>54</v>
      </c>
      <c r="X126" t="s">
        <v>83</v>
      </c>
      <c r="Y126" t="s">
        <v>97</v>
      </c>
      <c r="AA126" t="s">
        <v>63</v>
      </c>
      <c r="AB126">
        <v>1</v>
      </c>
      <c r="AD126">
        <v>1</v>
      </c>
      <c r="AE126" t="s">
        <v>72</v>
      </c>
      <c r="AF126" t="s">
        <v>95</v>
      </c>
      <c r="AI126">
        <v>9</v>
      </c>
      <c r="AJ126">
        <v>25</v>
      </c>
    </row>
    <row r="127" spans="1:36" x14ac:dyDescent="0.25">
      <c r="A127" t="s">
        <v>371</v>
      </c>
      <c r="B127">
        <v>125</v>
      </c>
      <c r="C127" t="s">
        <v>38</v>
      </c>
      <c r="D127">
        <v>1</v>
      </c>
      <c r="E127">
        <v>1</v>
      </c>
      <c r="F127">
        <v>1</v>
      </c>
      <c r="G127" t="s">
        <v>152</v>
      </c>
      <c r="H127" t="s">
        <v>70</v>
      </c>
      <c r="K127" t="s">
        <v>227</v>
      </c>
      <c r="L127">
        <v>3</v>
      </c>
      <c r="M127">
        <v>1</v>
      </c>
      <c r="N127">
        <v>2</v>
      </c>
      <c r="O127" t="s">
        <v>228</v>
      </c>
      <c r="P127" t="s">
        <v>231</v>
      </c>
      <c r="S127" t="s">
        <v>53</v>
      </c>
      <c r="T127">
        <v>3</v>
      </c>
      <c r="U127">
        <v>1</v>
      </c>
      <c r="V127">
        <v>1</v>
      </c>
      <c r="W127" t="s">
        <v>54</v>
      </c>
      <c r="X127" t="s">
        <v>83</v>
      </c>
      <c r="Y127" t="s">
        <v>105</v>
      </c>
      <c r="AA127" t="s">
        <v>63</v>
      </c>
      <c r="AB127">
        <v>1</v>
      </c>
      <c r="AD127">
        <v>1</v>
      </c>
      <c r="AE127" t="s">
        <v>103</v>
      </c>
      <c r="AI127">
        <v>9</v>
      </c>
      <c r="AJ127">
        <v>23</v>
      </c>
    </row>
    <row r="128" spans="1:36" x14ac:dyDescent="0.25">
      <c r="A128" t="s">
        <v>372</v>
      </c>
      <c r="B128">
        <v>126</v>
      </c>
      <c r="C128" t="s">
        <v>56</v>
      </c>
      <c r="D128">
        <v>1</v>
      </c>
      <c r="F128">
        <v>1</v>
      </c>
      <c r="G128" t="s">
        <v>57</v>
      </c>
      <c r="H128" t="s">
        <v>122</v>
      </c>
      <c r="I128" t="s">
        <v>85</v>
      </c>
      <c r="K128" t="s">
        <v>48</v>
      </c>
      <c r="L128">
        <v>3</v>
      </c>
      <c r="N128">
        <v>1</v>
      </c>
      <c r="O128" t="s">
        <v>49</v>
      </c>
      <c r="P128" t="s">
        <v>71</v>
      </c>
      <c r="S128" t="s">
        <v>53</v>
      </c>
      <c r="T128">
        <v>2</v>
      </c>
      <c r="U128">
        <v>1</v>
      </c>
      <c r="V128">
        <v>1</v>
      </c>
      <c r="W128" t="s">
        <v>54</v>
      </c>
      <c r="AA128" t="s">
        <v>38</v>
      </c>
      <c r="AB128">
        <v>1</v>
      </c>
      <c r="AC128">
        <v>1</v>
      </c>
      <c r="AD128">
        <v>3</v>
      </c>
      <c r="AE128" t="s">
        <v>67</v>
      </c>
      <c r="AF128" t="s">
        <v>96</v>
      </c>
      <c r="AG128" t="s">
        <v>154</v>
      </c>
      <c r="AH128" t="s">
        <v>42</v>
      </c>
      <c r="AI128">
        <v>11</v>
      </c>
      <c r="AJ128">
        <v>38</v>
      </c>
    </row>
    <row r="129" spans="1:36" x14ac:dyDescent="0.25">
      <c r="A129" t="s">
        <v>373</v>
      </c>
      <c r="B129">
        <v>127</v>
      </c>
      <c r="C129" t="s">
        <v>56</v>
      </c>
      <c r="D129">
        <v>1</v>
      </c>
      <c r="F129">
        <v>1</v>
      </c>
      <c r="G129" t="s">
        <v>57</v>
      </c>
      <c r="K129" t="s">
        <v>33</v>
      </c>
      <c r="L129">
        <v>2</v>
      </c>
      <c r="N129">
        <v>2</v>
      </c>
      <c r="O129" t="s">
        <v>46</v>
      </c>
      <c r="S129" t="s">
        <v>53</v>
      </c>
      <c r="T129">
        <v>2</v>
      </c>
      <c r="U129">
        <v>1</v>
      </c>
      <c r="V129">
        <v>1</v>
      </c>
      <c r="W129" t="s">
        <v>54</v>
      </c>
      <c r="X129" t="s">
        <v>55</v>
      </c>
      <c r="AA129" t="s">
        <v>38</v>
      </c>
      <c r="AB129">
        <v>1</v>
      </c>
      <c r="AC129">
        <v>1</v>
      </c>
      <c r="AD129">
        <v>1</v>
      </c>
      <c r="AE129" t="s">
        <v>67</v>
      </c>
      <c r="AF129" t="s">
        <v>96</v>
      </c>
      <c r="AI129">
        <v>5</v>
      </c>
      <c r="AJ129">
        <v>26</v>
      </c>
    </row>
    <row r="130" spans="1:36" x14ac:dyDescent="0.25">
      <c r="A130" t="s">
        <v>374</v>
      </c>
      <c r="B130">
        <v>128</v>
      </c>
      <c r="C130" t="s">
        <v>53</v>
      </c>
      <c r="D130">
        <v>3</v>
      </c>
      <c r="E130">
        <v>2</v>
      </c>
      <c r="F130">
        <v>2</v>
      </c>
      <c r="G130" t="s">
        <v>54</v>
      </c>
      <c r="H130" t="s">
        <v>83</v>
      </c>
      <c r="I130" t="s">
        <v>114</v>
      </c>
      <c r="J130" t="s">
        <v>98</v>
      </c>
      <c r="K130" t="s">
        <v>38</v>
      </c>
      <c r="L130">
        <v>1</v>
      </c>
      <c r="M130">
        <v>1</v>
      </c>
      <c r="N130">
        <v>2</v>
      </c>
      <c r="O130" t="s">
        <v>67</v>
      </c>
      <c r="S130" t="s">
        <v>56</v>
      </c>
      <c r="T130">
        <v>1</v>
      </c>
      <c r="V130">
        <v>1</v>
      </c>
      <c r="W130" t="s">
        <v>57</v>
      </c>
      <c r="X130" t="s">
        <v>121</v>
      </c>
      <c r="Y130" t="s">
        <v>85</v>
      </c>
      <c r="AA130" t="s">
        <v>43</v>
      </c>
      <c r="AB130">
        <v>1</v>
      </c>
      <c r="AD130">
        <v>1</v>
      </c>
      <c r="AE130" t="s">
        <v>135</v>
      </c>
      <c r="AF130" t="s">
        <v>136</v>
      </c>
      <c r="AG130" t="s">
        <v>75</v>
      </c>
      <c r="AI130">
        <v>12</v>
      </c>
      <c r="AJ130">
        <v>35</v>
      </c>
    </row>
    <row r="131" spans="1:36" x14ac:dyDescent="0.25">
      <c r="A131" t="s">
        <v>375</v>
      </c>
      <c r="B131">
        <v>129</v>
      </c>
      <c r="C131" t="s">
        <v>53</v>
      </c>
      <c r="D131">
        <v>2</v>
      </c>
      <c r="E131">
        <v>1</v>
      </c>
      <c r="F131">
        <v>1</v>
      </c>
      <c r="G131" t="s">
        <v>54</v>
      </c>
      <c r="H131" t="s">
        <v>83</v>
      </c>
      <c r="I131" t="s">
        <v>114</v>
      </c>
      <c r="K131" t="s">
        <v>38</v>
      </c>
      <c r="L131">
        <v>2</v>
      </c>
      <c r="M131">
        <v>1</v>
      </c>
      <c r="N131">
        <v>2</v>
      </c>
      <c r="O131" t="s">
        <v>67</v>
      </c>
      <c r="P131" t="s">
        <v>70</v>
      </c>
      <c r="S131" t="s">
        <v>56</v>
      </c>
      <c r="T131">
        <v>2</v>
      </c>
      <c r="V131">
        <v>3</v>
      </c>
      <c r="W131" t="s">
        <v>57</v>
      </c>
      <c r="X131" t="s">
        <v>122</v>
      </c>
      <c r="AA131" t="s">
        <v>45</v>
      </c>
      <c r="AB131">
        <v>3</v>
      </c>
      <c r="AD131">
        <v>2</v>
      </c>
      <c r="AE131" t="s">
        <v>47</v>
      </c>
      <c r="AI131">
        <v>13</v>
      </c>
      <c r="AJ131">
        <v>41</v>
      </c>
    </row>
    <row r="132" spans="1:36" x14ac:dyDescent="0.25">
      <c r="A132" t="s">
        <v>376</v>
      </c>
      <c r="B132">
        <v>130</v>
      </c>
      <c r="C132" t="s">
        <v>53</v>
      </c>
      <c r="D132">
        <v>3</v>
      </c>
      <c r="E132">
        <v>3</v>
      </c>
      <c r="F132">
        <v>1</v>
      </c>
      <c r="G132" t="s">
        <v>54</v>
      </c>
      <c r="H132" t="s">
        <v>83</v>
      </c>
      <c r="K132" t="s">
        <v>38</v>
      </c>
      <c r="L132">
        <v>1</v>
      </c>
      <c r="M132">
        <v>1</v>
      </c>
      <c r="N132">
        <v>1</v>
      </c>
      <c r="O132" t="s">
        <v>152</v>
      </c>
      <c r="P132" t="s">
        <v>40</v>
      </c>
      <c r="S132" t="s">
        <v>56</v>
      </c>
      <c r="T132">
        <v>2</v>
      </c>
      <c r="V132">
        <v>1</v>
      </c>
      <c r="W132" t="s">
        <v>57</v>
      </c>
      <c r="X132" t="s">
        <v>122</v>
      </c>
      <c r="Y132" t="s">
        <v>85</v>
      </c>
      <c r="AA132" t="s">
        <v>63</v>
      </c>
      <c r="AB132">
        <v>1</v>
      </c>
      <c r="AD132">
        <v>1</v>
      </c>
      <c r="AE132" t="s">
        <v>103</v>
      </c>
      <c r="AF132" t="s">
        <v>91</v>
      </c>
      <c r="AI132">
        <v>10</v>
      </c>
      <c r="AJ132">
        <v>28</v>
      </c>
    </row>
    <row r="133" spans="1:36" x14ac:dyDescent="0.25">
      <c r="A133" t="s">
        <v>377</v>
      </c>
      <c r="B133">
        <v>131</v>
      </c>
      <c r="C133" t="s">
        <v>53</v>
      </c>
      <c r="D133">
        <v>2</v>
      </c>
      <c r="E133">
        <v>1</v>
      </c>
      <c r="F133">
        <v>1</v>
      </c>
      <c r="G133" t="s">
        <v>54</v>
      </c>
      <c r="K133" t="s">
        <v>38</v>
      </c>
      <c r="L133">
        <v>1</v>
      </c>
      <c r="M133">
        <v>1</v>
      </c>
      <c r="N133">
        <v>2</v>
      </c>
      <c r="O133" t="s">
        <v>152</v>
      </c>
      <c r="P133" t="s">
        <v>70</v>
      </c>
      <c r="S133" t="s">
        <v>56</v>
      </c>
      <c r="T133">
        <v>1</v>
      </c>
      <c r="V133">
        <v>1</v>
      </c>
      <c r="W133" t="s">
        <v>57</v>
      </c>
      <c r="X133" t="s">
        <v>122</v>
      </c>
      <c r="AA133" t="s">
        <v>227</v>
      </c>
      <c r="AB133">
        <v>1</v>
      </c>
      <c r="AC133">
        <v>1</v>
      </c>
      <c r="AD133">
        <v>1</v>
      </c>
      <c r="AE133" t="s">
        <v>228</v>
      </c>
      <c r="AF133" t="s">
        <v>231</v>
      </c>
      <c r="AG133" t="s">
        <v>236</v>
      </c>
      <c r="AI133">
        <v>6</v>
      </c>
      <c r="AJ133">
        <v>37</v>
      </c>
    </row>
    <row r="134" spans="1:36" x14ac:dyDescent="0.25">
      <c r="A134" t="s">
        <v>378</v>
      </c>
      <c r="B134">
        <v>132</v>
      </c>
      <c r="C134" t="s">
        <v>48</v>
      </c>
      <c r="D134">
        <v>1</v>
      </c>
      <c r="F134">
        <v>1</v>
      </c>
      <c r="G134" t="s">
        <v>49</v>
      </c>
      <c r="H134" t="s">
        <v>71</v>
      </c>
      <c r="K134" t="s">
        <v>33</v>
      </c>
      <c r="L134">
        <v>2</v>
      </c>
      <c r="N134">
        <v>1</v>
      </c>
      <c r="O134" t="s">
        <v>46</v>
      </c>
      <c r="S134" t="s">
        <v>53</v>
      </c>
      <c r="T134">
        <v>2</v>
      </c>
      <c r="U134">
        <v>1</v>
      </c>
      <c r="V134">
        <v>1</v>
      </c>
      <c r="W134" t="s">
        <v>54</v>
      </c>
      <c r="AA134" t="s">
        <v>38</v>
      </c>
      <c r="AB134">
        <v>1</v>
      </c>
      <c r="AC134">
        <v>1</v>
      </c>
      <c r="AD134">
        <v>1</v>
      </c>
      <c r="AE134" t="s">
        <v>152</v>
      </c>
      <c r="AI134">
        <v>3</v>
      </c>
      <c r="AJ134">
        <v>19</v>
      </c>
    </row>
    <row r="135" spans="1:36" x14ac:dyDescent="0.25">
      <c r="A135" t="s">
        <v>379</v>
      </c>
      <c r="B135">
        <v>133</v>
      </c>
      <c r="C135" t="s">
        <v>48</v>
      </c>
      <c r="D135">
        <v>1</v>
      </c>
      <c r="F135">
        <v>1</v>
      </c>
      <c r="G135" t="s">
        <v>49</v>
      </c>
      <c r="H135" t="s">
        <v>71</v>
      </c>
      <c r="I135" t="s">
        <v>51</v>
      </c>
      <c r="K135" t="s">
        <v>43</v>
      </c>
      <c r="L135">
        <v>1</v>
      </c>
      <c r="N135">
        <v>1</v>
      </c>
      <c r="O135" t="s">
        <v>135</v>
      </c>
      <c r="P135" t="s">
        <v>99</v>
      </c>
      <c r="Q135" t="s">
        <v>100</v>
      </c>
      <c r="S135" t="s">
        <v>53</v>
      </c>
      <c r="T135">
        <v>3</v>
      </c>
      <c r="U135">
        <v>1</v>
      </c>
      <c r="V135">
        <v>2</v>
      </c>
      <c r="W135" t="s">
        <v>54</v>
      </c>
      <c r="X135" t="s">
        <v>55</v>
      </c>
      <c r="Y135" t="s">
        <v>97</v>
      </c>
      <c r="AA135" t="s">
        <v>38</v>
      </c>
      <c r="AB135">
        <v>1</v>
      </c>
      <c r="AC135">
        <v>1</v>
      </c>
      <c r="AD135">
        <v>1</v>
      </c>
      <c r="AE135" t="s">
        <v>67</v>
      </c>
      <c r="AI135">
        <v>9</v>
      </c>
      <c r="AJ135">
        <v>32</v>
      </c>
    </row>
    <row r="136" spans="1:36" x14ac:dyDescent="0.25">
      <c r="A136" t="s">
        <v>380</v>
      </c>
      <c r="B136">
        <v>134</v>
      </c>
      <c r="C136" t="s">
        <v>53</v>
      </c>
      <c r="D136">
        <v>2</v>
      </c>
      <c r="E136">
        <v>1</v>
      </c>
      <c r="F136">
        <v>1</v>
      </c>
      <c r="G136" t="s">
        <v>54</v>
      </c>
      <c r="K136" t="s">
        <v>38</v>
      </c>
      <c r="L136">
        <v>1</v>
      </c>
      <c r="M136">
        <v>1</v>
      </c>
      <c r="N136">
        <v>1</v>
      </c>
      <c r="O136" t="s">
        <v>67</v>
      </c>
      <c r="S136" t="s">
        <v>48</v>
      </c>
      <c r="T136">
        <v>2</v>
      </c>
      <c r="V136">
        <v>1</v>
      </c>
      <c r="W136" t="s">
        <v>49</v>
      </c>
      <c r="AA136" t="s">
        <v>45</v>
      </c>
      <c r="AB136">
        <v>2</v>
      </c>
      <c r="AD136">
        <v>1</v>
      </c>
      <c r="AE136" t="s">
        <v>47</v>
      </c>
      <c r="AI136">
        <v>3</v>
      </c>
      <c r="AJ136">
        <v>21</v>
      </c>
    </row>
    <row r="137" spans="1:36" x14ac:dyDescent="0.25">
      <c r="A137" t="s">
        <v>381</v>
      </c>
      <c r="B137">
        <v>135</v>
      </c>
      <c r="C137" t="s">
        <v>48</v>
      </c>
      <c r="D137">
        <v>2</v>
      </c>
      <c r="F137">
        <v>1</v>
      </c>
      <c r="G137" t="s">
        <v>49</v>
      </c>
      <c r="H137" t="s">
        <v>71</v>
      </c>
      <c r="K137" t="s">
        <v>63</v>
      </c>
      <c r="L137">
        <v>1</v>
      </c>
      <c r="N137">
        <v>1</v>
      </c>
      <c r="O137" t="s">
        <v>103</v>
      </c>
      <c r="P137" t="s">
        <v>95</v>
      </c>
      <c r="S137" t="s">
        <v>53</v>
      </c>
      <c r="T137">
        <v>2</v>
      </c>
      <c r="U137">
        <v>3</v>
      </c>
      <c r="V137">
        <v>1</v>
      </c>
      <c r="W137" t="s">
        <v>111</v>
      </c>
      <c r="AA137" t="s">
        <v>38</v>
      </c>
      <c r="AB137">
        <v>1</v>
      </c>
      <c r="AC137">
        <v>1</v>
      </c>
      <c r="AD137">
        <v>1</v>
      </c>
      <c r="AE137" t="s">
        <v>67</v>
      </c>
      <c r="AI137">
        <v>6</v>
      </c>
      <c r="AJ137">
        <v>26</v>
      </c>
    </row>
    <row r="138" spans="1:36" x14ac:dyDescent="0.25">
      <c r="A138" t="s">
        <v>382</v>
      </c>
      <c r="B138">
        <v>136</v>
      </c>
      <c r="C138" t="s">
        <v>48</v>
      </c>
      <c r="D138">
        <v>2</v>
      </c>
      <c r="F138">
        <v>1</v>
      </c>
      <c r="G138" t="s">
        <v>49</v>
      </c>
      <c r="K138" t="s">
        <v>227</v>
      </c>
      <c r="L138">
        <v>2</v>
      </c>
      <c r="M138">
        <v>1</v>
      </c>
      <c r="N138">
        <v>1</v>
      </c>
      <c r="O138" t="s">
        <v>228</v>
      </c>
      <c r="S138" t="s">
        <v>53</v>
      </c>
      <c r="T138">
        <v>2</v>
      </c>
      <c r="U138">
        <v>1</v>
      </c>
      <c r="V138">
        <v>1</v>
      </c>
      <c r="W138" t="s">
        <v>54</v>
      </c>
      <c r="AA138" t="s">
        <v>38</v>
      </c>
      <c r="AB138">
        <v>1</v>
      </c>
      <c r="AC138">
        <v>1</v>
      </c>
      <c r="AD138">
        <v>1</v>
      </c>
      <c r="AE138" t="s">
        <v>152</v>
      </c>
      <c r="AF138" t="s">
        <v>70</v>
      </c>
      <c r="AI138">
        <v>4</v>
      </c>
      <c r="AJ138">
        <v>28</v>
      </c>
    </row>
    <row r="139" spans="1:36" x14ac:dyDescent="0.25">
      <c r="A139" t="s">
        <v>383</v>
      </c>
      <c r="B139">
        <v>137</v>
      </c>
      <c r="C139" t="s">
        <v>33</v>
      </c>
      <c r="D139">
        <v>1</v>
      </c>
      <c r="F139">
        <v>3</v>
      </c>
      <c r="G139" t="s">
        <v>46</v>
      </c>
      <c r="H139" t="s">
        <v>66</v>
      </c>
      <c r="K139" t="s">
        <v>43</v>
      </c>
      <c r="L139">
        <v>1</v>
      </c>
      <c r="N139">
        <v>1</v>
      </c>
      <c r="O139" t="s">
        <v>135</v>
      </c>
      <c r="P139" t="s">
        <v>74</v>
      </c>
      <c r="S139" t="s">
        <v>53</v>
      </c>
      <c r="T139">
        <v>3</v>
      </c>
      <c r="U139">
        <v>3</v>
      </c>
      <c r="V139">
        <v>1</v>
      </c>
      <c r="W139" t="s">
        <v>54</v>
      </c>
      <c r="AA139" t="s">
        <v>38</v>
      </c>
      <c r="AB139">
        <v>1</v>
      </c>
      <c r="AC139">
        <v>1</v>
      </c>
      <c r="AD139">
        <v>2</v>
      </c>
      <c r="AE139" t="s">
        <v>67</v>
      </c>
      <c r="AF139" t="s">
        <v>70</v>
      </c>
      <c r="AI139">
        <v>10</v>
      </c>
      <c r="AJ139">
        <v>41</v>
      </c>
    </row>
    <row r="140" spans="1:36" x14ac:dyDescent="0.25">
      <c r="A140" t="s">
        <v>384</v>
      </c>
      <c r="B140">
        <v>138</v>
      </c>
      <c r="C140" t="s">
        <v>53</v>
      </c>
      <c r="D140">
        <v>2</v>
      </c>
      <c r="E140">
        <v>1</v>
      </c>
      <c r="F140">
        <v>1</v>
      </c>
      <c r="G140" t="s">
        <v>54</v>
      </c>
      <c r="K140" t="s">
        <v>38</v>
      </c>
      <c r="L140">
        <v>1</v>
      </c>
      <c r="M140">
        <v>1</v>
      </c>
      <c r="N140">
        <v>2</v>
      </c>
      <c r="O140" t="s">
        <v>67</v>
      </c>
      <c r="S140" t="s">
        <v>33</v>
      </c>
      <c r="T140">
        <v>1</v>
      </c>
      <c r="V140">
        <v>2</v>
      </c>
      <c r="W140" t="s">
        <v>46</v>
      </c>
      <c r="AA140" t="s">
        <v>45</v>
      </c>
      <c r="AB140">
        <v>2</v>
      </c>
      <c r="AD140">
        <v>1</v>
      </c>
      <c r="AE140" t="s">
        <v>47</v>
      </c>
      <c r="AI140">
        <v>4</v>
      </c>
      <c r="AJ140">
        <v>14</v>
      </c>
    </row>
    <row r="141" spans="1:36" x14ac:dyDescent="0.25">
      <c r="A141" t="s">
        <v>385</v>
      </c>
      <c r="B141">
        <v>139</v>
      </c>
      <c r="C141" t="s">
        <v>33</v>
      </c>
      <c r="D141">
        <v>2</v>
      </c>
      <c r="F141">
        <v>1</v>
      </c>
      <c r="G141" t="s">
        <v>46</v>
      </c>
      <c r="K141" t="s">
        <v>63</v>
      </c>
      <c r="L141">
        <v>1</v>
      </c>
      <c r="N141">
        <v>1</v>
      </c>
      <c r="O141" t="s">
        <v>103</v>
      </c>
      <c r="P141" t="s">
        <v>95</v>
      </c>
      <c r="S141" t="s">
        <v>53</v>
      </c>
      <c r="T141">
        <v>2</v>
      </c>
      <c r="U141">
        <v>3</v>
      </c>
      <c r="V141">
        <v>1</v>
      </c>
      <c r="W141" t="s">
        <v>54</v>
      </c>
      <c r="AA141" t="s">
        <v>38</v>
      </c>
      <c r="AB141">
        <v>1</v>
      </c>
      <c r="AC141">
        <v>1</v>
      </c>
      <c r="AD141">
        <v>1</v>
      </c>
      <c r="AE141" t="s">
        <v>152</v>
      </c>
      <c r="AI141">
        <v>5</v>
      </c>
      <c r="AJ141">
        <v>21</v>
      </c>
    </row>
    <row r="142" spans="1:36" x14ac:dyDescent="0.25">
      <c r="A142" t="s">
        <v>386</v>
      </c>
      <c r="B142">
        <v>140</v>
      </c>
      <c r="C142" t="s">
        <v>53</v>
      </c>
      <c r="D142">
        <v>1</v>
      </c>
      <c r="E142">
        <v>1</v>
      </c>
      <c r="F142">
        <v>2</v>
      </c>
      <c r="G142" t="s">
        <v>54</v>
      </c>
      <c r="H142" t="s">
        <v>55</v>
      </c>
      <c r="K142" t="s">
        <v>38</v>
      </c>
      <c r="L142">
        <v>1</v>
      </c>
      <c r="M142">
        <v>1</v>
      </c>
      <c r="N142">
        <v>1</v>
      </c>
      <c r="O142" t="s">
        <v>152</v>
      </c>
      <c r="P142" t="s">
        <v>70</v>
      </c>
      <c r="S142" t="s">
        <v>33</v>
      </c>
      <c r="T142">
        <v>2</v>
      </c>
      <c r="V142">
        <v>1</v>
      </c>
      <c r="W142" t="s">
        <v>46</v>
      </c>
      <c r="AA142" t="s">
        <v>227</v>
      </c>
      <c r="AB142">
        <v>1</v>
      </c>
      <c r="AC142">
        <v>1</v>
      </c>
      <c r="AD142">
        <v>1</v>
      </c>
      <c r="AE142" t="s">
        <v>228</v>
      </c>
      <c r="AI142">
        <v>4</v>
      </c>
      <c r="AJ142">
        <v>17</v>
      </c>
    </row>
    <row r="143" spans="1:36" x14ac:dyDescent="0.25">
      <c r="A143" t="s">
        <v>387</v>
      </c>
      <c r="B143">
        <v>141</v>
      </c>
      <c r="C143" t="s">
        <v>43</v>
      </c>
      <c r="D143">
        <v>1</v>
      </c>
      <c r="F143">
        <v>2</v>
      </c>
      <c r="G143" t="s">
        <v>135</v>
      </c>
      <c r="H143" t="s">
        <v>74</v>
      </c>
      <c r="K143" t="s">
        <v>45</v>
      </c>
      <c r="L143">
        <v>3</v>
      </c>
      <c r="N143">
        <v>2</v>
      </c>
      <c r="O143" t="s">
        <v>47</v>
      </c>
      <c r="P143" t="s">
        <v>76</v>
      </c>
      <c r="Q143" t="s">
        <v>93</v>
      </c>
      <c r="S143" t="s">
        <v>53</v>
      </c>
      <c r="T143">
        <v>3</v>
      </c>
      <c r="U143">
        <v>1</v>
      </c>
      <c r="V143">
        <v>1</v>
      </c>
      <c r="W143" t="s">
        <v>54</v>
      </c>
      <c r="X143" t="s">
        <v>83</v>
      </c>
      <c r="Y143" t="s">
        <v>97</v>
      </c>
      <c r="AA143" t="s">
        <v>38</v>
      </c>
      <c r="AB143">
        <v>1</v>
      </c>
      <c r="AC143">
        <v>1</v>
      </c>
      <c r="AD143">
        <v>2</v>
      </c>
      <c r="AE143" t="s">
        <v>67</v>
      </c>
      <c r="AI143">
        <v>12</v>
      </c>
      <c r="AJ143">
        <v>30</v>
      </c>
    </row>
    <row r="144" spans="1:36" x14ac:dyDescent="0.25">
      <c r="A144" t="s">
        <v>388</v>
      </c>
      <c r="B144">
        <v>142</v>
      </c>
      <c r="C144" t="s">
        <v>53</v>
      </c>
      <c r="D144">
        <v>2</v>
      </c>
      <c r="E144">
        <v>1</v>
      </c>
      <c r="F144">
        <v>1</v>
      </c>
      <c r="G144" t="s">
        <v>54</v>
      </c>
      <c r="K144" t="s">
        <v>38</v>
      </c>
      <c r="L144">
        <v>1</v>
      </c>
      <c r="M144">
        <v>1</v>
      </c>
      <c r="N144">
        <v>3</v>
      </c>
      <c r="O144" t="s">
        <v>152</v>
      </c>
      <c r="S144" t="s">
        <v>43</v>
      </c>
      <c r="T144">
        <v>2</v>
      </c>
      <c r="V144">
        <v>1</v>
      </c>
      <c r="W144" t="s">
        <v>135</v>
      </c>
      <c r="X144" t="s">
        <v>99</v>
      </c>
      <c r="AA144" t="s">
        <v>63</v>
      </c>
      <c r="AB144">
        <v>1</v>
      </c>
      <c r="AD144">
        <v>1</v>
      </c>
      <c r="AE144" t="s">
        <v>103</v>
      </c>
      <c r="AF144" t="s">
        <v>91</v>
      </c>
      <c r="AI144">
        <v>6</v>
      </c>
      <c r="AJ144">
        <v>24</v>
      </c>
    </row>
    <row r="145" spans="1:36" x14ac:dyDescent="0.25">
      <c r="A145" t="s">
        <v>389</v>
      </c>
      <c r="B145">
        <v>143</v>
      </c>
      <c r="C145" t="s">
        <v>53</v>
      </c>
      <c r="D145">
        <v>2</v>
      </c>
      <c r="E145">
        <v>1</v>
      </c>
      <c r="F145">
        <v>1</v>
      </c>
      <c r="G145" t="s">
        <v>54</v>
      </c>
      <c r="H145" t="s">
        <v>113</v>
      </c>
      <c r="I145" t="s">
        <v>114</v>
      </c>
      <c r="J145" t="s">
        <v>98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70</v>
      </c>
      <c r="S145" t="s">
        <v>43</v>
      </c>
      <c r="T145">
        <v>2</v>
      </c>
      <c r="V145">
        <v>1</v>
      </c>
      <c r="W145" t="s">
        <v>135</v>
      </c>
      <c r="X145" t="s">
        <v>99</v>
      </c>
      <c r="AA145" t="s">
        <v>227</v>
      </c>
      <c r="AB145">
        <v>2</v>
      </c>
      <c r="AC145">
        <v>1</v>
      </c>
      <c r="AD145">
        <v>1</v>
      </c>
      <c r="AE145" t="s">
        <v>228</v>
      </c>
      <c r="AI145">
        <v>9</v>
      </c>
      <c r="AJ145">
        <v>28</v>
      </c>
    </row>
    <row r="146" spans="1:36" x14ac:dyDescent="0.25">
      <c r="A146" t="s">
        <v>390</v>
      </c>
      <c r="B146">
        <v>144</v>
      </c>
      <c r="C146" t="s">
        <v>45</v>
      </c>
      <c r="D146">
        <v>2</v>
      </c>
      <c r="F146">
        <v>1</v>
      </c>
      <c r="G146" t="s">
        <v>47</v>
      </c>
      <c r="K146" t="s">
        <v>63</v>
      </c>
      <c r="L146">
        <v>1</v>
      </c>
      <c r="N146">
        <v>1</v>
      </c>
      <c r="O146" t="s">
        <v>103</v>
      </c>
      <c r="P146" t="s">
        <v>91</v>
      </c>
      <c r="S146" t="s">
        <v>53</v>
      </c>
      <c r="T146">
        <v>1</v>
      </c>
      <c r="U146">
        <v>1</v>
      </c>
      <c r="V146">
        <v>1</v>
      </c>
      <c r="W146" t="s">
        <v>54</v>
      </c>
      <c r="X146" t="s">
        <v>83</v>
      </c>
      <c r="AA146" t="s">
        <v>38</v>
      </c>
      <c r="AB146">
        <v>1</v>
      </c>
      <c r="AC146">
        <v>1</v>
      </c>
      <c r="AD146">
        <v>1</v>
      </c>
      <c r="AE146" t="s">
        <v>152</v>
      </c>
      <c r="AI146">
        <v>3</v>
      </c>
      <c r="AJ146">
        <v>26</v>
      </c>
    </row>
    <row r="147" spans="1:36" x14ac:dyDescent="0.25">
      <c r="A147" t="s">
        <v>391</v>
      </c>
      <c r="B147">
        <v>145</v>
      </c>
      <c r="C147" t="s">
        <v>53</v>
      </c>
      <c r="D147">
        <v>1</v>
      </c>
      <c r="E147">
        <v>1</v>
      </c>
      <c r="F147">
        <v>1</v>
      </c>
      <c r="G147" t="s">
        <v>54</v>
      </c>
      <c r="K147" t="s">
        <v>38</v>
      </c>
      <c r="L147">
        <v>2</v>
      </c>
      <c r="M147">
        <v>1</v>
      </c>
      <c r="N147">
        <v>2</v>
      </c>
      <c r="O147" t="s">
        <v>67</v>
      </c>
      <c r="P147" t="s">
        <v>70</v>
      </c>
      <c r="S147" t="s">
        <v>45</v>
      </c>
      <c r="T147">
        <v>2</v>
      </c>
      <c r="V147">
        <v>1</v>
      </c>
      <c r="W147" t="s">
        <v>86</v>
      </c>
      <c r="AA147" t="s">
        <v>227</v>
      </c>
      <c r="AB147">
        <v>1</v>
      </c>
      <c r="AC147">
        <v>1</v>
      </c>
      <c r="AD147">
        <v>1</v>
      </c>
      <c r="AE147" t="s">
        <v>228</v>
      </c>
      <c r="AI147">
        <v>4</v>
      </c>
      <c r="AJ147">
        <v>25</v>
      </c>
    </row>
    <row r="148" spans="1:36" x14ac:dyDescent="0.25">
      <c r="A148" t="s">
        <v>392</v>
      </c>
      <c r="B148">
        <v>146</v>
      </c>
      <c r="C148" t="s">
        <v>53</v>
      </c>
      <c r="D148">
        <v>2</v>
      </c>
      <c r="E148">
        <v>1</v>
      </c>
      <c r="F148">
        <v>1</v>
      </c>
      <c r="G148" t="s">
        <v>54</v>
      </c>
      <c r="H148" t="s">
        <v>83</v>
      </c>
      <c r="I148" t="s">
        <v>114</v>
      </c>
      <c r="J148" t="s">
        <v>98</v>
      </c>
      <c r="K148" t="s">
        <v>38</v>
      </c>
      <c r="L148">
        <v>1</v>
      </c>
      <c r="M148">
        <v>1</v>
      </c>
      <c r="N148">
        <v>1</v>
      </c>
      <c r="O148" t="s">
        <v>152</v>
      </c>
      <c r="P148" t="s">
        <v>70</v>
      </c>
      <c r="Q148" t="s">
        <v>41</v>
      </c>
      <c r="S148" t="s">
        <v>63</v>
      </c>
      <c r="T148">
        <v>1</v>
      </c>
      <c r="V148">
        <v>1</v>
      </c>
      <c r="W148" t="s">
        <v>103</v>
      </c>
      <c r="AA148" t="s">
        <v>227</v>
      </c>
      <c r="AB148">
        <v>1</v>
      </c>
      <c r="AC148">
        <v>1</v>
      </c>
      <c r="AD148">
        <v>1</v>
      </c>
      <c r="AE148" t="s">
        <v>228</v>
      </c>
      <c r="AF148" t="s">
        <v>231</v>
      </c>
      <c r="AI148">
        <v>7</v>
      </c>
      <c r="AJ148">
        <v>33</v>
      </c>
    </row>
    <row r="149" spans="1:36" x14ac:dyDescent="0.25">
      <c r="A149" t="s">
        <v>393</v>
      </c>
      <c r="B149">
        <v>147</v>
      </c>
      <c r="C149" t="s">
        <v>56</v>
      </c>
      <c r="D149">
        <v>1</v>
      </c>
      <c r="F149">
        <v>1</v>
      </c>
      <c r="G149" t="s">
        <v>57</v>
      </c>
      <c r="K149" t="s">
        <v>48</v>
      </c>
      <c r="L149">
        <v>3</v>
      </c>
      <c r="N149">
        <v>1</v>
      </c>
      <c r="O149" t="s">
        <v>89</v>
      </c>
      <c r="S149" t="s">
        <v>53</v>
      </c>
      <c r="T149">
        <v>2</v>
      </c>
      <c r="U149">
        <v>1</v>
      </c>
      <c r="V149">
        <v>1</v>
      </c>
      <c r="W149" t="s">
        <v>54</v>
      </c>
      <c r="X149" t="s">
        <v>55</v>
      </c>
      <c r="AA149" t="s">
        <v>227</v>
      </c>
      <c r="AB149">
        <v>1</v>
      </c>
      <c r="AC149">
        <v>1</v>
      </c>
      <c r="AD149">
        <v>1</v>
      </c>
      <c r="AE149" t="s">
        <v>228</v>
      </c>
      <c r="AI149">
        <v>4</v>
      </c>
      <c r="AJ149">
        <v>22</v>
      </c>
    </row>
    <row r="150" spans="1:36" x14ac:dyDescent="0.25">
      <c r="A150" t="s">
        <v>394</v>
      </c>
      <c r="B150">
        <v>148</v>
      </c>
      <c r="C150" t="s">
        <v>56</v>
      </c>
      <c r="D150">
        <v>1</v>
      </c>
      <c r="F150">
        <v>1</v>
      </c>
      <c r="G150" t="s">
        <v>57</v>
      </c>
      <c r="H150" t="s">
        <v>122</v>
      </c>
      <c r="I150" t="s">
        <v>85</v>
      </c>
      <c r="K150" t="s">
        <v>33</v>
      </c>
      <c r="L150">
        <v>2</v>
      </c>
      <c r="N150">
        <v>3</v>
      </c>
      <c r="O150" t="s">
        <v>46</v>
      </c>
      <c r="P150" t="s">
        <v>35</v>
      </c>
      <c r="S150" t="s">
        <v>53</v>
      </c>
      <c r="T150">
        <v>2</v>
      </c>
      <c r="U150">
        <v>1</v>
      </c>
      <c r="V150">
        <v>1</v>
      </c>
      <c r="W150" t="s">
        <v>54</v>
      </c>
      <c r="AA150" t="s">
        <v>227</v>
      </c>
      <c r="AB150">
        <v>1</v>
      </c>
      <c r="AC150">
        <v>1</v>
      </c>
      <c r="AD150">
        <v>3</v>
      </c>
      <c r="AE150" t="s">
        <v>228</v>
      </c>
      <c r="AF150" t="s">
        <v>231</v>
      </c>
      <c r="AI150">
        <v>10</v>
      </c>
      <c r="AJ150">
        <v>26</v>
      </c>
    </row>
    <row r="151" spans="1:36" x14ac:dyDescent="0.25">
      <c r="A151" t="s">
        <v>395</v>
      </c>
      <c r="B151">
        <v>149</v>
      </c>
      <c r="C151" t="s">
        <v>56</v>
      </c>
      <c r="D151">
        <v>1</v>
      </c>
      <c r="F151">
        <v>1</v>
      </c>
      <c r="G151" t="s">
        <v>57</v>
      </c>
      <c r="H151" t="s">
        <v>122</v>
      </c>
      <c r="K151" t="s">
        <v>43</v>
      </c>
      <c r="L151">
        <v>1</v>
      </c>
      <c r="N151">
        <v>1</v>
      </c>
      <c r="O151" t="s">
        <v>73</v>
      </c>
      <c r="P151" t="s">
        <v>99</v>
      </c>
      <c r="Q151" t="s">
        <v>137</v>
      </c>
      <c r="S151" t="s">
        <v>53</v>
      </c>
      <c r="T151">
        <v>1</v>
      </c>
      <c r="U151">
        <v>1</v>
      </c>
      <c r="V151">
        <v>1</v>
      </c>
      <c r="W151" t="s">
        <v>54</v>
      </c>
      <c r="X151" t="s">
        <v>55</v>
      </c>
      <c r="AA151" t="s">
        <v>227</v>
      </c>
      <c r="AB151">
        <v>1</v>
      </c>
      <c r="AC151">
        <v>1</v>
      </c>
      <c r="AD151">
        <v>1</v>
      </c>
      <c r="AE151" t="s">
        <v>228</v>
      </c>
      <c r="AI151">
        <v>4</v>
      </c>
      <c r="AJ151">
        <v>28</v>
      </c>
    </row>
    <row r="152" spans="1:36" x14ac:dyDescent="0.25">
      <c r="A152" t="s">
        <v>396</v>
      </c>
      <c r="B152">
        <v>150</v>
      </c>
      <c r="C152" t="s">
        <v>53</v>
      </c>
      <c r="D152">
        <v>1</v>
      </c>
      <c r="E152">
        <v>1</v>
      </c>
      <c r="F152">
        <v>1</v>
      </c>
      <c r="G152" t="s">
        <v>54</v>
      </c>
      <c r="K152" s="1" t="s">
        <v>227</v>
      </c>
      <c r="L152">
        <v>1</v>
      </c>
      <c r="M152">
        <v>1</v>
      </c>
      <c r="N152">
        <v>3</v>
      </c>
      <c r="O152" t="s">
        <v>228</v>
      </c>
      <c r="P152" t="s">
        <v>231</v>
      </c>
      <c r="Q152" t="s">
        <v>235</v>
      </c>
      <c r="R152" t="s">
        <v>239</v>
      </c>
      <c r="S152" t="s">
        <v>56</v>
      </c>
      <c r="T152">
        <v>2</v>
      </c>
      <c r="V152">
        <v>1</v>
      </c>
      <c r="W152" t="s">
        <v>57</v>
      </c>
      <c r="X152" t="s">
        <v>122</v>
      </c>
      <c r="AA152" t="s">
        <v>45</v>
      </c>
      <c r="AB152">
        <v>2</v>
      </c>
      <c r="AD152">
        <v>1</v>
      </c>
      <c r="AE152" t="s">
        <v>47</v>
      </c>
      <c r="AI152">
        <v>8</v>
      </c>
      <c r="AJ152">
        <v>28</v>
      </c>
    </row>
    <row r="153" spans="1:36" x14ac:dyDescent="0.25">
      <c r="A153" t="s">
        <v>397</v>
      </c>
      <c r="B153">
        <v>151</v>
      </c>
      <c r="C153" t="s">
        <v>56</v>
      </c>
      <c r="D153">
        <v>1</v>
      </c>
      <c r="F153">
        <v>1</v>
      </c>
      <c r="G153" t="s">
        <v>57</v>
      </c>
      <c r="H153" t="s">
        <v>122</v>
      </c>
      <c r="K153" t="s">
        <v>63</v>
      </c>
      <c r="L153">
        <v>1</v>
      </c>
      <c r="N153">
        <v>1</v>
      </c>
      <c r="O153" t="s">
        <v>103</v>
      </c>
      <c r="P153" t="s">
        <v>95</v>
      </c>
      <c r="S153" t="s">
        <v>53</v>
      </c>
      <c r="T153">
        <v>2</v>
      </c>
      <c r="U153">
        <v>1</v>
      </c>
      <c r="V153">
        <v>1</v>
      </c>
      <c r="W153" t="s">
        <v>54</v>
      </c>
      <c r="AA153" t="s">
        <v>227</v>
      </c>
      <c r="AB153">
        <v>1</v>
      </c>
      <c r="AC153">
        <v>1</v>
      </c>
      <c r="AD153">
        <v>1</v>
      </c>
      <c r="AE153" t="s">
        <v>228</v>
      </c>
      <c r="AI153">
        <v>3</v>
      </c>
      <c r="AJ153">
        <v>22</v>
      </c>
    </row>
    <row r="154" spans="1:36" x14ac:dyDescent="0.25">
      <c r="A154" t="s">
        <v>398</v>
      </c>
      <c r="B154">
        <v>152</v>
      </c>
      <c r="C154" t="s">
        <v>56</v>
      </c>
      <c r="D154">
        <v>2</v>
      </c>
      <c r="F154">
        <v>1</v>
      </c>
      <c r="G154" t="s">
        <v>57</v>
      </c>
      <c r="H154" t="s">
        <v>122</v>
      </c>
      <c r="I154" t="s">
        <v>85</v>
      </c>
      <c r="J154" t="s">
        <v>125</v>
      </c>
      <c r="K154" t="s">
        <v>38</v>
      </c>
      <c r="L154">
        <v>1</v>
      </c>
      <c r="M154">
        <v>1</v>
      </c>
      <c r="N154">
        <v>1</v>
      </c>
      <c r="O154" t="s">
        <v>152</v>
      </c>
      <c r="P154" t="s">
        <v>70</v>
      </c>
      <c r="Q154" t="s">
        <v>41</v>
      </c>
      <c r="S154" t="s">
        <v>53</v>
      </c>
      <c r="T154">
        <v>3</v>
      </c>
      <c r="U154">
        <v>1</v>
      </c>
      <c r="V154">
        <v>1</v>
      </c>
      <c r="W154" t="s">
        <v>54</v>
      </c>
      <c r="X154" t="s">
        <v>55</v>
      </c>
      <c r="Y154" t="s">
        <v>97</v>
      </c>
      <c r="AA154" t="s">
        <v>227</v>
      </c>
      <c r="AB154">
        <v>1</v>
      </c>
      <c r="AC154">
        <v>1</v>
      </c>
      <c r="AD154">
        <v>1</v>
      </c>
      <c r="AE154" t="s">
        <v>228</v>
      </c>
      <c r="AI154">
        <v>10</v>
      </c>
      <c r="AJ154">
        <v>29</v>
      </c>
    </row>
    <row r="155" spans="1:36" x14ac:dyDescent="0.25">
      <c r="A155" t="s">
        <v>399</v>
      </c>
      <c r="B155">
        <v>153</v>
      </c>
      <c r="C155" t="s">
        <v>48</v>
      </c>
      <c r="D155">
        <v>1</v>
      </c>
      <c r="F155">
        <v>1</v>
      </c>
      <c r="G155" t="s">
        <v>49</v>
      </c>
      <c r="K155" t="s">
        <v>33</v>
      </c>
      <c r="L155">
        <v>1</v>
      </c>
      <c r="N155">
        <v>2</v>
      </c>
      <c r="O155" t="s">
        <v>46</v>
      </c>
      <c r="S155" t="s">
        <v>53</v>
      </c>
      <c r="T155">
        <v>1</v>
      </c>
      <c r="U155">
        <v>1</v>
      </c>
      <c r="V155">
        <v>1</v>
      </c>
      <c r="W155" t="s">
        <v>111</v>
      </c>
      <c r="AA155" t="s">
        <v>227</v>
      </c>
      <c r="AB155">
        <v>1</v>
      </c>
      <c r="AC155">
        <v>1</v>
      </c>
      <c r="AD155">
        <v>1</v>
      </c>
      <c r="AE155" t="s">
        <v>228</v>
      </c>
      <c r="AF155" t="s">
        <v>231</v>
      </c>
      <c r="AG155" t="s">
        <v>235</v>
      </c>
      <c r="AI155">
        <v>3</v>
      </c>
      <c r="AJ155">
        <v>28</v>
      </c>
    </row>
    <row r="156" spans="1:36" x14ac:dyDescent="0.25">
      <c r="A156" t="s">
        <v>400</v>
      </c>
      <c r="B156">
        <v>154</v>
      </c>
      <c r="C156" t="s">
        <v>48</v>
      </c>
      <c r="D156">
        <v>2</v>
      </c>
      <c r="F156">
        <v>1</v>
      </c>
      <c r="G156" t="s">
        <v>49</v>
      </c>
      <c r="K156" t="s">
        <v>43</v>
      </c>
      <c r="L156">
        <v>1</v>
      </c>
      <c r="N156">
        <v>1</v>
      </c>
      <c r="O156" t="s">
        <v>73</v>
      </c>
      <c r="P156" t="s">
        <v>99</v>
      </c>
      <c r="S156" t="s">
        <v>53</v>
      </c>
      <c r="T156">
        <v>2</v>
      </c>
      <c r="U156">
        <v>3</v>
      </c>
      <c r="V156">
        <v>1</v>
      </c>
      <c r="W156" t="s">
        <v>54</v>
      </c>
      <c r="AA156" t="s">
        <v>227</v>
      </c>
      <c r="AB156">
        <v>2</v>
      </c>
      <c r="AC156">
        <v>1</v>
      </c>
      <c r="AD156">
        <v>1</v>
      </c>
      <c r="AE156" t="s">
        <v>228</v>
      </c>
      <c r="AI156">
        <v>6</v>
      </c>
      <c r="AJ156">
        <v>31</v>
      </c>
    </row>
    <row r="157" spans="1:36" x14ac:dyDescent="0.25">
      <c r="A157" t="s">
        <v>401</v>
      </c>
      <c r="B157">
        <v>155</v>
      </c>
      <c r="C157" t="s">
        <v>53</v>
      </c>
      <c r="D157">
        <v>2</v>
      </c>
      <c r="E157">
        <v>1</v>
      </c>
      <c r="F157">
        <v>1</v>
      </c>
      <c r="G157" t="s">
        <v>54</v>
      </c>
      <c r="K157" t="s">
        <v>227</v>
      </c>
      <c r="L157">
        <v>1</v>
      </c>
      <c r="M157">
        <v>1</v>
      </c>
      <c r="N157">
        <v>2</v>
      </c>
      <c r="O157" t="s">
        <v>228</v>
      </c>
      <c r="S157" t="s">
        <v>48</v>
      </c>
      <c r="T157">
        <v>1</v>
      </c>
      <c r="V157">
        <v>1</v>
      </c>
      <c r="W157" t="s">
        <v>89</v>
      </c>
      <c r="AA157" t="s">
        <v>45</v>
      </c>
      <c r="AB157">
        <v>2</v>
      </c>
      <c r="AD157">
        <v>1</v>
      </c>
      <c r="AE157" t="s">
        <v>86</v>
      </c>
      <c r="AI157">
        <v>3</v>
      </c>
      <c r="AJ157">
        <v>29</v>
      </c>
    </row>
    <row r="158" spans="1:36" x14ac:dyDescent="0.25">
      <c r="A158" t="s">
        <v>402</v>
      </c>
      <c r="B158">
        <v>156</v>
      </c>
      <c r="C158" t="s">
        <v>48</v>
      </c>
      <c r="D158">
        <v>2</v>
      </c>
      <c r="F158">
        <v>1</v>
      </c>
      <c r="G158" t="s">
        <v>89</v>
      </c>
      <c r="K158" t="s">
        <v>63</v>
      </c>
      <c r="L158">
        <v>1</v>
      </c>
      <c r="N158">
        <v>1</v>
      </c>
      <c r="O158" t="s">
        <v>103</v>
      </c>
      <c r="P158" t="s">
        <v>95</v>
      </c>
      <c r="S158" t="s">
        <v>53</v>
      </c>
      <c r="T158">
        <v>2</v>
      </c>
      <c r="U158">
        <v>1</v>
      </c>
      <c r="V158">
        <v>1</v>
      </c>
      <c r="W158" t="s">
        <v>54</v>
      </c>
      <c r="X158" t="s">
        <v>55</v>
      </c>
      <c r="AA158" t="s">
        <v>227</v>
      </c>
      <c r="AB158">
        <v>1</v>
      </c>
      <c r="AC158">
        <v>1</v>
      </c>
      <c r="AD158">
        <v>1</v>
      </c>
      <c r="AE158" t="s">
        <v>228</v>
      </c>
      <c r="AI158">
        <v>4</v>
      </c>
      <c r="AJ158">
        <v>25</v>
      </c>
    </row>
    <row r="159" spans="1:36" x14ac:dyDescent="0.25">
      <c r="A159" t="s">
        <v>403</v>
      </c>
      <c r="B159">
        <v>157</v>
      </c>
      <c r="C159" t="s">
        <v>48</v>
      </c>
      <c r="D159">
        <v>2</v>
      </c>
      <c r="F159">
        <v>1</v>
      </c>
      <c r="G159" t="s">
        <v>89</v>
      </c>
      <c r="H159" t="s">
        <v>50</v>
      </c>
      <c r="K159" t="s">
        <v>38</v>
      </c>
      <c r="L159">
        <v>1</v>
      </c>
      <c r="M159">
        <v>1</v>
      </c>
      <c r="N159">
        <v>1</v>
      </c>
      <c r="O159" t="s">
        <v>152</v>
      </c>
      <c r="P159" t="s">
        <v>70</v>
      </c>
      <c r="Q159" t="s">
        <v>41</v>
      </c>
      <c r="S159" t="s">
        <v>53</v>
      </c>
      <c r="T159">
        <v>1</v>
      </c>
      <c r="U159">
        <v>1</v>
      </c>
      <c r="V159">
        <v>1</v>
      </c>
      <c r="W159" t="s">
        <v>54</v>
      </c>
      <c r="AA159" t="s">
        <v>227</v>
      </c>
      <c r="AB159">
        <v>1</v>
      </c>
      <c r="AC159">
        <v>1</v>
      </c>
      <c r="AD159">
        <v>1</v>
      </c>
      <c r="AE159" t="s">
        <v>228</v>
      </c>
      <c r="AI159">
        <v>4</v>
      </c>
      <c r="AJ159">
        <v>19</v>
      </c>
    </row>
    <row r="160" spans="1:36" x14ac:dyDescent="0.25">
      <c r="A160" t="s">
        <v>404</v>
      </c>
      <c r="B160">
        <v>158</v>
      </c>
      <c r="C160" t="s">
        <v>33</v>
      </c>
      <c r="D160">
        <v>1</v>
      </c>
      <c r="F160">
        <v>2</v>
      </c>
      <c r="G160" t="s">
        <v>46</v>
      </c>
      <c r="K160" t="s">
        <v>43</v>
      </c>
      <c r="L160">
        <v>1</v>
      </c>
      <c r="N160">
        <v>1</v>
      </c>
      <c r="O160" t="s">
        <v>73</v>
      </c>
      <c r="S160" t="s">
        <v>53</v>
      </c>
      <c r="T160">
        <v>2</v>
      </c>
      <c r="U160">
        <v>3</v>
      </c>
      <c r="V160">
        <v>1</v>
      </c>
      <c r="W160" t="s">
        <v>111</v>
      </c>
      <c r="AA160" t="s">
        <v>227</v>
      </c>
      <c r="AB160">
        <v>1</v>
      </c>
      <c r="AC160">
        <v>1</v>
      </c>
      <c r="AD160">
        <v>1</v>
      </c>
      <c r="AE160" t="s">
        <v>228</v>
      </c>
      <c r="AI160">
        <v>4</v>
      </c>
      <c r="AJ160">
        <v>38</v>
      </c>
    </row>
    <row r="161" spans="1:36" x14ac:dyDescent="0.25">
      <c r="A161" t="s">
        <v>405</v>
      </c>
      <c r="B161">
        <v>159</v>
      </c>
      <c r="C161" t="s">
        <v>53</v>
      </c>
      <c r="D161">
        <v>2</v>
      </c>
      <c r="E161">
        <v>1</v>
      </c>
      <c r="F161">
        <v>1</v>
      </c>
      <c r="G161" t="s">
        <v>111</v>
      </c>
      <c r="H161" t="s">
        <v>55</v>
      </c>
      <c r="K161" t="s">
        <v>227</v>
      </c>
      <c r="L161">
        <v>2</v>
      </c>
      <c r="M161">
        <v>1</v>
      </c>
      <c r="N161">
        <v>1</v>
      </c>
      <c r="O161" t="s">
        <v>228</v>
      </c>
      <c r="S161" t="s">
        <v>33</v>
      </c>
      <c r="T161">
        <v>1</v>
      </c>
      <c r="V161">
        <v>2</v>
      </c>
      <c r="W161" t="s">
        <v>46</v>
      </c>
      <c r="AA161" t="s">
        <v>45</v>
      </c>
      <c r="AB161">
        <v>1</v>
      </c>
      <c r="AD161">
        <v>1</v>
      </c>
      <c r="AE161" t="s">
        <v>47</v>
      </c>
      <c r="AI161">
        <v>4</v>
      </c>
      <c r="AJ161">
        <v>25</v>
      </c>
    </row>
    <row r="162" spans="1:36" x14ac:dyDescent="0.25">
      <c r="A162" t="s">
        <v>406</v>
      </c>
      <c r="B162">
        <v>160</v>
      </c>
      <c r="C162" t="s">
        <v>33</v>
      </c>
      <c r="D162">
        <v>1</v>
      </c>
      <c r="F162">
        <v>2</v>
      </c>
      <c r="G162" t="s">
        <v>46</v>
      </c>
      <c r="K162" t="s">
        <v>63</v>
      </c>
      <c r="L162">
        <v>1</v>
      </c>
      <c r="N162">
        <v>1</v>
      </c>
      <c r="O162" t="s">
        <v>103</v>
      </c>
      <c r="P162" t="s">
        <v>95</v>
      </c>
      <c r="S162" t="s">
        <v>53</v>
      </c>
      <c r="T162">
        <v>1</v>
      </c>
      <c r="U162">
        <v>1</v>
      </c>
      <c r="V162">
        <v>1</v>
      </c>
      <c r="W162" t="s">
        <v>54</v>
      </c>
      <c r="X162" t="s">
        <v>113</v>
      </c>
      <c r="AA162" t="s">
        <v>227</v>
      </c>
      <c r="AB162">
        <v>2</v>
      </c>
      <c r="AC162">
        <v>1</v>
      </c>
      <c r="AD162">
        <v>1</v>
      </c>
      <c r="AE162" t="s">
        <v>228</v>
      </c>
      <c r="AF162" t="s">
        <v>231</v>
      </c>
      <c r="AI162">
        <v>5</v>
      </c>
      <c r="AJ162">
        <v>33</v>
      </c>
    </row>
    <row r="163" spans="1:36" x14ac:dyDescent="0.25">
      <c r="A163" t="s">
        <v>407</v>
      </c>
      <c r="B163">
        <v>161</v>
      </c>
      <c r="C163" t="s">
        <v>33</v>
      </c>
      <c r="D163">
        <v>1</v>
      </c>
      <c r="F163">
        <v>2</v>
      </c>
      <c r="G163" t="s">
        <v>46</v>
      </c>
      <c r="K163" t="s">
        <v>38</v>
      </c>
      <c r="L163">
        <v>1</v>
      </c>
      <c r="M163">
        <v>2</v>
      </c>
      <c r="N163">
        <v>1</v>
      </c>
      <c r="O163" t="s">
        <v>152</v>
      </c>
      <c r="P163" t="s">
        <v>70</v>
      </c>
      <c r="Q163" t="s">
        <v>154</v>
      </c>
      <c r="R163" t="s">
        <v>42</v>
      </c>
      <c r="S163" t="s">
        <v>53</v>
      </c>
      <c r="T163">
        <v>2</v>
      </c>
      <c r="U163">
        <v>1</v>
      </c>
      <c r="V163">
        <v>2</v>
      </c>
      <c r="W163" t="s">
        <v>54</v>
      </c>
      <c r="X163" t="s">
        <v>83</v>
      </c>
      <c r="Y163" t="s">
        <v>97</v>
      </c>
      <c r="AA163" t="s">
        <v>227</v>
      </c>
      <c r="AB163">
        <v>1</v>
      </c>
      <c r="AC163">
        <v>1</v>
      </c>
      <c r="AD163">
        <v>1</v>
      </c>
      <c r="AE163" t="s">
        <v>228</v>
      </c>
      <c r="AI163">
        <v>9</v>
      </c>
      <c r="AJ163">
        <v>43</v>
      </c>
    </row>
    <row r="164" spans="1:36" x14ac:dyDescent="0.25">
      <c r="A164" t="s">
        <v>408</v>
      </c>
      <c r="B164">
        <v>162</v>
      </c>
      <c r="C164" t="s">
        <v>53</v>
      </c>
      <c r="D164">
        <v>1</v>
      </c>
      <c r="E164">
        <v>1</v>
      </c>
      <c r="F164">
        <v>1</v>
      </c>
      <c r="G164" t="s">
        <v>54</v>
      </c>
      <c r="H164" t="s">
        <v>83</v>
      </c>
      <c r="K164" t="s">
        <v>227</v>
      </c>
      <c r="L164">
        <v>1</v>
      </c>
      <c r="M164">
        <v>1</v>
      </c>
      <c r="N164">
        <v>2</v>
      </c>
      <c r="O164" t="s">
        <v>228</v>
      </c>
      <c r="P164" t="s">
        <v>231</v>
      </c>
      <c r="Q164" t="s">
        <v>235</v>
      </c>
      <c r="S164" t="s">
        <v>43</v>
      </c>
      <c r="T164">
        <v>1</v>
      </c>
      <c r="V164">
        <v>1</v>
      </c>
      <c r="W164" t="s">
        <v>73</v>
      </c>
      <c r="X164" t="s">
        <v>99</v>
      </c>
      <c r="AA164" t="s">
        <v>45</v>
      </c>
      <c r="AB164">
        <v>2</v>
      </c>
      <c r="AD164">
        <v>1</v>
      </c>
      <c r="AE164" t="s">
        <v>47</v>
      </c>
      <c r="AI164">
        <v>6</v>
      </c>
      <c r="AJ164">
        <v>26</v>
      </c>
    </row>
    <row r="165" spans="1:36" x14ac:dyDescent="0.25">
      <c r="A165" t="s">
        <v>409</v>
      </c>
      <c r="B165">
        <v>163</v>
      </c>
      <c r="C165" t="s">
        <v>53</v>
      </c>
      <c r="D165">
        <v>1</v>
      </c>
      <c r="E165">
        <v>1</v>
      </c>
      <c r="F165">
        <v>1</v>
      </c>
      <c r="G165" t="s">
        <v>54</v>
      </c>
      <c r="K165" t="s">
        <v>227</v>
      </c>
      <c r="L165">
        <v>3</v>
      </c>
      <c r="M165">
        <v>1</v>
      </c>
      <c r="N165">
        <v>3</v>
      </c>
      <c r="O165" t="s">
        <v>228</v>
      </c>
      <c r="P165" t="s">
        <v>231</v>
      </c>
      <c r="Q165" t="s">
        <v>235</v>
      </c>
      <c r="S165" t="s">
        <v>43</v>
      </c>
      <c r="T165">
        <v>1</v>
      </c>
      <c r="V165">
        <v>1</v>
      </c>
      <c r="W165" t="s">
        <v>73</v>
      </c>
      <c r="X165" t="s">
        <v>99</v>
      </c>
      <c r="Y165" t="s">
        <v>137</v>
      </c>
      <c r="AA165" t="s">
        <v>63</v>
      </c>
      <c r="AB165">
        <v>2</v>
      </c>
      <c r="AD165">
        <v>1</v>
      </c>
      <c r="AE165" t="s">
        <v>103</v>
      </c>
      <c r="AF165" t="s">
        <v>95</v>
      </c>
      <c r="AI165">
        <v>10</v>
      </c>
      <c r="AJ165">
        <v>47</v>
      </c>
    </row>
    <row r="166" spans="1:36" x14ac:dyDescent="0.25">
      <c r="A166" t="s">
        <v>410</v>
      </c>
      <c r="B166">
        <v>164</v>
      </c>
      <c r="C166" t="s">
        <v>43</v>
      </c>
      <c r="D166">
        <v>1</v>
      </c>
      <c r="F166">
        <v>2</v>
      </c>
      <c r="G166" t="s">
        <v>73</v>
      </c>
      <c r="H166" t="s">
        <v>99</v>
      </c>
      <c r="I166" t="s">
        <v>137</v>
      </c>
      <c r="K166" t="s">
        <v>38</v>
      </c>
      <c r="L166">
        <v>2</v>
      </c>
      <c r="M166">
        <v>1</v>
      </c>
      <c r="N166">
        <v>1</v>
      </c>
      <c r="O166" t="s">
        <v>152</v>
      </c>
      <c r="P166" t="s">
        <v>70</v>
      </c>
      <c r="S166" t="s">
        <v>53</v>
      </c>
      <c r="T166">
        <v>2</v>
      </c>
      <c r="U166">
        <v>1</v>
      </c>
      <c r="V166">
        <v>1</v>
      </c>
      <c r="W166" t="s">
        <v>54</v>
      </c>
      <c r="AA166" t="s">
        <v>227</v>
      </c>
      <c r="AB166">
        <v>1</v>
      </c>
      <c r="AC166">
        <v>1</v>
      </c>
      <c r="AD166">
        <v>1</v>
      </c>
      <c r="AE166" t="s">
        <v>228</v>
      </c>
      <c r="AI166">
        <v>6</v>
      </c>
      <c r="AJ166">
        <v>31</v>
      </c>
    </row>
    <row r="167" spans="1:36" x14ac:dyDescent="0.25">
      <c r="A167" t="s">
        <v>411</v>
      </c>
      <c r="B167">
        <v>165</v>
      </c>
      <c r="C167" t="s">
        <v>53</v>
      </c>
      <c r="D167">
        <v>1</v>
      </c>
      <c r="E167">
        <v>1</v>
      </c>
      <c r="F167">
        <v>1</v>
      </c>
      <c r="G167" t="s">
        <v>54</v>
      </c>
      <c r="H167" t="s">
        <v>113</v>
      </c>
      <c r="K167" t="s">
        <v>227</v>
      </c>
      <c r="L167">
        <v>3</v>
      </c>
      <c r="M167">
        <v>1</v>
      </c>
      <c r="N167">
        <v>3</v>
      </c>
      <c r="O167" t="s">
        <v>228</v>
      </c>
      <c r="P167" t="s">
        <v>231</v>
      </c>
      <c r="Q167" t="s">
        <v>235</v>
      </c>
      <c r="S167" t="s">
        <v>45</v>
      </c>
      <c r="T167">
        <v>2</v>
      </c>
      <c r="V167">
        <v>2</v>
      </c>
      <c r="W167" t="s">
        <v>47</v>
      </c>
      <c r="AA167" t="s">
        <v>63</v>
      </c>
      <c r="AB167">
        <v>1</v>
      </c>
      <c r="AD167">
        <v>2</v>
      </c>
      <c r="AE167" t="s">
        <v>103</v>
      </c>
      <c r="AF167" t="s">
        <v>95</v>
      </c>
      <c r="AG167" t="s">
        <v>148</v>
      </c>
      <c r="AI167">
        <v>12</v>
      </c>
      <c r="AJ167">
        <v>48</v>
      </c>
    </row>
    <row r="168" spans="1:36" x14ac:dyDescent="0.25">
      <c r="A168" t="s">
        <v>412</v>
      </c>
      <c r="B168">
        <v>166</v>
      </c>
      <c r="C168" t="s">
        <v>53</v>
      </c>
      <c r="D168">
        <v>2</v>
      </c>
      <c r="E168">
        <v>1</v>
      </c>
      <c r="F168">
        <v>1</v>
      </c>
      <c r="G168" t="s">
        <v>54</v>
      </c>
      <c r="K168" t="s">
        <v>227</v>
      </c>
      <c r="L168">
        <v>1</v>
      </c>
      <c r="M168">
        <v>1</v>
      </c>
      <c r="N168">
        <v>2</v>
      </c>
      <c r="O168" t="s">
        <v>228</v>
      </c>
      <c r="P168" t="s">
        <v>231</v>
      </c>
      <c r="S168" t="s">
        <v>45</v>
      </c>
      <c r="T168">
        <v>2</v>
      </c>
      <c r="V168">
        <v>1</v>
      </c>
      <c r="W168" t="s">
        <v>47</v>
      </c>
      <c r="AA168" t="s">
        <v>38</v>
      </c>
      <c r="AB168">
        <v>1</v>
      </c>
      <c r="AC168">
        <v>1</v>
      </c>
      <c r="AD168">
        <v>1</v>
      </c>
      <c r="AE168" t="s">
        <v>152</v>
      </c>
      <c r="AI168">
        <v>4</v>
      </c>
      <c r="AJ168">
        <v>23</v>
      </c>
    </row>
    <row r="169" spans="1:36" x14ac:dyDescent="0.25">
      <c r="A169" t="s">
        <v>413</v>
      </c>
      <c r="B169">
        <v>167</v>
      </c>
      <c r="C169" t="s">
        <v>63</v>
      </c>
      <c r="D169">
        <v>1</v>
      </c>
      <c r="F169">
        <v>1</v>
      </c>
      <c r="G169" t="s">
        <v>103</v>
      </c>
      <c r="H169" t="s">
        <v>91</v>
      </c>
      <c r="I169" t="s">
        <v>147</v>
      </c>
      <c r="K169" t="s">
        <v>38</v>
      </c>
      <c r="L169">
        <v>1</v>
      </c>
      <c r="M169">
        <v>1</v>
      </c>
      <c r="N169">
        <v>1</v>
      </c>
      <c r="O169" t="s">
        <v>152</v>
      </c>
      <c r="P169" t="s">
        <v>70</v>
      </c>
      <c r="Q169" t="s">
        <v>41</v>
      </c>
      <c r="S169" t="s">
        <v>53</v>
      </c>
      <c r="T169">
        <v>3</v>
      </c>
      <c r="U169">
        <v>1</v>
      </c>
      <c r="V169">
        <v>1</v>
      </c>
      <c r="W169" t="s">
        <v>54</v>
      </c>
      <c r="X169" t="s">
        <v>113</v>
      </c>
      <c r="AA169" t="s">
        <v>227</v>
      </c>
      <c r="AB169">
        <v>1</v>
      </c>
      <c r="AC169">
        <v>1</v>
      </c>
      <c r="AD169">
        <v>1</v>
      </c>
      <c r="AE169" t="s">
        <v>228</v>
      </c>
      <c r="AI169">
        <v>7</v>
      </c>
      <c r="AJ169">
        <v>38</v>
      </c>
    </row>
    <row r="170" spans="1:36" x14ac:dyDescent="0.25">
      <c r="A170" t="s">
        <v>414</v>
      </c>
      <c r="B170">
        <v>168</v>
      </c>
      <c r="C170" t="s">
        <v>33</v>
      </c>
      <c r="D170">
        <v>1</v>
      </c>
      <c r="F170">
        <v>3</v>
      </c>
      <c r="G170" t="s">
        <v>46</v>
      </c>
      <c r="K170" t="s">
        <v>43</v>
      </c>
      <c r="L170">
        <v>1</v>
      </c>
      <c r="N170">
        <v>1</v>
      </c>
      <c r="O170" t="s">
        <v>135</v>
      </c>
      <c r="P170" t="s">
        <v>99</v>
      </c>
      <c r="S170" t="s">
        <v>56</v>
      </c>
      <c r="T170">
        <v>2</v>
      </c>
      <c r="V170">
        <v>1</v>
      </c>
      <c r="W170" t="s">
        <v>68</v>
      </c>
      <c r="AA170" t="s">
        <v>48</v>
      </c>
      <c r="AB170">
        <v>1</v>
      </c>
      <c r="AD170">
        <v>1</v>
      </c>
      <c r="AE170" t="s">
        <v>89</v>
      </c>
      <c r="AI170">
        <v>4</v>
      </c>
      <c r="AJ170">
        <v>28</v>
      </c>
    </row>
    <row r="171" spans="1:36" x14ac:dyDescent="0.25">
      <c r="A171" t="s">
        <v>415</v>
      </c>
      <c r="B171">
        <v>169</v>
      </c>
      <c r="C171" t="s">
        <v>33</v>
      </c>
      <c r="D171">
        <v>1</v>
      </c>
      <c r="F171">
        <v>3</v>
      </c>
      <c r="G171" t="s">
        <v>46</v>
      </c>
      <c r="K171" t="s">
        <v>45</v>
      </c>
      <c r="L171">
        <v>2</v>
      </c>
      <c r="N171">
        <v>2</v>
      </c>
      <c r="O171" t="s">
        <v>47</v>
      </c>
      <c r="S171" t="s">
        <v>56</v>
      </c>
      <c r="T171">
        <v>3</v>
      </c>
      <c r="V171">
        <v>2</v>
      </c>
      <c r="W171" t="s">
        <v>68</v>
      </c>
      <c r="X171" t="s">
        <v>69</v>
      </c>
      <c r="AA171" t="s">
        <v>48</v>
      </c>
      <c r="AB171">
        <v>1</v>
      </c>
      <c r="AD171">
        <v>1</v>
      </c>
      <c r="AE171" t="s">
        <v>89</v>
      </c>
      <c r="AI171">
        <v>8</v>
      </c>
      <c r="AJ171">
        <v>38</v>
      </c>
    </row>
    <row r="172" spans="1:36" x14ac:dyDescent="0.25">
      <c r="A172" t="s">
        <v>416</v>
      </c>
      <c r="B172">
        <v>170</v>
      </c>
      <c r="C172" t="s">
        <v>33</v>
      </c>
      <c r="D172">
        <v>3</v>
      </c>
      <c r="F172">
        <v>3</v>
      </c>
      <c r="G172" t="s">
        <v>46</v>
      </c>
      <c r="K172" t="s">
        <v>63</v>
      </c>
      <c r="L172">
        <v>1</v>
      </c>
      <c r="N172">
        <v>1</v>
      </c>
      <c r="O172" t="s">
        <v>103</v>
      </c>
      <c r="P172" t="s">
        <v>91</v>
      </c>
      <c r="S172" t="s">
        <v>56</v>
      </c>
      <c r="T172">
        <v>1</v>
      </c>
      <c r="V172">
        <v>1</v>
      </c>
      <c r="W172" t="s">
        <v>68</v>
      </c>
      <c r="AA172" t="s">
        <v>48</v>
      </c>
      <c r="AB172">
        <v>3</v>
      </c>
      <c r="AD172">
        <v>1</v>
      </c>
      <c r="AE172" t="s">
        <v>49</v>
      </c>
      <c r="AF172" t="s">
        <v>71</v>
      </c>
      <c r="AI172">
        <v>8</v>
      </c>
      <c r="AJ172">
        <v>19</v>
      </c>
    </row>
    <row r="173" spans="1:36" x14ac:dyDescent="0.25">
      <c r="A173" t="s">
        <v>417</v>
      </c>
      <c r="B173">
        <v>171</v>
      </c>
      <c r="C173" t="s">
        <v>56</v>
      </c>
      <c r="D173">
        <v>1</v>
      </c>
      <c r="F173">
        <v>1</v>
      </c>
      <c r="G173" t="s">
        <v>68</v>
      </c>
      <c r="K173" t="s">
        <v>48</v>
      </c>
      <c r="L173">
        <v>2</v>
      </c>
      <c r="N173">
        <v>1</v>
      </c>
      <c r="O173" t="s">
        <v>89</v>
      </c>
      <c r="S173" t="s">
        <v>33</v>
      </c>
      <c r="T173">
        <v>1</v>
      </c>
      <c r="V173">
        <v>2</v>
      </c>
      <c r="W173" t="s">
        <v>46</v>
      </c>
      <c r="AA173" t="s">
        <v>38</v>
      </c>
      <c r="AB173">
        <v>1</v>
      </c>
      <c r="AC173">
        <v>1</v>
      </c>
      <c r="AD173">
        <v>1</v>
      </c>
      <c r="AE173" t="s">
        <v>152</v>
      </c>
      <c r="AI173">
        <v>2</v>
      </c>
      <c r="AJ173">
        <v>18</v>
      </c>
    </row>
    <row r="174" spans="1:36" x14ac:dyDescent="0.25">
      <c r="A174" t="s">
        <v>418</v>
      </c>
      <c r="B174">
        <v>172</v>
      </c>
      <c r="C174" t="s">
        <v>56</v>
      </c>
      <c r="D174">
        <v>1</v>
      </c>
      <c r="F174">
        <v>1</v>
      </c>
      <c r="G174" t="s">
        <v>68</v>
      </c>
      <c r="K174" t="s">
        <v>48</v>
      </c>
      <c r="L174">
        <v>3</v>
      </c>
      <c r="N174">
        <v>3</v>
      </c>
      <c r="O174" t="s">
        <v>89</v>
      </c>
      <c r="P174" t="s">
        <v>84</v>
      </c>
      <c r="S174" t="s">
        <v>33</v>
      </c>
      <c r="T174">
        <v>3</v>
      </c>
      <c r="V174">
        <v>3</v>
      </c>
      <c r="W174" t="s">
        <v>46</v>
      </c>
      <c r="X174" t="s">
        <v>35</v>
      </c>
      <c r="AA174" t="s">
        <v>227</v>
      </c>
      <c r="AB174">
        <v>1</v>
      </c>
      <c r="AC174">
        <v>1</v>
      </c>
      <c r="AD174">
        <v>1</v>
      </c>
      <c r="AE174" t="s">
        <v>228</v>
      </c>
      <c r="AI174">
        <v>10</v>
      </c>
      <c r="AJ174">
        <v>29</v>
      </c>
    </row>
    <row r="175" spans="1:36" x14ac:dyDescent="0.25">
      <c r="A175" t="s">
        <v>419</v>
      </c>
      <c r="B175">
        <v>173</v>
      </c>
      <c r="C175" t="s">
        <v>56</v>
      </c>
      <c r="D175">
        <v>1</v>
      </c>
      <c r="F175">
        <v>1</v>
      </c>
      <c r="G175" t="s">
        <v>68</v>
      </c>
      <c r="K175" t="s">
        <v>48</v>
      </c>
      <c r="L175">
        <v>3</v>
      </c>
      <c r="N175">
        <v>1</v>
      </c>
      <c r="O175" t="s">
        <v>89</v>
      </c>
      <c r="S175" t="s">
        <v>43</v>
      </c>
      <c r="T175">
        <v>2</v>
      </c>
      <c r="V175">
        <v>1</v>
      </c>
      <c r="W175" t="s">
        <v>135</v>
      </c>
      <c r="X175" t="s">
        <v>74</v>
      </c>
      <c r="AA175" t="s">
        <v>45</v>
      </c>
      <c r="AB175">
        <v>2</v>
      </c>
      <c r="AD175">
        <v>1</v>
      </c>
      <c r="AE175" t="s">
        <v>47</v>
      </c>
      <c r="AI175">
        <v>5</v>
      </c>
      <c r="AJ175">
        <v>25</v>
      </c>
    </row>
    <row r="176" spans="1:36" x14ac:dyDescent="0.25">
      <c r="A176" t="s">
        <v>420</v>
      </c>
      <c r="B176">
        <v>174</v>
      </c>
      <c r="C176" t="s">
        <v>43</v>
      </c>
      <c r="D176">
        <v>2</v>
      </c>
      <c r="F176">
        <v>1</v>
      </c>
      <c r="G176" t="s">
        <v>135</v>
      </c>
      <c r="H176" t="s">
        <v>74</v>
      </c>
      <c r="K176" t="s">
        <v>63</v>
      </c>
      <c r="L176">
        <v>1</v>
      </c>
      <c r="N176">
        <v>1</v>
      </c>
      <c r="O176" t="s">
        <v>103</v>
      </c>
      <c r="S176" t="s">
        <v>56</v>
      </c>
      <c r="T176">
        <v>2</v>
      </c>
      <c r="V176">
        <v>2</v>
      </c>
      <c r="W176" t="s">
        <v>68</v>
      </c>
      <c r="AA176" t="s">
        <v>48</v>
      </c>
      <c r="AB176">
        <v>3</v>
      </c>
      <c r="AD176">
        <v>1</v>
      </c>
      <c r="AE176" t="s">
        <v>49</v>
      </c>
      <c r="AI176">
        <v>6</v>
      </c>
      <c r="AJ176">
        <v>25</v>
      </c>
    </row>
    <row r="177" spans="1:36" x14ac:dyDescent="0.25">
      <c r="A177" t="s">
        <v>421</v>
      </c>
      <c r="B177">
        <v>175</v>
      </c>
      <c r="C177" t="s">
        <v>43</v>
      </c>
      <c r="D177">
        <v>2</v>
      </c>
      <c r="F177">
        <v>3</v>
      </c>
      <c r="G177" t="s">
        <v>135</v>
      </c>
      <c r="H177" t="s">
        <v>74</v>
      </c>
      <c r="I177" t="s">
        <v>137</v>
      </c>
      <c r="K177" t="s">
        <v>38</v>
      </c>
      <c r="L177">
        <v>1</v>
      </c>
      <c r="M177">
        <v>1</v>
      </c>
      <c r="N177">
        <v>1</v>
      </c>
      <c r="O177" t="s">
        <v>152</v>
      </c>
      <c r="S177" t="s">
        <v>56</v>
      </c>
      <c r="T177">
        <v>2</v>
      </c>
      <c r="V177">
        <v>1</v>
      </c>
      <c r="W177" t="s">
        <v>68</v>
      </c>
      <c r="AA177" t="s">
        <v>48</v>
      </c>
      <c r="AB177">
        <v>1</v>
      </c>
      <c r="AD177">
        <v>1</v>
      </c>
      <c r="AE177" t="s">
        <v>89</v>
      </c>
      <c r="AI177">
        <v>6</v>
      </c>
      <c r="AJ177">
        <v>24</v>
      </c>
    </row>
    <row r="178" spans="1:36" x14ac:dyDescent="0.25">
      <c r="A178" t="s">
        <v>422</v>
      </c>
      <c r="B178">
        <v>176</v>
      </c>
      <c r="C178" t="s">
        <v>56</v>
      </c>
      <c r="D178">
        <v>1</v>
      </c>
      <c r="F178">
        <v>1</v>
      </c>
      <c r="G178" t="s">
        <v>68</v>
      </c>
      <c r="K178" t="s">
        <v>48</v>
      </c>
      <c r="L178">
        <v>2</v>
      </c>
      <c r="N178">
        <v>1</v>
      </c>
      <c r="O178" t="s">
        <v>89</v>
      </c>
      <c r="S178" t="s">
        <v>43</v>
      </c>
      <c r="T178">
        <v>1</v>
      </c>
      <c r="V178">
        <v>1</v>
      </c>
      <c r="W178" t="s">
        <v>135</v>
      </c>
      <c r="X178" t="s">
        <v>74</v>
      </c>
      <c r="AA178" t="s">
        <v>227</v>
      </c>
      <c r="AB178">
        <v>2</v>
      </c>
      <c r="AC178">
        <v>1</v>
      </c>
      <c r="AD178">
        <v>1</v>
      </c>
      <c r="AE178" t="s">
        <v>228</v>
      </c>
      <c r="AI178">
        <v>3</v>
      </c>
      <c r="AJ178">
        <v>23</v>
      </c>
    </row>
    <row r="179" spans="1:36" x14ac:dyDescent="0.25">
      <c r="A179" t="s">
        <v>423</v>
      </c>
      <c r="B179">
        <v>177</v>
      </c>
      <c r="C179" t="s">
        <v>45</v>
      </c>
      <c r="D179">
        <v>2</v>
      </c>
      <c r="F179">
        <v>1</v>
      </c>
      <c r="G179" t="s">
        <v>47</v>
      </c>
      <c r="K179" t="s">
        <v>63</v>
      </c>
      <c r="L179">
        <v>1</v>
      </c>
      <c r="N179">
        <v>1</v>
      </c>
      <c r="O179" t="s">
        <v>103</v>
      </c>
      <c r="P179" t="s">
        <v>91</v>
      </c>
      <c r="S179" t="s">
        <v>56</v>
      </c>
      <c r="T179">
        <v>1</v>
      </c>
      <c r="V179">
        <v>1</v>
      </c>
      <c r="W179" t="s">
        <v>68</v>
      </c>
      <c r="AA179" t="s">
        <v>48</v>
      </c>
      <c r="AB179">
        <v>3</v>
      </c>
      <c r="AD179">
        <v>1</v>
      </c>
      <c r="AE179" t="s">
        <v>49</v>
      </c>
      <c r="AF179" t="s">
        <v>71</v>
      </c>
      <c r="AI179">
        <v>5</v>
      </c>
      <c r="AJ179">
        <v>28</v>
      </c>
    </row>
    <row r="180" spans="1:36" x14ac:dyDescent="0.25">
      <c r="A180" t="s">
        <v>424</v>
      </c>
      <c r="B180">
        <v>178</v>
      </c>
      <c r="C180" t="s">
        <v>56</v>
      </c>
      <c r="D180">
        <v>1</v>
      </c>
      <c r="F180">
        <v>1</v>
      </c>
      <c r="G180" t="s">
        <v>68</v>
      </c>
      <c r="H180" t="s">
        <v>122</v>
      </c>
      <c r="I180" t="s">
        <v>87</v>
      </c>
      <c r="K180" t="s">
        <v>48</v>
      </c>
      <c r="L180">
        <v>3</v>
      </c>
      <c r="N180">
        <v>1</v>
      </c>
      <c r="O180" t="s">
        <v>89</v>
      </c>
      <c r="P180" t="s">
        <v>84</v>
      </c>
      <c r="Q180" t="s">
        <v>90</v>
      </c>
      <c r="R180" t="s">
        <v>129</v>
      </c>
      <c r="S180" t="s">
        <v>45</v>
      </c>
      <c r="T180">
        <v>3</v>
      </c>
      <c r="V180">
        <v>2</v>
      </c>
      <c r="W180" t="s">
        <v>47</v>
      </c>
      <c r="AA180" t="s">
        <v>38</v>
      </c>
      <c r="AB180">
        <v>1</v>
      </c>
      <c r="AC180">
        <v>1</v>
      </c>
      <c r="AD180">
        <v>1</v>
      </c>
      <c r="AE180" t="s">
        <v>152</v>
      </c>
      <c r="AI180">
        <v>10</v>
      </c>
      <c r="AJ180">
        <v>34</v>
      </c>
    </row>
    <row r="181" spans="1:36" x14ac:dyDescent="0.25">
      <c r="A181" t="s">
        <v>425</v>
      </c>
      <c r="B181">
        <v>179</v>
      </c>
      <c r="C181" t="s">
        <v>56</v>
      </c>
      <c r="D181">
        <v>1</v>
      </c>
      <c r="F181">
        <v>1</v>
      </c>
      <c r="G181" t="s">
        <v>68</v>
      </c>
      <c r="K181" t="s">
        <v>48</v>
      </c>
      <c r="L181">
        <v>1</v>
      </c>
      <c r="N181">
        <v>1</v>
      </c>
      <c r="O181" t="s">
        <v>89</v>
      </c>
      <c r="P181" t="s">
        <v>84</v>
      </c>
      <c r="S181" t="s">
        <v>45</v>
      </c>
      <c r="T181">
        <v>2</v>
      </c>
      <c r="V181">
        <v>1</v>
      </c>
      <c r="W181" t="s">
        <v>47</v>
      </c>
      <c r="AA181" t="s">
        <v>227</v>
      </c>
      <c r="AB181">
        <v>1</v>
      </c>
      <c r="AC181">
        <v>1</v>
      </c>
      <c r="AD181">
        <v>1</v>
      </c>
      <c r="AE181" t="s">
        <v>228</v>
      </c>
      <c r="AI181">
        <v>2</v>
      </c>
      <c r="AJ181">
        <v>22</v>
      </c>
    </row>
    <row r="182" spans="1:36" x14ac:dyDescent="0.25">
      <c r="A182" t="s">
        <v>426</v>
      </c>
      <c r="B182">
        <v>180</v>
      </c>
      <c r="C182" t="s">
        <v>56</v>
      </c>
      <c r="D182">
        <v>1</v>
      </c>
      <c r="F182">
        <v>1</v>
      </c>
      <c r="G182" t="s">
        <v>57</v>
      </c>
      <c r="H182" t="s">
        <v>122</v>
      </c>
      <c r="K182" t="s">
        <v>48</v>
      </c>
      <c r="L182">
        <v>2</v>
      </c>
      <c r="N182">
        <v>1</v>
      </c>
      <c r="O182" t="s">
        <v>49</v>
      </c>
      <c r="P182" t="s">
        <v>71</v>
      </c>
      <c r="Q182" t="s">
        <v>127</v>
      </c>
      <c r="S182" t="s">
        <v>63</v>
      </c>
      <c r="T182">
        <v>1</v>
      </c>
      <c r="V182">
        <v>1</v>
      </c>
      <c r="W182" t="s">
        <v>103</v>
      </c>
      <c r="AA182" t="s">
        <v>38</v>
      </c>
      <c r="AB182">
        <v>1</v>
      </c>
      <c r="AC182">
        <v>2</v>
      </c>
      <c r="AD182">
        <v>1</v>
      </c>
      <c r="AE182" t="s">
        <v>152</v>
      </c>
      <c r="AI182">
        <v>5</v>
      </c>
      <c r="AJ182">
        <v>25</v>
      </c>
    </row>
    <row r="183" spans="1:36" x14ac:dyDescent="0.25">
      <c r="A183" t="s">
        <v>427</v>
      </c>
      <c r="B183">
        <v>181</v>
      </c>
      <c r="C183" t="s">
        <v>56</v>
      </c>
      <c r="D183">
        <v>1</v>
      </c>
      <c r="F183">
        <v>1</v>
      </c>
      <c r="G183" t="s">
        <v>57</v>
      </c>
      <c r="H183" t="s">
        <v>122</v>
      </c>
      <c r="I183" t="s">
        <v>85</v>
      </c>
      <c r="K183" t="s">
        <v>48</v>
      </c>
      <c r="L183">
        <v>2</v>
      </c>
      <c r="N183">
        <v>1</v>
      </c>
      <c r="O183" t="s">
        <v>89</v>
      </c>
      <c r="P183" t="s">
        <v>71</v>
      </c>
      <c r="Q183" t="s">
        <v>51</v>
      </c>
      <c r="R183" t="s">
        <v>52</v>
      </c>
      <c r="S183" t="s">
        <v>63</v>
      </c>
      <c r="T183">
        <v>1</v>
      </c>
      <c r="V183">
        <v>1</v>
      </c>
      <c r="W183" t="s">
        <v>103</v>
      </c>
      <c r="X183" t="s">
        <v>91</v>
      </c>
      <c r="AA183" t="s">
        <v>227</v>
      </c>
      <c r="AB183">
        <v>1</v>
      </c>
      <c r="AC183">
        <v>1</v>
      </c>
      <c r="AD183">
        <v>2</v>
      </c>
      <c r="AE183" t="s">
        <v>228</v>
      </c>
      <c r="AF183" t="s">
        <v>232</v>
      </c>
      <c r="AG183" t="s">
        <v>235</v>
      </c>
      <c r="AI183">
        <v>10</v>
      </c>
      <c r="AJ183">
        <v>49</v>
      </c>
    </row>
    <row r="184" spans="1:36" x14ac:dyDescent="0.25">
      <c r="A184" t="s">
        <v>428</v>
      </c>
      <c r="B184">
        <v>182</v>
      </c>
      <c r="C184" t="s">
        <v>56</v>
      </c>
      <c r="D184">
        <v>1</v>
      </c>
      <c r="F184">
        <v>1</v>
      </c>
      <c r="G184" t="s">
        <v>68</v>
      </c>
      <c r="K184" t="s">
        <v>48</v>
      </c>
      <c r="L184">
        <v>2</v>
      </c>
      <c r="N184">
        <v>1</v>
      </c>
      <c r="O184" t="s">
        <v>89</v>
      </c>
      <c r="S184" t="s">
        <v>38</v>
      </c>
      <c r="T184">
        <v>1</v>
      </c>
      <c r="U184">
        <v>1</v>
      </c>
      <c r="V184">
        <v>1</v>
      </c>
      <c r="W184" t="s">
        <v>152</v>
      </c>
      <c r="AA184" t="s">
        <v>227</v>
      </c>
      <c r="AB184">
        <v>1</v>
      </c>
      <c r="AC184">
        <v>1</v>
      </c>
      <c r="AD184">
        <v>2</v>
      </c>
      <c r="AE184" t="s">
        <v>228</v>
      </c>
      <c r="AF184" t="s">
        <v>231</v>
      </c>
      <c r="AG184" t="s">
        <v>235</v>
      </c>
      <c r="AI184">
        <v>4</v>
      </c>
      <c r="AJ184">
        <v>19</v>
      </c>
    </row>
    <row r="185" spans="1:36" x14ac:dyDescent="0.25">
      <c r="A185" t="s">
        <v>429</v>
      </c>
      <c r="B185">
        <v>183</v>
      </c>
      <c r="C185" t="s">
        <v>56</v>
      </c>
      <c r="D185">
        <v>1</v>
      </c>
      <c r="F185">
        <v>1</v>
      </c>
      <c r="G185" t="s">
        <v>68</v>
      </c>
      <c r="K185" t="s">
        <v>33</v>
      </c>
      <c r="L185">
        <v>2</v>
      </c>
      <c r="N185">
        <v>3</v>
      </c>
      <c r="O185" t="s">
        <v>46</v>
      </c>
      <c r="P185" t="s">
        <v>130</v>
      </c>
      <c r="S185" t="s">
        <v>48</v>
      </c>
      <c r="T185">
        <v>3</v>
      </c>
      <c r="V185">
        <v>1</v>
      </c>
      <c r="W185" t="s">
        <v>49</v>
      </c>
      <c r="X185" t="s">
        <v>71</v>
      </c>
      <c r="Y185" t="s">
        <v>90</v>
      </c>
      <c r="AA185" t="s">
        <v>43</v>
      </c>
      <c r="AB185">
        <v>1</v>
      </c>
      <c r="AD185">
        <v>1</v>
      </c>
      <c r="AE185" t="s">
        <v>135</v>
      </c>
      <c r="AF185" t="s">
        <v>136</v>
      </c>
      <c r="AI185">
        <v>9</v>
      </c>
      <c r="AJ185">
        <v>27</v>
      </c>
    </row>
    <row r="186" spans="1:36" x14ac:dyDescent="0.25">
      <c r="A186" t="s">
        <v>430</v>
      </c>
      <c r="B186">
        <v>184</v>
      </c>
      <c r="C186" t="s">
        <v>56</v>
      </c>
      <c r="D186">
        <v>1</v>
      </c>
      <c r="F186">
        <v>1</v>
      </c>
      <c r="G186" t="s">
        <v>68</v>
      </c>
      <c r="K186" t="s">
        <v>33</v>
      </c>
      <c r="L186">
        <v>3</v>
      </c>
      <c r="N186">
        <v>3</v>
      </c>
      <c r="O186" t="s">
        <v>46</v>
      </c>
      <c r="P186" t="s">
        <v>35</v>
      </c>
      <c r="Q186" t="s">
        <v>131</v>
      </c>
      <c r="S186" t="s">
        <v>48</v>
      </c>
      <c r="T186">
        <v>3</v>
      </c>
      <c r="V186">
        <v>1</v>
      </c>
      <c r="W186" t="s">
        <v>49</v>
      </c>
      <c r="X186" t="s">
        <v>71</v>
      </c>
      <c r="AA186" t="s">
        <v>45</v>
      </c>
      <c r="AB186">
        <v>1</v>
      </c>
      <c r="AD186">
        <v>1</v>
      </c>
      <c r="AE186" t="s">
        <v>47</v>
      </c>
      <c r="AI186">
        <v>9</v>
      </c>
      <c r="AJ186">
        <v>32</v>
      </c>
    </row>
    <row r="187" spans="1:36" x14ac:dyDescent="0.25">
      <c r="A187" t="s">
        <v>431</v>
      </c>
      <c r="B187">
        <v>185</v>
      </c>
      <c r="C187" t="s">
        <v>56</v>
      </c>
      <c r="D187">
        <v>1</v>
      </c>
      <c r="F187">
        <v>1</v>
      </c>
      <c r="G187" t="s">
        <v>57</v>
      </c>
      <c r="K187" t="s">
        <v>33</v>
      </c>
      <c r="L187">
        <v>2</v>
      </c>
      <c r="N187">
        <v>2</v>
      </c>
      <c r="O187" t="s">
        <v>46</v>
      </c>
      <c r="S187" t="s">
        <v>48</v>
      </c>
      <c r="T187">
        <v>2</v>
      </c>
      <c r="V187">
        <v>1</v>
      </c>
      <c r="W187" t="s">
        <v>89</v>
      </c>
      <c r="AA187" t="s">
        <v>63</v>
      </c>
      <c r="AB187">
        <v>2</v>
      </c>
      <c r="AD187">
        <v>1</v>
      </c>
      <c r="AE187" t="s">
        <v>103</v>
      </c>
      <c r="AI187">
        <v>4</v>
      </c>
      <c r="AJ187">
        <v>19</v>
      </c>
    </row>
    <row r="188" spans="1:36" x14ac:dyDescent="0.25">
      <c r="A188" t="s">
        <v>432</v>
      </c>
      <c r="B188">
        <v>186</v>
      </c>
      <c r="C188" t="s">
        <v>48</v>
      </c>
      <c r="D188">
        <v>2</v>
      </c>
      <c r="F188">
        <v>1</v>
      </c>
      <c r="G188" t="s">
        <v>49</v>
      </c>
      <c r="K188" t="s">
        <v>38</v>
      </c>
      <c r="L188">
        <v>1</v>
      </c>
      <c r="M188">
        <v>1</v>
      </c>
      <c r="N188">
        <v>2</v>
      </c>
      <c r="O188" t="s">
        <v>152</v>
      </c>
      <c r="P188" t="s">
        <v>70</v>
      </c>
      <c r="S188" t="s">
        <v>56</v>
      </c>
      <c r="T188">
        <v>1</v>
      </c>
      <c r="V188">
        <v>1</v>
      </c>
      <c r="W188" t="s">
        <v>57</v>
      </c>
      <c r="AA188" t="s">
        <v>33</v>
      </c>
      <c r="AB188">
        <v>1</v>
      </c>
      <c r="AD188">
        <v>1</v>
      </c>
      <c r="AE188" t="s">
        <v>46</v>
      </c>
      <c r="AI188">
        <v>3</v>
      </c>
      <c r="AJ188">
        <v>27</v>
      </c>
    </row>
    <row r="189" spans="1:36" x14ac:dyDescent="0.25">
      <c r="A189" t="s">
        <v>433</v>
      </c>
      <c r="B189">
        <v>187</v>
      </c>
      <c r="C189" t="s">
        <v>56</v>
      </c>
      <c r="D189">
        <v>1</v>
      </c>
      <c r="F189">
        <v>1</v>
      </c>
      <c r="G189" t="s">
        <v>57</v>
      </c>
      <c r="H189" t="s">
        <v>122</v>
      </c>
      <c r="K189" t="s">
        <v>33</v>
      </c>
      <c r="L189">
        <v>1</v>
      </c>
      <c r="N189">
        <v>2</v>
      </c>
      <c r="O189" t="s">
        <v>46</v>
      </c>
      <c r="S189" t="s">
        <v>48</v>
      </c>
      <c r="T189">
        <v>1</v>
      </c>
      <c r="V189">
        <v>1</v>
      </c>
      <c r="W189" t="s">
        <v>89</v>
      </c>
      <c r="AA189" t="s">
        <v>227</v>
      </c>
      <c r="AB189">
        <v>1</v>
      </c>
      <c r="AC189">
        <v>1</v>
      </c>
      <c r="AD189">
        <v>1</v>
      </c>
      <c r="AE189" t="s">
        <v>228</v>
      </c>
      <c r="AI189">
        <v>2</v>
      </c>
      <c r="AJ189">
        <v>16</v>
      </c>
    </row>
    <row r="190" spans="1:36" x14ac:dyDescent="0.25">
      <c r="A190" t="s">
        <v>434</v>
      </c>
      <c r="B190">
        <v>188</v>
      </c>
      <c r="C190" t="s">
        <v>43</v>
      </c>
      <c r="D190">
        <v>1</v>
      </c>
      <c r="F190">
        <v>2</v>
      </c>
      <c r="G190" t="s">
        <v>135</v>
      </c>
      <c r="H190" t="s">
        <v>74</v>
      </c>
      <c r="K190" t="s">
        <v>45</v>
      </c>
      <c r="L190">
        <v>3</v>
      </c>
      <c r="N190">
        <v>1</v>
      </c>
      <c r="O190" t="s">
        <v>47</v>
      </c>
      <c r="S190" t="s">
        <v>56</v>
      </c>
      <c r="T190">
        <v>1</v>
      </c>
      <c r="V190">
        <v>3</v>
      </c>
      <c r="W190" t="s">
        <v>68</v>
      </c>
      <c r="AA190" t="s">
        <v>33</v>
      </c>
      <c r="AB190">
        <v>1</v>
      </c>
      <c r="AD190">
        <v>2</v>
      </c>
      <c r="AE190" t="s">
        <v>46</v>
      </c>
      <c r="AI190">
        <v>7</v>
      </c>
      <c r="AJ190">
        <v>28</v>
      </c>
    </row>
    <row r="191" spans="1:36" x14ac:dyDescent="0.25">
      <c r="A191" t="s">
        <v>435</v>
      </c>
      <c r="B191">
        <v>189</v>
      </c>
      <c r="C191" t="s">
        <v>43</v>
      </c>
      <c r="D191">
        <v>3</v>
      </c>
      <c r="F191">
        <v>1</v>
      </c>
      <c r="G191" t="s">
        <v>135</v>
      </c>
      <c r="K191" t="s">
        <v>63</v>
      </c>
      <c r="L191">
        <v>1</v>
      </c>
      <c r="N191">
        <v>1</v>
      </c>
      <c r="O191" t="s">
        <v>103</v>
      </c>
      <c r="S191" t="s">
        <v>56</v>
      </c>
      <c r="T191">
        <v>1</v>
      </c>
      <c r="V191">
        <v>1</v>
      </c>
      <c r="W191" t="s">
        <v>68</v>
      </c>
      <c r="X191" t="s">
        <v>122</v>
      </c>
      <c r="AA191" t="s">
        <v>33</v>
      </c>
      <c r="AB191">
        <v>3</v>
      </c>
      <c r="AD191">
        <v>1</v>
      </c>
      <c r="AE191" t="s">
        <v>46</v>
      </c>
      <c r="AI191">
        <v>5</v>
      </c>
      <c r="AJ191">
        <v>21</v>
      </c>
    </row>
    <row r="192" spans="1:36" x14ac:dyDescent="0.25">
      <c r="A192" t="s">
        <v>436</v>
      </c>
      <c r="B192">
        <v>190</v>
      </c>
      <c r="C192" t="s">
        <v>43</v>
      </c>
      <c r="D192">
        <v>1</v>
      </c>
      <c r="F192">
        <v>2</v>
      </c>
      <c r="G192" t="s">
        <v>135</v>
      </c>
      <c r="H192" t="s">
        <v>99</v>
      </c>
      <c r="K192" t="s">
        <v>38</v>
      </c>
      <c r="L192">
        <v>1</v>
      </c>
      <c r="M192">
        <v>1</v>
      </c>
      <c r="N192">
        <v>1</v>
      </c>
      <c r="O192" t="s">
        <v>67</v>
      </c>
      <c r="P192" t="s">
        <v>70</v>
      </c>
      <c r="S192" t="s">
        <v>56</v>
      </c>
      <c r="T192">
        <v>1</v>
      </c>
      <c r="V192">
        <v>2</v>
      </c>
      <c r="W192" t="s">
        <v>120</v>
      </c>
      <c r="AA192" t="s">
        <v>33</v>
      </c>
      <c r="AB192">
        <v>1</v>
      </c>
      <c r="AD192">
        <v>1</v>
      </c>
      <c r="AE192" t="s">
        <v>46</v>
      </c>
      <c r="AI192">
        <v>4</v>
      </c>
      <c r="AJ192">
        <v>37</v>
      </c>
    </row>
    <row r="193" spans="1:36" x14ac:dyDescent="0.25">
      <c r="A193" t="s">
        <v>437</v>
      </c>
      <c r="B193">
        <v>191</v>
      </c>
      <c r="C193" t="s">
        <v>43</v>
      </c>
      <c r="D193">
        <v>2</v>
      </c>
      <c r="F193">
        <v>1</v>
      </c>
      <c r="G193" t="s">
        <v>135</v>
      </c>
      <c r="K193" t="s">
        <v>227</v>
      </c>
      <c r="L193">
        <v>2</v>
      </c>
      <c r="M193">
        <v>1</v>
      </c>
      <c r="N193">
        <v>1</v>
      </c>
      <c r="O193" t="s">
        <v>228</v>
      </c>
      <c r="P193" t="s">
        <v>231</v>
      </c>
      <c r="S193" t="s">
        <v>56</v>
      </c>
      <c r="T193">
        <v>1</v>
      </c>
      <c r="V193">
        <v>1</v>
      </c>
      <c r="W193" t="s">
        <v>68</v>
      </c>
      <c r="X193" t="s">
        <v>122</v>
      </c>
      <c r="AA193" t="s">
        <v>33</v>
      </c>
      <c r="AB193">
        <v>1</v>
      </c>
      <c r="AD193">
        <v>2</v>
      </c>
      <c r="AE193" t="s">
        <v>46</v>
      </c>
      <c r="AI193">
        <v>5</v>
      </c>
      <c r="AJ193">
        <v>19</v>
      </c>
    </row>
    <row r="194" spans="1:36" x14ac:dyDescent="0.25">
      <c r="A194" t="s">
        <v>438</v>
      </c>
      <c r="B194">
        <v>192</v>
      </c>
      <c r="C194" t="s">
        <v>45</v>
      </c>
      <c r="D194">
        <v>2</v>
      </c>
      <c r="F194">
        <v>1</v>
      </c>
      <c r="G194" t="s">
        <v>47</v>
      </c>
      <c r="K194" t="s">
        <v>63</v>
      </c>
      <c r="L194">
        <v>1</v>
      </c>
      <c r="N194">
        <v>1</v>
      </c>
      <c r="O194" t="s">
        <v>103</v>
      </c>
      <c r="S194" t="s">
        <v>56</v>
      </c>
      <c r="T194">
        <v>1</v>
      </c>
      <c r="V194">
        <v>1</v>
      </c>
      <c r="W194" t="s">
        <v>68</v>
      </c>
      <c r="AA194" t="s">
        <v>33</v>
      </c>
      <c r="AB194">
        <v>1</v>
      </c>
      <c r="AD194">
        <v>2</v>
      </c>
      <c r="AE194" t="s">
        <v>46</v>
      </c>
      <c r="AI194">
        <v>2</v>
      </c>
      <c r="AJ194">
        <v>23</v>
      </c>
    </row>
    <row r="195" spans="1:36" x14ac:dyDescent="0.25">
      <c r="A195" t="s">
        <v>439</v>
      </c>
      <c r="B195">
        <v>193</v>
      </c>
      <c r="C195" t="s">
        <v>56</v>
      </c>
      <c r="D195">
        <v>2</v>
      </c>
      <c r="F195">
        <v>2</v>
      </c>
      <c r="G195" t="s">
        <v>68</v>
      </c>
      <c r="H195" t="s">
        <v>122</v>
      </c>
      <c r="K195" t="s">
        <v>33</v>
      </c>
      <c r="L195">
        <v>1</v>
      </c>
      <c r="N195">
        <v>2</v>
      </c>
      <c r="O195" t="s">
        <v>46</v>
      </c>
      <c r="S195" t="s">
        <v>45</v>
      </c>
      <c r="T195">
        <v>2</v>
      </c>
      <c r="V195">
        <v>2</v>
      </c>
      <c r="W195" t="s">
        <v>47</v>
      </c>
      <c r="AA195" t="s">
        <v>38</v>
      </c>
      <c r="AB195">
        <v>1</v>
      </c>
      <c r="AC195">
        <v>1</v>
      </c>
      <c r="AD195">
        <v>2</v>
      </c>
      <c r="AE195" t="s">
        <v>152</v>
      </c>
      <c r="AI195">
        <v>7</v>
      </c>
      <c r="AJ195">
        <v>25</v>
      </c>
    </row>
    <row r="196" spans="1:36" x14ac:dyDescent="0.25">
      <c r="A196" t="s">
        <v>440</v>
      </c>
      <c r="B196">
        <v>194</v>
      </c>
      <c r="C196" t="s">
        <v>45</v>
      </c>
      <c r="D196">
        <v>3</v>
      </c>
      <c r="F196">
        <v>1</v>
      </c>
      <c r="G196" t="s">
        <v>47</v>
      </c>
      <c r="H196" t="s">
        <v>92</v>
      </c>
      <c r="K196" t="s">
        <v>227</v>
      </c>
      <c r="L196">
        <v>1</v>
      </c>
      <c r="M196">
        <v>1</v>
      </c>
      <c r="N196">
        <v>1</v>
      </c>
      <c r="O196" t="s">
        <v>228</v>
      </c>
      <c r="S196" t="s">
        <v>56</v>
      </c>
      <c r="T196">
        <v>1</v>
      </c>
      <c r="V196">
        <v>1</v>
      </c>
      <c r="W196" t="s">
        <v>57</v>
      </c>
      <c r="X196" t="s">
        <v>122</v>
      </c>
      <c r="Y196" t="s">
        <v>123</v>
      </c>
      <c r="AA196" t="s">
        <v>33</v>
      </c>
      <c r="AB196">
        <v>1</v>
      </c>
      <c r="AD196">
        <v>2</v>
      </c>
      <c r="AE196" t="s">
        <v>46</v>
      </c>
      <c r="AI196">
        <v>6</v>
      </c>
      <c r="AJ196">
        <v>23</v>
      </c>
    </row>
    <row r="197" spans="1:36" x14ac:dyDescent="0.25">
      <c r="A197" t="s">
        <v>441</v>
      </c>
      <c r="B197">
        <v>195</v>
      </c>
      <c r="C197" t="s">
        <v>56</v>
      </c>
      <c r="D197">
        <v>1</v>
      </c>
      <c r="F197">
        <v>2</v>
      </c>
      <c r="G197" t="s">
        <v>68</v>
      </c>
      <c r="K197" t="s">
        <v>33</v>
      </c>
      <c r="L197">
        <v>2</v>
      </c>
      <c r="N197">
        <v>3</v>
      </c>
      <c r="O197" t="s">
        <v>46</v>
      </c>
      <c r="P197" t="s">
        <v>35</v>
      </c>
      <c r="S197" t="s">
        <v>63</v>
      </c>
      <c r="T197">
        <v>1</v>
      </c>
      <c r="V197">
        <v>1</v>
      </c>
      <c r="W197" t="s">
        <v>103</v>
      </c>
      <c r="X197" t="s">
        <v>91</v>
      </c>
      <c r="AA197" t="s">
        <v>38</v>
      </c>
      <c r="AB197">
        <v>3</v>
      </c>
      <c r="AC197">
        <v>2</v>
      </c>
      <c r="AD197">
        <v>3</v>
      </c>
      <c r="AE197" t="s">
        <v>152</v>
      </c>
      <c r="AI197">
        <v>11</v>
      </c>
      <c r="AJ197">
        <v>31</v>
      </c>
    </row>
    <row r="198" spans="1:36" x14ac:dyDescent="0.25">
      <c r="A198" t="s">
        <v>442</v>
      </c>
      <c r="B198">
        <v>196</v>
      </c>
      <c r="C198" t="s">
        <v>56</v>
      </c>
      <c r="D198">
        <v>2</v>
      </c>
      <c r="F198">
        <v>1</v>
      </c>
      <c r="G198" t="s">
        <v>57</v>
      </c>
      <c r="H198" t="s">
        <v>122</v>
      </c>
      <c r="K198" t="s">
        <v>33</v>
      </c>
      <c r="L198">
        <v>2</v>
      </c>
      <c r="N198">
        <v>1</v>
      </c>
      <c r="O198" t="s">
        <v>46</v>
      </c>
      <c r="S198" t="s">
        <v>63</v>
      </c>
      <c r="T198">
        <v>1</v>
      </c>
      <c r="V198">
        <v>1</v>
      </c>
      <c r="W198" t="s">
        <v>103</v>
      </c>
      <c r="AA198" t="s">
        <v>227</v>
      </c>
      <c r="AB198">
        <v>1</v>
      </c>
      <c r="AC198">
        <v>1</v>
      </c>
      <c r="AD198">
        <v>1</v>
      </c>
      <c r="AE198" t="s">
        <v>228</v>
      </c>
      <c r="AI198">
        <v>3</v>
      </c>
      <c r="AJ198">
        <v>17</v>
      </c>
    </row>
    <row r="199" spans="1:36" x14ac:dyDescent="0.25">
      <c r="A199" t="s">
        <v>443</v>
      </c>
      <c r="B199">
        <v>197</v>
      </c>
      <c r="C199" t="s">
        <v>56</v>
      </c>
      <c r="D199">
        <v>1</v>
      </c>
      <c r="F199">
        <v>1</v>
      </c>
      <c r="G199" t="s">
        <v>57</v>
      </c>
      <c r="H199" t="s">
        <v>122</v>
      </c>
      <c r="K199" t="s">
        <v>33</v>
      </c>
      <c r="L199">
        <v>1</v>
      </c>
      <c r="N199">
        <v>2</v>
      </c>
      <c r="O199" t="s">
        <v>46</v>
      </c>
      <c r="S199" t="s">
        <v>38</v>
      </c>
      <c r="T199">
        <v>1</v>
      </c>
      <c r="U199">
        <v>1</v>
      </c>
      <c r="V199">
        <v>1</v>
      </c>
      <c r="W199" t="s">
        <v>152</v>
      </c>
      <c r="AA199" t="s">
        <v>227</v>
      </c>
      <c r="AB199">
        <v>1</v>
      </c>
      <c r="AC199">
        <v>1</v>
      </c>
      <c r="AD199">
        <v>1</v>
      </c>
      <c r="AE199" t="s">
        <v>228</v>
      </c>
      <c r="AI199">
        <v>2</v>
      </c>
      <c r="AJ199">
        <v>15</v>
      </c>
    </row>
    <row r="200" spans="1:36" x14ac:dyDescent="0.25">
      <c r="A200" t="s">
        <v>444</v>
      </c>
      <c r="B200">
        <v>198</v>
      </c>
      <c r="C200" t="s">
        <v>56</v>
      </c>
      <c r="D200">
        <v>1</v>
      </c>
      <c r="F200">
        <v>1</v>
      </c>
      <c r="G200" t="s">
        <v>68</v>
      </c>
      <c r="K200" t="s">
        <v>43</v>
      </c>
      <c r="L200">
        <v>3</v>
      </c>
      <c r="N200">
        <v>1</v>
      </c>
      <c r="O200" t="s">
        <v>135</v>
      </c>
      <c r="P200" t="s">
        <v>74</v>
      </c>
      <c r="S200" t="s">
        <v>48</v>
      </c>
      <c r="T200">
        <v>1</v>
      </c>
      <c r="V200">
        <v>1</v>
      </c>
      <c r="W200" t="s">
        <v>49</v>
      </c>
      <c r="AA200" t="s">
        <v>33</v>
      </c>
      <c r="AB200">
        <v>1</v>
      </c>
      <c r="AD200">
        <v>3</v>
      </c>
      <c r="AE200" t="s">
        <v>46</v>
      </c>
      <c r="AI200">
        <v>5</v>
      </c>
      <c r="AJ200">
        <v>17</v>
      </c>
    </row>
    <row r="201" spans="1:36" x14ac:dyDescent="0.25">
      <c r="A201" t="s">
        <v>445</v>
      </c>
      <c r="B201">
        <v>199</v>
      </c>
      <c r="C201" t="s">
        <v>48</v>
      </c>
      <c r="D201">
        <v>2</v>
      </c>
      <c r="F201">
        <v>1</v>
      </c>
      <c r="G201" t="s">
        <v>49</v>
      </c>
      <c r="H201" t="s">
        <v>50</v>
      </c>
      <c r="K201" t="s">
        <v>45</v>
      </c>
      <c r="L201">
        <v>2</v>
      </c>
      <c r="N201">
        <v>2</v>
      </c>
      <c r="O201" t="s">
        <v>47</v>
      </c>
      <c r="S201" t="s">
        <v>56</v>
      </c>
      <c r="T201">
        <v>2</v>
      </c>
      <c r="V201">
        <v>1</v>
      </c>
      <c r="W201" t="s">
        <v>57</v>
      </c>
      <c r="AA201" t="s">
        <v>43</v>
      </c>
      <c r="AB201">
        <v>1</v>
      </c>
      <c r="AD201">
        <v>1</v>
      </c>
      <c r="AE201" t="s">
        <v>135</v>
      </c>
      <c r="AF201" t="s">
        <v>74</v>
      </c>
      <c r="AI201">
        <v>6</v>
      </c>
      <c r="AJ201">
        <v>25</v>
      </c>
    </row>
    <row r="202" spans="1:36" x14ac:dyDescent="0.25">
      <c r="A202" t="s">
        <v>446</v>
      </c>
      <c r="B202">
        <v>200</v>
      </c>
      <c r="C202" t="s">
        <v>48</v>
      </c>
      <c r="D202">
        <v>3</v>
      </c>
      <c r="F202">
        <v>1</v>
      </c>
      <c r="G202" t="s">
        <v>89</v>
      </c>
      <c r="H202" t="s">
        <v>84</v>
      </c>
      <c r="I202" t="s">
        <v>127</v>
      </c>
      <c r="K202" t="s">
        <v>63</v>
      </c>
      <c r="L202">
        <v>1</v>
      </c>
      <c r="N202">
        <v>1</v>
      </c>
      <c r="O202" t="s">
        <v>103</v>
      </c>
      <c r="S202" t="s">
        <v>56</v>
      </c>
      <c r="T202">
        <v>2</v>
      </c>
      <c r="V202">
        <v>1</v>
      </c>
      <c r="W202" t="s">
        <v>57</v>
      </c>
      <c r="X202" t="s">
        <v>122</v>
      </c>
      <c r="AA202" t="s">
        <v>43</v>
      </c>
      <c r="AB202">
        <v>2</v>
      </c>
      <c r="AD202">
        <v>1</v>
      </c>
      <c r="AE202" t="s">
        <v>135</v>
      </c>
      <c r="AF202" t="s">
        <v>74</v>
      </c>
      <c r="AI202">
        <v>8</v>
      </c>
      <c r="AJ202">
        <v>17</v>
      </c>
    </row>
    <row r="203" spans="1:36" x14ac:dyDescent="0.25">
      <c r="A203" t="s">
        <v>447</v>
      </c>
      <c r="B203">
        <v>201</v>
      </c>
      <c r="C203" t="s">
        <v>56</v>
      </c>
      <c r="D203">
        <v>1</v>
      </c>
      <c r="F203">
        <v>1</v>
      </c>
      <c r="G203" t="s">
        <v>68</v>
      </c>
      <c r="H203" t="s">
        <v>69</v>
      </c>
      <c r="K203" t="s">
        <v>43</v>
      </c>
      <c r="L203">
        <v>2</v>
      </c>
      <c r="N203">
        <v>1</v>
      </c>
      <c r="O203" t="s">
        <v>135</v>
      </c>
      <c r="P203" t="s">
        <v>74</v>
      </c>
      <c r="Q203" t="s">
        <v>75</v>
      </c>
      <c r="S203" t="s">
        <v>48</v>
      </c>
      <c r="T203">
        <v>2</v>
      </c>
      <c r="V203">
        <v>1</v>
      </c>
      <c r="W203" t="s">
        <v>89</v>
      </c>
      <c r="AA203" t="s">
        <v>38</v>
      </c>
      <c r="AB203">
        <v>1</v>
      </c>
      <c r="AC203">
        <v>1</v>
      </c>
      <c r="AD203">
        <v>2</v>
      </c>
      <c r="AE203" t="s">
        <v>152</v>
      </c>
      <c r="AI203">
        <v>6</v>
      </c>
      <c r="AJ203">
        <v>21</v>
      </c>
    </row>
    <row r="204" spans="1:36" x14ac:dyDescent="0.25">
      <c r="A204" t="s">
        <v>448</v>
      </c>
      <c r="B204">
        <v>202</v>
      </c>
      <c r="C204" t="s">
        <v>48</v>
      </c>
      <c r="D204">
        <v>3</v>
      </c>
      <c r="F204">
        <v>1</v>
      </c>
      <c r="G204" t="s">
        <v>89</v>
      </c>
      <c r="H204" t="s">
        <v>71</v>
      </c>
      <c r="K204" t="s">
        <v>227</v>
      </c>
      <c r="L204">
        <v>1</v>
      </c>
      <c r="M204">
        <v>1</v>
      </c>
      <c r="N204">
        <v>1</v>
      </c>
      <c r="O204" t="s">
        <v>228</v>
      </c>
      <c r="S204" t="s">
        <v>56</v>
      </c>
      <c r="T204">
        <v>3</v>
      </c>
      <c r="V204">
        <v>1</v>
      </c>
      <c r="W204" t="s">
        <v>68</v>
      </c>
      <c r="AA204" t="s">
        <v>43</v>
      </c>
      <c r="AB204">
        <v>1</v>
      </c>
      <c r="AD204">
        <v>1</v>
      </c>
      <c r="AE204" t="s">
        <v>73</v>
      </c>
      <c r="AF204" t="s">
        <v>136</v>
      </c>
      <c r="AI204">
        <v>6</v>
      </c>
      <c r="AJ204">
        <v>23</v>
      </c>
    </row>
    <row r="205" spans="1:36" x14ac:dyDescent="0.25">
      <c r="A205" t="s">
        <v>449</v>
      </c>
      <c r="B205">
        <v>203</v>
      </c>
      <c r="C205" t="s">
        <v>56</v>
      </c>
      <c r="D205">
        <v>1</v>
      </c>
      <c r="F205">
        <v>1</v>
      </c>
      <c r="G205" t="s">
        <v>68</v>
      </c>
      <c r="K205" t="s">
        <v>43</v>
      </c>
      <c r="L205">
        <v>2</v>
      </c>
      <c r="N205">
        <v>3</v>
      </c>
      <c r="O205" t="s">
        <v>135</v>
      </c>
      <c r="P205" t="s">
        <v>136</v>
      </c>
      <c r="S205" t="s">
        <v>33</v>
      </c>
      <c r="T205">
        <v>1</v>
      </c>
      <c r="V205">
        <v>1</v>
      </c>
      <c r="W205" t="s">
        <v>46</v>
      </c>
      <c r="AA205" t="s">
        <v>45</v>
      </c>
      <c r="AB205">
        <v>3</v>
      </c>
      <c r="AD205">
        <v>1</v>
      </c>
      <c r="AE205" t="s">
        <v>47</v>
      </c>
      <c r="AI205">
        <v>6</v>
      </c>
      <c r="AJ205">
        <v>23</v>
      </c>
    </row>
    <row r="206" spans="1:36" x14ac:dyDescent="0.25">
      <c r="A206" t="s">
        <v>450</v>
      </c>
      <c r="B206">
        <v>204</v>
      </c>
      <c r="C206" t="s">
        <v>56</v>
      </c>
      <c r="D206">
        <v>1</v>
      </c>
      <c r="F206">
        <v>1</v>
      </c>
      <c r="G206" t="s">
        <v>68</v>
      </c>
      <c r="H206" t="s">
        <v>122</v>
      </c>
      <c r="K206" t="s">
        <v>43</v>
      </c>
      <c r="L206">
        <v>1</v>
      </c>
      <c r="N206">
        <v>1</v>
      </c>
      <c r="O206" t="s">
        <v>135</v>
      </c>
      <c r="S206" t="s">
        <v>33</v>
      </c>
      <c r="T206">
        <v>2</v>
      </c>
      <c r="V206">
        <v>2</v>
      </c>
      <c r="W206" t="s">
        <v>46</v>
      </c>
      <c r="AA206" t="s">
        <v>63</v>
      </c>
      <c r="AB206">
        <v>1</v>
      </c>
      <c r="AD206">
        <v>1</v>
      </c>
      <c r="AE206" t="s">
        <v>103</v>
      </c>
      <c r="AF206" t="s">
        <v>91</v>
      </c>
      <c r="AI206">
        <v>4</v>
      </c>
      <c r="AJ206">
        <v>24</v>
      </c>
    </row>
    <row r="207" spans="1:36" x14ac:dyDescent="0.25">
      <c r="A207" t="s">
        <v>451</v>
      </c>
      <c r="B207">
        <v>205</v>
      </c>
      <c r="C207" t="s">
        <v>33</v>
      </c>
      <c r="D207">
        <v>1</v>
      </c>
      <c r="F207">
        <v>1</v>
      </c>
      <c r="G207" t="s">
        <v>46</v>
      </c>
      <c r="H207" t="s">
        <v>66</v>
      </c>
      <c r="K207" t="s">
        <v>38</v>
      </c>
      <c r="L207">
        <v>1</v>
      </c>
      <c r="M207">
        <v>1</v>
      </c>
      <c r="N207">
        <v>2</v>
      </c>
      <c r="O207" t="s">
        <v>67</v>
      </c>
      <c r="P207" t="s">
        <v>70</v>
      </c>
      <c r="Q207" t="s">
        <v>153</v>
      </c>
      <c r="S207" t="s">
        <v>56</v>
      </c>
      <c r="T207">
        <v>2</v>
      </c>
      <c r="V207">
        <v>1</v>
      </c>
      <c r="W207" t="s">
        <v>68</v>
      </c>
      <c r="X207" t="s">
        <v>122</v>
      </c>
      <c r="AA207" t="s">
        <v>43</v>
      </c>
      <c r="AB207">
        <v>1</v>
      </c>
      <c r="AD207">
        <v>1</v>
      </c>
      <c r="AE207" t="s">
        <v>135</v>
      </c>
      <c r="AI207">
        <v>6</v>
      </c>
      <c r="AJ207">
        <v>26</v>
      </c>
    </row>
    <row r="208" spans="1:36" x14ac:dyDescent="0.25">
      <c r="A208" t="s">
        <v>452</v>
      </c>
      <c r="B208">
        <v>206</v>
      </c>
      <c r="C208" t="s">
        <v>33</v>
      </c>
      <c r="D208">
        <v>3</v>
      </c>
      <c r="F208">
        <v>2</v>
      </c>
      <c r="G208" t="s">
        <v>46</v>
      </c>
      <c r="H208" t="s">
        <v>66</v>
      </c>
      <c r="K208" t="s">
        <v>227</v>
      </c>
      <c r="L208">
        <v>1</v>
      </c>
      <c r="M208">
        <v>1</v>
      </c>
      <c r="N208">
        <v>1</v>
      </c>
      <c r="O208" t="s">
        <v>228</v>
      </c>
      <c r="S208" t="s">
        <v>56</v>
      </c>
      <c r="T208">
        <v>3</v>
      </c>
      <c r="V208">
        <v>1</v>
      </c>
      <c r="W208" t="s">
        <v>68</v>
      </c>
      <c r="AA208" t="s">
        <v>43</v>
      </c>
      <c r="AB208">
        <v>1</v>
      </c>
      <c r="AD208">
        <v>1</v>
      </c>
      <c r="AE208" t="s">
        <v>73</v>
      </c>
      <c r="AF208" t="s">
        <v>136</v>
      </c>
      <c r="AI208">
        <v>7</v>
      </c>
      <c r="AJ208">
        <v>23</v>
      </c>
    </row>
    <row r="209" spans="1:36" x14ac:dyDescent="0.25">
      <c r="A209" t="s">
        <v>453</v>
      </c>
      <c r="B209">
        <v>207</v>
      </c>
      <c r="C209" t="s">
        <v>45</v>
      </c>
      <c r="D209">
        <v>3</v>
      </c>
      <c r="F209">
        <v>1</v>
      </c>
      <c r="G209" t="s">
        <v>47</v>
      </c>
      <c r="H209" t="s">
        <v>76</v>
      </c>
      <c r="I209" t="s">
        <v>142</v>
      </c>
      <c r="K209" t="s">
        <v>63</v>
      </c>
      <c r="L209">
        <v>1</v>
      </c>
      <c r="N209">
        <v>1</v>
      </c>
      <c r="O209" t="s">
        <v>103</v>
      </c>
      <c r="P209" t="s">
        <v>95</v>
      </c>
      <c r="S209" t="s">
        <v>56</v>
      </c>
      <c r="T209">
        <v>1</v>
      </c>
      <c r="V209">
        <v>1</v>
      </c>
      <c r="W209" t="s">
        <v>68</v>
      </c>
      <c r="AA209" t="s">
        <v>43</v>
      </c>
      <c r="AB209">
        <v>3</v>
      </c>
      <c r="AD209">
        <v>3</v>
      </c>
      <c r="AE209" t="s">
        <v>135</v>
      </c>
      <c r="AF209" t="s">
        <v>74</v>
      </c>
      <c r="AG209" t="s">
        <v>75</v>
      </c>
      <c r="AH209" t="s">
        <v>138</v>
      </c>
      <c r="AI209">
        <v>12</v>
      </c>
      <c r="AJ209">
        <v>36</v>
      </c>
    </row>
    <row r="210" spans="1:36" x14ac:dyDescent="0.25">
      <c r="A210" t="s">
        <v>454</v>
      </c>
      <c r="B210">
        <v>208</v>
      </c>
      <c r="C210" t="s">
        <v>56</v>
      </c>
      <c r="D210">
        <v>1</v>
      </c>
      <c r="F210">
        <v>1</v>
      </c>
      <c r="G210" t="s">
        <v>68</v>
      </c>
      <c r="K210" t="s">
        <v>43</v>
      </c>
      <c r="L210">
        <v>2</v>
      </c>
      <c r="N210">
        <v>2</v>
      </c>
      <c r="O210" t="s">
        <v>135</v>
      </c>
      <c r="P210" t="s">
        <v>74</v>
      </c>
      <c r="S210" t="s">
        <v>45</v>
      </c>
      <c r="T210">
        <v>3</v>
      </c>
      <c r="V210">
        <v>1</v>
      </c>
      <c r="W210" t="s">
        <v>47</v>
      </c>
      <c r="AA210" t="s">
        <v>38</v>
      </c>
      <c r="AB210">
        <v>1</v>
      </c>
      <c r="AC210">
        <v>1</v>
      </c>
      <c r="AD210">
        <v>1</v>
      </c>
      <c r="AE210" t="s">
        <v>67</v>
      </c>
      <c r="AI210">
        <v>5</v>
      </c>
      <c r="AJ210">
        <v>14</v>
      </c>
    </row>
    <row r="211" spans="1:36" x14ac:dyDescent="0.25">
      <c r="A211" t="s">
        <v>455</v>
      </c>
      <c r="B211">
        <v>209</v>
      </c>
      <c r="C211" t="s">
        <v>45</v>
      </c>
      <c r="D211">
        <v>3</v>
      </c>
      <c r="F211">
        <v>2</v>
      </c>
      <c r="G211" t="s">
        <v>47</v>
      </c>
      <c r="K211" t="s">
        <v>227</v>
      </c>
      <c r="L211">
        <v>1</v>
      </c>
      <c r="M211">
        <v>1</v>
      </c>
      <c r="N211">
        <v>1</v>
      </c>
      <c r="O211" t="s">
        <v>228</v>
      </c>
      <c r="S211" t="s">
        <v>56</v>
      </c>
      <c r="T211">
        <v>3</v>
      </c>
      <c r="V211">
        <v>2</v>
      </c>
      <c r="W211" t="s">
        <v>68</v>
      </c>
      <c r="AA211" t="s">
        <v>43</v>
      </c>
      <c r="AB211">
        <v>1</v>
      </c>
      <c r="AD211">
        <v>1</v>
      </c>
      <c r="AE211" t="s">
        <v>73</v>
      </c>
      <c r="AI211">
        <v>6</v>
      </c>
      <c r="AJ211">
        <v>43</v>
      </c>
    </row>
    <row r="212" spans="1:36" x14ac:dyDescent="0.25">
      <c r="A212" t="s">
        <v>456</v>
      </c>
      <c r="B212">
        <v>210</v>
      </c>
      <c r="C212" t="s">
        <v>56</v>
      </c>
      <c r="D212">
        <v>1</v>
      </c>
      <c r="F212">
        <v>1</v>
      </c>
      <c r="G212" t="s">
        <v>57</v>
      </c>
      <c r="H212" t="s">
        <v>122</v>
      </c>
      <c r="K212" t="s">
        <v>43</v>
      </c>
      <c r="L212">
        <v>3</v>
      </c>
      <c r="N212">
        <v>1</v>
      </c>
      <c r="O212" t="s">
        <v>135</v>
      </c>
      <c r="P212" t="s">
        <v>74</v>
      </c>
      <c r="Q212" t="s">
        <v>75</v>
      </c>
      <c r="R212" t="s">
        <v>138</v>
      </c>
      <c r="S212" t="s">
        <v>63</v>
      </c>
      <c r="T212">
        <v>1</v>
      </c>
      <c r="V212">
        <v>1</v>
      </c>
      <c r="W212" t="s">
        <v>103</v>
      </c>
      <c r="X212" t="s">
        <v>91</v>
      </c>
      <c r="AA212" t="s">
        <v>38</v>
      </c>
      <c r="AB212">
        <v>1</v>
      </c>
      <c r="AC212">
        <v>1</v>
      </c>
      <c r="AD212">
        <v>3</v>
      </c>
      <c r="AE212" t="s">
        <v>152</v>
      </c>
      <c r="AI212">
        <v>9</v>
      </c>
      <c r="AJ212">
        <v>25</v>
      </c>
    </row>
    <row r="213" spans="1:36" x14ac:dyDescent="0.25">
      <c r="A213" t="s">
        <v>457</v>
      </c>
      <c r="B213">
        <v>211</v>
      </c>
      <c r="C213" t="s">
        <v>56</v>
      </c>
      <c r="D213">
        <v>3</v>
      </c>
      <c r="F213">
        <v>1</v>
      </c>
      <c r="G213" t="s">
        <v>57</v>
      </c>
      <c r="H213" t="s">
        <v>122</v>
      </c>
      <c r="K213" t="s">
        <v>43</v>
      </c>
      <c r="L213">
        <v>1</v>
      </c>
      <c r="N213">
        <v>1</v>
      </c>
      <c r="O213" t="s">
        <v>73</v>
      </c>
      <c r="S213" t="s">
        <v>63</v>
      </c>
      <c r="T213">
        <v>2</v>
      </c>
      <c r="V213">
        <v>1</v>
      </c>
      <c r="W213" t="s">
        <v>103</v>
      </c>
      <c r="X213" t="s">
        <v>146</v>
      </c>
      <c r="AA213" t="s">
        <v>227</v>
      </c>
      <c r="AB213">
        <v>2</v>
      </c>
      <c r="AC213">
        <v>1</v>
      </c>
      <c r="AD213">
        <v>1</v>
      </c>
      <c r="AE213" t="s">
        <v>228</v>
      </c>
      <c r="AI213">
        <v>6</v>
      </c>
      <c r="AJ213">
        <v>20</v>
      </c>
    </row>
    <row r="214" spans="1:36" x14ac:dyDescent="0.25">
      <c r="A214" t="s">
        <v>458</v>
      </c>
      <c r="B214">
        <v>212</v>
      </c>
      <c r="C214" t="s">
        <v>56</v>
      </c>
      <c r="D214">
        <v>2</v>
      </c>
      <c r="F214">
        <v>1</v>
      </c>
      <c r="G214" t="s">
        <v>68</v>
      </c>
      <c r="K214" t="s">
        <v>43</v>
      </c>
      <c r="L214">
        <v>1</v>
      </c>
      <c r="N214">
        <v>1</v>
      </c>
      <c r="O214" t="s">
        <v>73</v>
      </c>
      <c r="P214" t="s">
        <v>99</v>
      </c>
      <c r="S214" t="s">
        <v>38</v>
      </c>
      <c r="T214">
        <v>2</v>
      </c>
      <c r="U214">
        <v>1</v>
      </c>
      <c r="V214">
        <v>2</v>
      </c>
      <c r="W214" t="s">
        <v>67</v>
      </c>
      <c r="AA214" t="s">
        <v>227</v>
      </c>
      <c r="AB214">
        <v>1</v>
      </c>
      <c r="AC214">
        <v>1</v>
      </c>
      <c r="AD214">
        <v>2</v>
      </c>
      <c r="AE214" t="s">
        <v>228</v>
      </c>
      <c r="AI214">
        <v>5</v>
      </c>
      <c r="AJ214">
        <v>19</v>
      </c>
    </row>
    <row r="215" spans="1:36" x14ac:dyDescent="0.25">
      <c r="A215" t="s">
        <v>459</v>
      </c>
      <c r="B215">
        <v>213</v>
      </c>
      <c r="C215" t="s">
        <v>48</v>
      </c>
      <c r="D215">
        <v>1</v>
      </c>
      <c r="F215">
        <v>1</v>
      </c>
      <c r="G215" t="s">
        <v>49</v>
      </c>
      <c r="K215" t="s">
        <v>33</v>
      </c>
      <c r="L215">
        <v>1</v>
      </c>
      <c r="N215">
        <v>2</v>
      </c>
      <c r="O215" t="s">
        <v>46</v>
      </c>
      <c r="S215" t="s">
        <v>56</v>
      </c>
      <c r="T215">
        <v>2</v>
      </c>
      <c r="V215">
        <v>1</v>
      </c>
      <c r="W215" t="s">
        <v>57</v>
      </c>
      <c r="AA215" t="s">
        <v>45</v>
      </c>
      <c r="AB215">
        <v>1</v>
      </c>
      <c r="AD215">
        <v>1</v>
      </c>
      <c r="AE215" t="s">
        <v>47</v>
      </c>
      <c r="AI215">
        <v>2</v>
      </c>
      <c r="AJ215">
        <v>34</v>
      </c>
    </row>
    <row r="216" spans="1:36" x14ac:dyDescent="0.25">
      <c r="A216" t="s">
        <v>460</v>
      </c>
      <c r="B216">
        <v>214</v>
      </c>
      <c r="C216" t="s">
        <v>48</v>
      </c>
      <c r="D216">
        <v>3</v>
      </c>
      <c r="F216">
        <v>1</v>
      </c>
      <c r="G216" t="s">
        <v>49</v>
      </c>
      <c r="H216" t="s">
        <v>71</v>
      </c>
      <c r="I216" t="s">
        <v>90</v>
      </c>
      <c r="J216" t="s">
        <v>128</v>
      </c>
      <c r="K216" t="s">
        <v>43</v>
      </c>
      <c r="L216">
        <v>1</v>
      </c>
      <c r="N216">
        <v>1</v>
      </c>
      <c r="O216" t="s">
        <v>135</v>
      </c>
      <c r="S216" t="s">
        <v>56</v>
      </c>
      <c r="T216">
        <v>1</v>
      </c>
      <c r="V216">
        <v>1</v>
      </c>
      <c r="W216" t="s">
        <v>68</v>
      </c>
      <c r="AA216" t="s">
        <v>45</v>
      </c>
      <c r="AB216">
        <v>3</v>
      </c>
      <c r="AD216">
        <v>1</v>
      </c>
      <c r="AE216" t="s">
        <v>47</v>
      </c>
      <c r="AI216">
        <v>7</v>
      </c>
      <c r="AJ216">
        <v>42</v>
      </c>
    </row>
    <row r="217" spans="1:36" x14ac:dyDescent="0.25">
      <c r="A217" s="36" t="s">
        <v>461</v>
      </c>
      <c r="B217">
        <v>215</v>
      </c>
      <c r="C217" t="s">
        <v>48</v>
      </c>
      <c r="D217">
        <v>1</v>
      </c>
      <c r="F217">
        <v>1</v>
      </c>
      <c r="G217" t="s">
        <v>89</v>
      </c>
      <c r="K217" t="s">
        <v>63</v>
      </c>
      <c r="L217">
        <v>1</v>
      </c>
      <c r="N217">
        <v>1</v>
      </c>
      <c r="O217" t="s">
        <v>103</v>
      </c>
      <c r="S217" t="s">
        <v>56</v>
      </c>
      <c r="T217">
        <v>1</v>
      </c>
      <c r="V217">
        <v>1</v>
      </c>
      <c r="W217" t="s">
        <v>57</v>
      </c>
      <c r="AA217" t="s">
        <v>45</v>
      </c>
      <c r="AB217">
        <v>2</v>
      </c>
      <c r="AD217">
        <v>1</v>
      </c>
      <c r="AE217" t="s">
        <v>47</v>
      </c>
      <c r="AI217">
        <v>1</v>
      </c>
      <c r="AJ217">
        <v>26</v>
      </c>
    </row>
    <row r="218" spans="1:36" x14ac:dyDescent="0.25">
      <c r="A218" t="s">
        <v>462</v>
      </c>
      <c r="B218">
        <v>216</v>
      </c>
      <c r="C218" t="s">
        <v>48</v>
      </c>
      <c r="D218">
        <v>1</v>
      </c>
      <c r="F218">
        <v>1</v>
      </c>
      <c r="G218" t="s">
        <v>49</v>
      </c>
      <c r="K218" t="s">
        <v>38</v>
      </c>
      <c r="L218">
        <v>1</v>
      </c>
      <c r="M218">
        <v>1</v>
      </c>
      <c r="N218">
        <v>3</v>
      </c>
      <c r="O218" t="s">
        <v>67</v>
      </c>
      <c r="P218" t="s">
        <v>70</v>
      </c>
      <c r="S218" t="s">
        <v>56</v>
      </c>
      <c r="T218">
        <v>1</v>
      </c>
      <c r="V218">
        <v>1</v>
      </c>
      <c r="W218" t="s">
        <v>57</v>
      </c>
      <c r="X218" t="s">
        <v>122</v>
      </c>
      <c r="AA218" t="s">
        <v>45</v>
      </c>
      <c r="AB218">
        <v>2</v>
      </c>
      <c r="AD218">
        <v>1</v>
      </c>
      <c r="AE218" t="s">
        <v>47</v>
      </c>
      <c r="AI218">
        <v>5</v>
      </c>
      <c r="AJ218">
        <v>29</v>
      </c>
    </row>
    <row r="219" spans="1:36" x14ac:dyDescent="0.25">
      <c r="A219" t="s">
        <v>463</v>
      </c>
      <c r="B219">
        <v>217</v>
      </c>
      <c r="C219" t="s">
        <v>48</v>
      </c>
      <c r="D219">
        <v>1</v>
      </c>
      <c r="F219">
        <v>1</v>
      </c>
      <c r="G219" t="s">
        <v>49</v>
      </c>
      <c r="H219" t="s">
        <v>71</v>
      </c>
      <c r="K219" t="s">
        <v>227</v>
      </c>
      <c r="L219">
        <v>1</v>
      </c>
      <c r="M219">
        <v>1</v>
      </c>
      <c r="N219">
        <v>1</v>
      </c>
      <c r="O219" t="s">
        <v>228</v>
      </c>
      <c r="P219" t="s">
        <v>231</v>
      </c>
      <c r="S219" t="s">
        <v>56</v>
      </c>
      <c r="T219">
        <v>1</v>
      </c>
      <c r="V219">
        <v>1</v>
      </c>
      <c r="W219" t="s">
        <v>57</v>
      </c>
      <c r="AA219" t="s">
        <v>45</v>
      </c>
      <c r="AB219">
        <v>1</v>
      </c>
      <c r="AD219">
        <v>1</v>
      </c>
      <c r="AE219" t="s">
        <v>47</v>
      </c>
      <c r="AI219">
        <v>2</v>
      </c>
      <c r="AJ219">
        <v>25</v>
      </c>
    </row>
    <row r="220" spans="1:36" x14ac:dyDescent="0.25">
      <c r="A220" t="s">
        <v>464</v>
      </c>
      <c r="B220">
        <v>218</v>
      </c>
      <c r="C220" t="s">
        <v>56</v>
      </c>
      <c r="D220">
        <v>1</v>
      </c>
      <c r="F220">
        <v>1</v>
      </c>
      <c r="G220" t="s">
        <v>68</v>
      </c>
      <c r="K220" t="s">
        <v>45</v>
      </c>
      <c r="L220">
        <v>2</v>
      </c>
      <c r="N220">
        <v>1</v>
      </c>
      <c r="O220" t="s">
        <v>140</v>
      </c>
      <c r="S220" t="s">
        <v>33</v>
      </c>
      <c r="T220">
        <v>1</v>
      </c>
      <c r="V220">
        <v>2</v>
      </c>
      <c r="W220" t="s">
        <v>46</v>
      </c>
      <c r="AA220" t="s">
        <v>43</v>
      </c>
      <c r="AB220">
        <v>2</v>
      </c>
      <c r="AD220">
        <v>1</v>
      </c>
      <c r="AE220" t="s">
        <v>135</v>
      </c>
      <c r="AI220">
        <v>3</v>
      </c>
      <c r="AJ220">
        <v>22</v>
      </c>
    </row>
    <row r="221" spans="1:36" x14ac:dyDescent="0.25">
      <c r="A221" t="s">
        <v>465</v>
      </c>
      <c r="B221">
        <v>219</v>
      </c>
      <c r="C221" t="s">
        <v>33</v>
      </c>
      <c r="D221">
        <v>1</v>
      </c>
      <c r="F221">
        <v>2</v>
      </c>
      <c r="G221" t="s">
        <v>46</v>
      </c>
      <c r="K221" t="s">
        <v>63</v>
      </c>
      <c r="L221">
        <v>1</v>
      </c>
      <c r="N221">
        <v>1</v>
      </c>
      <c r="O221" t="s">
        <v>103</v>
      </c>
      <c r="P221" t="s">
        <v>91</v>
      </c>
      <c r="S221" t="s">
        <v>56</v>
      </c>
      <c r="T221">
        <v>2</v>
      </c>
      <c r="V221">
        <v>1</v>
      </c>
      <c r="W221" t="s">
        <v>57</v>
      </c>
      <c r="AA221" t="s">
        <v>45</v>
      </c>
      <c r="AB221">
        <v>1</v>
      </c>
      <c r="AD221">
        <v>1</v>
      </c>
      <c r="AE221" t="s">
        <v>47</v>
      </c>
      <c r="AI221">
        <v>3</v>
      </c>
      <c r="AJ221">
        <v>27</v>
      </c>
    </row>
    <row r="222" spans="1:36" x14ac:dyDescent="0.25">
      <c r="A222" t="s">
        <v>466</v>
      </c>
      <c r="B222">
        <v>220</v>
      </c>
      <c r="C222" t="s">
        <v>56</v>
      </c>
      <c r="D222">
        <v>1</v>
      </c>
      <c r="F222">
        <v>1</v>
      </c>
      <c r="G222" t="s">
        <v>68</v>
      </c>
      <c r="H222" t="s">
        <v>121</v>
      </c>
      <c r="K222" t="s">
        <v>45</v>
      </c>
      <c r="L222">
        <v>3</v>
      </c>
      <c r="N222">
        <v>1</v>
      </c>
      <c r="O222" t="s">
        <v>47</v>
      </c>
      <c r="S222" t="s">
        <v>33</v>
      </c>
      <c r="T222">
        <v>2</v>
      </c>
      <c r="V222">
        <v>3</v>
      </c>
      <c r="W222" t="s">
        <v>46</v>
      </c>
      <c r="AA222" t="s">
        <v>38</v>
      </c>
      <c r="AB222">
        <v>1</v>
      </c>
      <c r="AC222">
        <v>1</v>
      </c>
      <c r="AD222">
        <v>1</v>
      </c>
      <c r="AE222" t="s">
        <v>67</v>
      </c>
      <c r="AI222">
        <v>6</v>
      </c>
      <c r="AJ222">
        <v>20</v>
      </c>
    </row>
    <row r="223" spans="1:36" x14ac:dyDescent="0.25">
      <c r="A223" t="s">
        <v>467</v>
      </c>
      <c r="B223">
        <v>221</v>
      </c>
      <c r="C223" t="s">
        <v>56</v>
      </c>
      <c r="D223">
        <v>2</v>
      </c>
      <c r="F223">
        <v>1</v>
      </c>
      <c r="G223" t="s">
        <v>57</v>
      </c>
      <c r="H223" t="s">
        <v>122</v>
      </c>
      <c r="I223" t="s">
        <v>85</v>
      </c>
      <c r="K223" t="s">
        <v>45</v>
      </c>
      <c r="L223">
        <v>2</v>
      </c>
      <c r="N223">
        <v>1</v>
      </c>
      <c r="O223" t="s">
        <v>47</v>
      </c>
      <c r="S223" t="s">
        <v>33</v>
      </c>
      <c r="T223">
        <v>1</v>
      </c>
      <c r="V223">
        <v>2</v>
      </c>
      <c r="W223" t="s">
        <v>46</v>
      </c>
      <c r="AA223" t="s">
        <v>227</v>
      </c>
      <c r="AB223">
        <v>1</v>
      </c>
      <c r="AC223">
        <v>1</v>
      </c>
      <c r="AD223">
        <v>1</v>
      </c>
      <c r="AE223" t="s">
        <v>228</v>
      </c>
      <c r="AF223" t="s">
        <v>231</v>
      </c>
      <c r="AG223" t="s">
        <v>235</v>
      </c>
      <c r="AI223">
        <v>7</v>
      </c>
      <c r="AJ223">
        <v>20</v>
      </c>
    </row>
    <row r="224" spans="1:36" x14ac:dyDescent="0.25">
      <c r="A224" t="s">
        <v>468</v>
      </c>
      <c r="B224">
        <v>222</v>
      </c>
      <c r="C224" t="s">
        <v>56</v>
      </c>
      <c r="D224">
        <v>1</v>
      </c>
      <c r="F224">
        <v>1</v>
      </c>
      <c r="G224" t="s">
        <v>68</v>
      </c>
      <c r="K224" t="s">
        <v>45</v>
      </c>
      <c r="L224">
        <v>3</v>
      </c>
      <c r="N224">
        <v>1</v>
      </c>
      <c r="O224" t="s">
        <v>47</v>
      </c>
      <c r="S224" t="s">
        <v>43</v>
      </c>
      <c r="T224">
        <v>1</v>
      </c>
      <c r="V224">
        <v>1</v>
      </c>
      <c r="W224" t="s">
        <v>135</v>
      </c>
      <c r="AA224" t="s">
        <v>63</v>
      </c>
      <c r="AB224">
        <v>2</v>
      </c>
      <c r="AD224">
        <v>1</v>
      </c>
      <c r="AE224" t="s">
        <v>103</v>
      </c>
      <c r="AI224">
        <v>3</v>
      </c>
      <c r="AJ224">
        <v>20</v>
      </c>
    </row>
    <row r="225" spans="1:36" x14ac:dyDescent="0.25">
      <c r="A225" t="s">
        <v>469</v>
      </c>
      <c r="B225">
        <v>223</v>
      </c>
      <c r="C225" t="s">
        <v>43</v>
      </c>
      <c r="D225">
        <v>3</v>
      </c>
      <c r="F225">
        <v>1</v>
      </c>
      <c r="G225" t="s">
        <v>135</v>
      </c>
      <c r="H225" t="s">
        <v>99</v>
      </c>
      <c r="I225" t="s">
        <v>75</v>
      </c>
      <c r="J225" t="s">
        <v>138</v>
      </c>
      <c r="K225" t="s">
        <v>38</v>
      </c>
      <c r="L225">
        <v>1</v>
      </c>
      <c r="M225">
        <v>1</v>
      </c>
      <c r="N225">
        <v>2</v>
      </c>
      <c r="O225" t="s">
        <v>67</v>
      </c>
      <c r="P225" t="s">
        <v>70</v>
      </c>
      <c r="S225" t="s">
        <v>56</v>
      </c>
      <c r="T225">
        <v>3</v>
      </c>
      <c r="V225">
        <v>2</v>
      </c>
      <c r="W225" t="s">
        <v>68</v>
      </c>
      <c r="AA225" t="s">
        <v>45</v>
      </c>
      <c r="AB225">
        <v>2</v>
      </c>
      <c r="AD225">
        <v>1</v>
      </c>
      <c r="AE225" t="s">
        <v>86</v>
      </c>
      <c r="AI225">
        <v>11</v>
      </c>
      <c r="AJ225">
        <v>32</v>
      </c>
    </row>
    <row r="226" spans="1:36" x14ac:dyDescent="0.25">
      <c r="A226" t="s">
        <v>470</v>
      </c>
      <c r="B226">
        <v>224</v>
      </c>
      <c r="C226" t="s">
        <v>43</v>
      </c>
      <c r="D226">
        <v>2</v>
      </c>
      <c r="F226">
        <v>1</v>
      </c>
      <c r="G226" t="s">
        <v>135</v>
      </c>
      <c r="H226" t="s">
        <v>99</v>
      </c>
      <c r="K226" t="s">
        <v>227</v>
      </c>
      <c r="L226">
        <v>1</v>
      </c>
      <c r="M226">
        <v>1</v>
      </c>
      <c r="N226">
        <v>1</v>
      </c>
      <c r="O226" t="s">
        <v>228</v>
      </c>
      <c r="P226" t="s">
        <v>231</v>
      </c>
      <c r="Q226" t="s">
        <v>234</v>
      </c>
      <c r="S226" t="s">
        <v>56</v>
      </c>
      <c r="T226">
        <v>2</v>
      </c>
      <c r="V226">
        <v>1</v>
      </c>
      <c r="W226" t="s">
        <v>57</v>
      </c>
      <c r="AA226" t="s">
        <v>45</v>
      </c>
      <c r="AB226">
        <v>2</v>
      </c>
      <c r="AD226">
        <v>1</v>
      </c>
      <c r="AE226" t="s">
        <v>47</v>
      </c>
      <c r="AI226">
        <v>6</v>
      </c>
      <c r="AJ226">
        <v>19</v>
      </c>
    </row>
    <row r="227" spans="1:36" x14ac:dyDescent="0.25">
      <c r="A227" t="s">
        <v>471</v>
      </c>
      <c r="B227">
        <v>225</v>
      </c>
      <c r="C227" t="s">
        <v>56</v>
      </c>
      <c r="D227">
        <v>3</v>
      </c>
      <c r="F227">
        <v>1</v>
      </c>
      <c r="G227" t="s">
        <v>57</v>
      </c>
      <c r="K227" t="s">
        <v>45</v>
      </c>
      <c r="L227">
        <v>2</v>
      </c>
      <c r="N227">
        <v>1</v>
      </c>
      <c r="O227" t="s">
        <v>47</v>
      </c>
      <c r="S227" t="s">
        <v>63</v>
      </c>
      <c r="T227">
        <v>1</v>
      </c>
      <c r="V227">
        <v>1</v>
      </c>
      <c r="W227" t="s">
        <v>103</v>
      </c>
      <c r="X227" t="s">
        <v>91</v>
      </c>
      <c r="AA227" t="s">
        <v>38</v>
      </c>
      <c r="AB227">
        <v>1</v>
      </c>
      <c r="AC227">
        <v>1</v>
      </c>
      <c r="AD227">
        <v>2</v>
      </c>
      <c r="AE227" t="s">
        <v>67</v>
      </c>
      <c r="AI227">
        <v>5</v>
      </c>
      <c r="AJ227">
        <v>27</v>
      </c>
    </row>
    <row r="228" spans="1:36" x14ac:dyDescent="0.25">
      <c r="A228" t="s">
        <v>472</v>
      </c>
      <c r="B228">
        <v>226</v>
      </c>
      <c r="C228" t="s">
        <v>63</v>
      </c>
      <c r="D228">
        <v>1</v>
      </c>
      <c r="F228">
        <v>1</v>
      </c>
      <c r="G228" t="s">
        <v>72</v>
      </c>
      <c r="K228" t="s">
        <v>227</v>
      </c>
      <c r="L228">
        <v>1</v>
      </c>
      <c r="M228">
        <v>1</v>
      </c>
      <c r="N228">
        <v>2</v>
      </c>
      <c r="O228" t="s">
        <v>228</v>
      </c>
      <c r="P228" t="s">
        <v>231</v>
      </c>
      <c r="S228" t="s">
        <v>56</v>
      </c>
      <c r="T228">
        <v>2</v>
      </c>
      <c r="V228">
        <v>1</v>
      </c>
      <c r="W228" t="s">
        <v>57</v>
      </c>
      <c r="X228" t="s">
        <v>122</v>
      </c>
      <c r="Y228" t="s">
        <v>85</v>
      </c>
      <c r="AA228" t="s">
        <v>45</v>
      </c>
      <c r="AB228">
        <v>1</v>
      </c>
      <c r="AD228">
        <v>1</v>
      </c>
      <c r="AE228" t="s">
        <v>47</v>
      </c>
      <c r="AI228">
        <v>5</v>
      </c>
      <c r="AJ228">
        <v>39</v>
      </c>
    </row>
    <row r="229" spans="1:36" x14ac:dyDescent="0.25">
      <c r="A229" t="s">
        <v>473</v>
      </c>
      <c r="B229">
        <v>227</v>
      </c>
      <c r="C229" t="s">
        <v>38</v>
      </c>
      <c r="D229">
        <v>1</v>
      </c>
      <c r="E229">
        <v>1</v>
      </c>
      <c r="F229">
        <v>2</v>
      </c>
      <c r="G229" t="s">
        <v>67</v>
      </c>
      <c r="K229" t="s">
        <v>227</v>
      </c>
      <c r="L229">
        <v>1</v>
      </c>
      <c r="M229">
        <v>2</v>
      </c>
      <c r="N229">
        <v>3</v>
      </c>
      <c r="O229" t="s">
        <v>228</v>
      </c>
      <c r="P229" t="s">
        <v>231</v>
      </c>
      <c r="Q229" t="s">
        <v>235</v>
      </c>
      <c r="R229" t="s">
        <v>237</v>
      </c>
      <c r="S229" t="s">
        <v>56</v>
      </c>
      <c r="T229">
        <v>3</v>
      </c>
      <c r="V229">
        <v>2</v>
      </c>
      <c r="W229" t="s">
        <v>57</v>
      </c>
      <c r="X229" t="s">
        <v>122</v>
      </c>
      <c r="Y229" t="s">
        <v>85</v>
      </c>
      <c r="Z229" t="s">
        <v>125</v>
      </c>
      <c r="AA229" t="s">
        <v>45</v>
      </c>
      <c r="AB229">
        <v>3</v>
      </c>
      <c r="AD229">
        <v>1</v>
      </c>
      <c r="AE229" t="s">
        <v>86</v>
      </c>
      <c r="AI229">
        <v>15</v>
      </c>
      <c r="AJ229">
        <v>33</v>
      </c>
    </row>
    <row r="230" spans="1:36" x14ac:dyDescent="0.25">
      <c r="A230" t="s">
        <v>474</v>
      </c>
      <c r="B230">
        <v>228</v>
      </c>
      <c r="C230" t="s">
        <v>48</v>
      </c>
      <c r="D230">
        <v>1</v>
      </c>
      <c r="F230">
        <v>1</v>
      </c>
      <c r="G230" t="s">
        <v>49</v>
      </c>
      <c r="K230" t="s">
        <v>33</v>
      </c>
      <c r="L230">
        <v>2</v>
      </c>
      <c r="N230">
        <v>2</v>
      </c>
      <c r="O230" t="s">
        <v>46</v>
      </c>
      <c r="S230" t="s">
        <v>56</v>
      </c>
      <c r="T230">
        <v>2</v>
      </c>
      <c r="V230">
        <v>2</v>
      </c>
      <c r="W230" t="s">
        <v>57</v>
      </c>
      <c r="AA230" t="s">
        <v>63</v>
      </c>
      <c r="AB230">
        <v>1</v>
      </c>
      <c r="AD230">
        <v>1</v>
      </c>
      <c r="AE230" t="s">
        <v>72</v>
      </c>
      <c r="AI230">
        <v>4</v>
      </c>
      <c r="AJ230">
        <v>26</v>
      </c>
    </row>
    <row r="231" spans="1:36" x14ac:dyDescent="0.25">
      <c r="A231" s="36" t="s">
        <v>475</v>
      </c>
      <c r="B231">
        <v>229</v>
      </c>
      <c r="C231" t="s">
        <v>48</v>
      </c>
      <c r="D231">
        <v>2</v>
      </c>
      <c r="F231">
        <v>1</v>
      </c>
      <c r="G231" t="s">
        <v>49</v>
      </c>
      <c r="K231" t="s">
        <v>43</v>
      </c>
      <c r="L231">
        <v>1</v>
      </c>
      <c r="N231">
        <v>1</v>
      </c>
      <c r="O231" t="s">
        <v>135</v>
      </c>
      <c r="P231" t="s">
        <v>74</v>
      </c>
      <c r="S231" t="s">
        <v>56</v>
      </c>
      <c r="T231">
        <v>1</v>
      </c>
      <c r="V231">
        <v>1</v>
      </c>
      <c r="W231" t="s">
        <v>57</v>
      </c>
      <c r="AA231" t="s">
        <v>63</v>
      </c>
      <c r="AB231">
        <v>1</v>
      </c>
      <c r="AD231">
        <v>1</v>
      </c>
      <c r="AE231" t="s">
        <v>72</v>
      </c>
      <c r="AI231">
        <v>2</v>
      </c>
      <c r="AJ231">
        <v>32</v>
      </c>
    </row>
    <row r="232" spans="1:36" x14ac:dyDescent="0.25">
      <c r="A232" t="s">
        <v>476</v>
      </c>
      <c r="B232">
        <v>230</v>
      </c>
      <c r="C232" t="s">
        <v>48</v>
      </c>
      <c r="D232">
        <v>2</v>
      </c>
      <c r="F232">
        <v>1</v>
      </c>
      <c r="G232" t="s">
        <v>49</v>
      </c>
      <c r="K232" t="s">
        <v>45</v>
      </c>
      <c r="L232">
        <v>3</v>
      </c>
      <c r="N232">
        <v>2</v>
      </c>
      <c r="O232" t="s">
        <v>47</v>
      </c>
      <c r="S232" t="s">
        <v>56</v>
      </c>
      <c r="T232">
        <v>2</v>
      </c>
      <c r="V232">
        <v>1</v>
      </c>
      <c r="W232" t="s">
        <v>57</v>
      </c>
      <c r="AA232" t="s">
        <v>63</v>
      </c>
      <c r="AB232">
        <v>1</v>
      </c>
      <c r="AD232">
        <v>1</v>
      </c>
      <c r="AE232" t="s">
        <v>72</v>
      </c>
      <c r="AF232" t="s">
        <v>91</v>
      </c>
      <c r="AI232">
        <v>6</v>
      </c>
      <c r="AJ232">
        <v>27</v>
      </c>
    </row>
    <row r="233" spans="1:36" x14ac:dyDescent="0.25">
      <c r="A233" t="s">
        <v>477</v>
      </c>
      <c r="B233">
        <v>231</v>
      </c>
      <c r="C233" t="s">
        <v>56</v>
      </c>
      <c r="D233">
        <v>1</v>
      </c>
      <c r="F233">
        <v>1</v>
      </c>
      <c r="G233" t="s">
        <v>57</v>
      </c>
      <c r="H233" t="s">
        <v>122</v>
      </c>
      <c r="K233" t="s">
        <v>63</v>
      </c>
      <c r="L233">
        <v>1</v>
      </c>
      <c r="N233">
        <v>1</v>
      </c>
      <c r="O233" t="s">
        <v>103</v>
      </c>
      <c r="P233" t="s">
        <v>91</v>
      </c>
      <c r="S233" t="s">
        <v>48</v>
      </c>
      <c r="T233">
        <v>2</v>
      </c>
      <c r="V233">
        <v>1</v>
      </c>
      <c r="W233" t="s">
        <v>49</v>
      </c>
      <c r="X233" t="s">
        <v>50</v>
      </c>
      <c r="AA233" t="s">
        <v>38</v>
      </c>
      <c r="AB233">
        <v>1</v>
      </c>
      <c r="AC233">
        <v>1</v>
      </c>
      <c r="AD233">
        <v>1</v>
      </c>
      <c r="AE233" t="s">
        <v>152</v>
      </c>
      <c r="AI233">
        <v>4</v>
      </c>
      <c r="AJ233">
        <v>27</v>
      </c>
    </row>
    <row r="234" spans="1:36" x14ac:dyDescent="0.25">
      <c r="A234" t="s">
        <v>478</v>
      </c>
      <c r="B234">
        <v>232</v>
      </c>
      <c r="C234" t="s">
        <v>48</v>
      </c>
      <c r="D234">
        <v>2</v>
      </c>
      <c r="F234">
        <v>1</v>
      </c>
      <c r="G234" t="s">
        <v>49</v>
      </c>
      <c r="K234" t="s">
        <v>227</v>
      </c>
      <c r="L234">
        <v>3</v>
      </c>
      <c r="M234">
        <v>1</v>
      </c>
      <c r="N234">
        <v>3</v>
      </c>
      <c r="O234" t="s">
        <v>228</v>
      </c>
      <c r="P234" t="s">
        <v>231</v>
      </c>
      <c r="S234" t="s">
        <v>56</v>
      </c>
      <c r="T234">
        <v>1</v>
      </c>
      <c r="V234">
        <v>1</v>
      </c>
      <c r="W234" t="s">
        <v>57</v>
      </c>
      <c r="X234" t="s">
        <v>122</v>
      </c>
      <c r="AA234" t="s">
        <v>63</v>
      </c>
      <c r="AB234">
        <v>2</v>
      </c>
      <c r="AD234">
        <v>2</v>
      </c>
      <c r="AE234" t="s">
        <v>103</v>
      </c>
      <c r="AF234" t="s">
        <v>91</v>
      </c>
      <c r="AI234">
        <v>10</v>
      </c>
      <c r="AJ234">
        <v>38</v>
      </c>
    </row>
    <row r="235" spans="1:36" x14ac:dyDescent="0.25">
      <c r="A235" t="s">
        <v>479</v>
      </c>
      <c r="B235">
        <v>233</v>
      </c>
      <c r="C235" t="s">
        <v>33</v>
      </c>
      <c r="D235">
        <v>2</v>
      </c>
      <c r="F235">
        <v>1</v>
      </c>
      <c r="G235" t="s">
        <v>46</v>
      </c>
      <c r="K235" t="s">
        <v>43</v>
      </c>
      <c r="L235">
        <v>2</v>
      </c>
      <c r="N235">
        <v>1</v>
      </c>
      <c r="O235" t="s">
        <v>135</v>
      </c>
      <c r="P235" t="s">
        <v>74</v>
      </c>
      <c r="S235" t="s">
        <v>56</v>
      </c>
      <c r="T235">
        <v>1</v>
      </c>
      <c r="V235">
        <v>1</v>
      </c>
      <c r="W235" t="s">
        <v>68</v>
      </c>
      <c r="AA235" t="s">
        <v>63</v>
      </c>
      <c r="AB235">
        <v>1</v>
      </c>
      <c r="AD235">
        <v>1</v>
      </c>
      <c r="AE235" t="s">
        <v>72</v>
      </c>
      <c r="AF235" t="s">
        <v>91</v>
      </c>
      <c r="AI235">
        <v>4</v>
      </c>
      <c r="AJ235">
        <v>20</v>
      </c>
    </row>
    <row r="236" spans="1:36" x14ac:dyDescent="0.25">
      <c r="A236" t="s">
        <v>480</v>
      </c>
      <c r="B236">
        <v>234</v>
      </c>
      <c r="C236" t="s">
        <v>33</v>
      </c>
      <c r="D236">
        <v>1</v>
      </c>
      <c r="F236">
        <v>3</v>
      </c>
      <c r="G236" t="s">
        <v>46</v>
      </c>
      <c r="K236" t="s">
        <v>45</v>
      </c>
      <c r="L236">
        <v>1</v>
      </c>
      <c r="N236">
        <v>1</v>
      </c>
      <c r="O236" t="s">
        <v>47</v>
      </c>
      <c r="S236" t="s">
        <v>56</v>
      </c>
      <c r="T236">
        <v>1</v>
      </c>
      <c r="V236">
        <v>1</v>
      </c>
      <c r="W236" t="s">
        <v>68</v>
      </c>
      <c r="AA236" t="s">
        <v>63</v>
      </c>
      <c r="AB236">
        <v>2</v>
      </c>
      <c r="AD236">
        <v>1</v>
      </c>
      <c r="AE236" t="s">
        <v>72</v>
      </c>
      <c r="AI236">
        <v>3</v>
      </c>
      <c r="AJ236">
        <v>26</v>
      </c>
    </row>
    <row r="237" spans="1:36" x14ac:dyDescent="0.25">
      <c r="A237" t="s">
        <v>481</v>
      </c>
      <c r="B237">
        <v>235</v>
      </c>
      <c r="C237" t="s">
        <v>33</v>
      </c>
      <c r="D237">
        <v>1</v>
      </c>
      <c r="F237">
        <v>3</v>
      </c>
      <c r="G237" t="s">
        <v>46</v>
      </c>
      <c r="H237" t="s">
        <v>35</v>
      </c>
      <c r="I237" t="s">
        <v>131</v>
      </c>
      <c r="K237" t="s">
        <v>38</v>
      </c>
      <c r="L237">
        <v>1</v>
      </c>
      <c r="M237">
        <v>1</v>
      </c>
      <c r="N237">
        <v>1</v>
      </c>
      <c r="O237" t="s">
        <v>152</v>
      </c>
      <c r="S237" t="s">
        <v>56</v>
      </c>
      <c r="T237">
        <v>1</v>
      </c>
      <c r="V237">
        <v>1</v>
      </c>
      <c r="W237" t="s">
        <v>68</v>
      </c>
      <c r="AA237" t="s">
        <v>63</v>
      </c>
      <c r="AB237">
        <v>1</v>
      </c>
      <c r="AD237">
        <v>1</v>
      </c>
      <c r="AE237" t="s">
        <v>72</v>
      </c>
      <c r="AF237" t="s">
        <v>91</v>
      </c>
      <c r="AI237">
        <v>5</v>
      </c>
      <c r="AJ237">
        <v>33</v>
      </c>
    </row>
    <row r="238" spans="1:36" x14ac:dyDescent="0.25">
      <c r="A238" t="s">
        <v>482</v>
      </c>
      <c r="B238">
        <v>236</v>
      </c>
      <c r="C238" t="s">
        <v>33</v>
      </c>
      <c r="D238">
        <v>2</v>
      </c>
      <c r="F238">
        <v>2</v>
      </c>
      <c r="G238" t="s">
        <v>46</v>
      </c>
      <c r="K238" t="s">
        <v>227</v>
      </c>
      <c r="L238">
        <v>1</v>
      </c>
      <c r="M238">
        <v>1</v>
      </c>
      <c r="N238">
        <v>1</v>
      </c>
      <c r="O238" t="s">
        <v>228</v>
      </c>
      <c r="S238" t="s">
        <v>56</v>
      </c>
      <c r="T238">
        <v>1</v>
      </c>
      <c r="V238">
        <v>1</v>
      </c>
      <c r="W238" t="s">
        <v>57</v>
      </c>
      <c r="AA238" t="s">
        <v>63</v>
      </c>
      <c r="AB238">
        <v>1</v>
      </c>
      <c r="AD238">
        <v>1</v>
      </c>
      <c r="AE238" t="s">
        <v>103</v>
      </c>
      <c r="AI238">
        <v>2</v>
      </c>
      <c r="AJ238">
        <v>19</v>
      </c>
    </row>
    <row r="239" spans="1:36" x14ac:dyDescent="0.25">
      <c r="A239" t="s">
        <v>483</v>
      </c>
      <c r="B239">
        <v>237</v>
      </c>
      <c r="C239" t="s">
        <v>43</v>
      </c>
      <c r="D239">
        <v>3</v>
      </c>
      <c r="F239">
        <v>1</v>
      </c>
      <c r="G239" t="s">
        <v>135</v>
      </c>
      <c r="H239" t="s">
        <v>74</v>
      </c>
      <c r="K239" t="s">
        <v>45</v>
      </c>
      <c r="L239">
        <v>2</v>
      </c>
      <c r="N239">
        <v>1</v>
      </c>
      <c r="O239" t="s">
        <v>47</v>
      </c>
      <c r="S239" t="s">
        <v>56</v>
      </c>
      <c r="T239">
        <v>1</v>
      </c>
      <c r="V239">
        <v>1</v>
      </c>
      <c r="W239" t="s">
        <v>68</v>
      </c>
      <c r="AA239" t="s">
        <v>63</v>
      </c>
      <c r="AB239">
        <v>1</v>
      </c>
      <c r="AD239">
        <v>1</v>
      </c>
      <c r="AE239" t="s">
        <v>103</v>
      </c>
      <c r="AF239" t="s">
        <v>95</v>
      </c>
      <c r="AI239">
        <v>5</v>
      </c>
      <c r="AJ239">
        <v>48</v>
      </c>
    </row>
    <row r="240" spans="1:36" x14ac:dyDescent="0.25">
      <c r="A240" t="s">
        <v>484</v>
      </c>
      <c r="B240">
        <v>238</v>
      </c>
      <c r="C240" t="s">
        <v>56</v>
      </c>
      <c r="D240">
        <v>1</v>
      </c>
      <c r="F240">
        <v>1</v>
      </c>
      <c r="G240" t="s">
        <v>68</v>
      </c>
      <c r="H240" t="s">
        <v>122</v>
      </c>
      <c r="K240" t="s">
        <v>63</v>
      </c>
      <c r="L240">
        <v>2</v>
      </c>
      <c r="N240">
        <v>1</v>
      </c>
      <c r="O240" t="s">
        <v>72</v>
      </c>
      <c r="P240" t="s">
        <v>146</v>
      </c>
      <c r="S240" t="s">
        <v>43</v>
      </c>
      <c r="T240">
        <v>3</v>
      </c>
      <c r="V240">
        <v>1</v>
      </c>
      <c r="W240" t="s">
        <v>135</v>
      </c>
      <c r="X240" t="s">
        <v>74</v>
      </c>
      <c r="Y240" t="s">
        <v>75</v>
      </c>
      <c r="AA240" t="s">
        <v>38</v>
      </c>
      <c r="AB240">
        <v>1</v>
      </c>
      <c r="AC240">
        <v>2</v>
      </c>
      <c r="AD240">
        <v>1</v>
      </c>
      <c r="AE240" t="s">
        <v>152</v>
      </c>
      <c r="AI240">
        <v>8</v>
      </c>
      <c r="AJ240">
        <v>30</v>
      </c>
    </row>
    <row r="241" spans="1:36" x14ac:dyDescent="0.25">
      <c r="A241" t="s">
        <v>485</v>
      </c>
      <c r="B241">
        <v>239</v>
      </c>
      <c r="C241" t="s">
        <v>43</v>
      </c>
      <c r="D241">
        <v>3</v>
      </c>
      <c r="F241">
        <v>1</v>
      </c>
      <c r="G241" t="s">
        <v>135</v>
      </c>
      <c r="H241" t="s">
        <v>99</v>
      </c>
      <c r="I241" t="s">
        <v>75</v>
      </c>
      <c r="K241" t="s">
        <v>227</v>
      </c>
      <c r="L241">
        <v>1</v>
      </c>
      <c r="M241">
        <v>1</v>
      </c>
      <c r="N241">
        <v>1</v>
      </c>
      <c r="O241" t="s">
        <v>228</v>
      </c>
      <c r="S241" t="s">
        <v>56</v>
      </c>
      <c r="T241">
        <v>1</v>
      </c>
      <c r="V241">
        <v>1</v>
      </c>
      <c r="W241" t="s">
        <v>57</v>
      </c>
      <c r="X241" t="s">
        <v>122</v>
      </c>
      <c r="AA241" t="s">
        <v>63</v>
      </c>
      <c r="AB241">
        <v>1</v>
      </c>
      <c r="AD241">
        <v>1</v>
      </c>
      <c r="AE241" t="s">
        <v>103</v>
      </c>
      <c r="AF241" t="s">
        <v>91</v>
      </c>
      <c r="AI241">
        <v>6</v>
      </c>
      <c r="AJ241">
        <v>24</v>
      </c>
    </row>
    <row r="242" spans="1:36" x14ac:dyDescent="0.25">
      <c r="A242" t="s">
        <v>486</v>
      </c>
      <c r="B242">
        <v>240</v>
      </c>
      <c r="C242" t="s">
        <v>45</v>
      </c>
      <c r="D242">
        <v>3</v>
      </c>
      <c r="F242">
        <v>1</v>
      </c>
      <c r="G242" t="s">
        <v>47</v>
      </c>
      <c r="K242" t="s">
        <v>38</v>
      </c>
      <c r="L242">
        <v>1</v>
      </c>
      <c r="M242">
        <v>1</v>
      </c>
      <c r="N242">
        <v>1</v>
      </c>
      <c r="O242" t="s">
        <v>152</v>
      </c>
      <c r="S242" t="s">
        <v>56</v>
      </c>
      <c r="T242">
        <v>1</v>
      </c>
      <c r="V242">
        <v>1</v>
      </c>
      <c r="W242" t="s">
        <v>68</v>
      </c>
      <c r="AA242" t="s">
        <v>63</v>
      </c>
      <c r="AB242">
        <v>1</v>
      </c>
      <c r="AD242">
        <v>1</v>
      </c>
      <c r="AE242" t="s">
        <v>72</v>
      </c>
      <c r="AF242" t="s">
        <v>91</v>
      </c>
      <c r="AI242">
        <v>3</v>
      </c>
      <c r="AJ242">
        <v>20</v>
      </c>
    </row>
    <row r="243" spans="1:36" x14ac:dyDescent="0.25">
      <c r="A243" t="s">
        <v>487</v>
      </c>
      <c r="B243">
        <v>241</v>
      </c>
      <c r="C243" t="s">
        <v>56</v>
      </c>
      <c r="D243">
        <v>1</v>
      </c>
      <c r="F243">
        <v>1</v>
      </c>
      <c r="G243" t="s">
        <v>57</v>
      </c>
      <c r="K243" t="s">
        <v>63</v>
      </c>
      <c r="L243">
        <v>1</v>
      </c>
      <c r="N243">
        <v>1</v>
      </c>
      <c r="O243" t="s">
        <v>72</v>
      </c>
      <c r="P243" t="s">
        <v>91</v>
      </c>
      <c r="Q243" t="s">
        <v>147</v>
      </c>
      <c r="S243" t="s">
        <v>45</v>
      </c>
      <c r="T243">
        <v>2</v>
      </c>
      <c r="V243">
        <v>1</v>
      </c>
      <c r="W243" t="s">
        <v>47</v>
      </c>
      <c r="AA243" t="s">
        <v>227</v>
      </c>
      <c r="AB243">
        <v>1</v>
      </c>
      <c r="AC243">
        <v>1</v>
      </c>
      <c r="AD243">
        <v>1</v>
      </c>
      <c r="AE243" t="s">
        <v>228</v>
      </c>
      <c r="AI243">
        <v>3</v>
      </c>
      <c r="AJ243">
        <v>28</v>
      </c>
    </row>
    <row r="244" spans="1:36" x14ac:dyDescent="0.25">
      <c r="A244" t="s">
        <v>488</v>
      </c>
      <c r="B244">
        <v>242</v>
      </c>
      <c r="C244" t="s">
        <v>38</v>
      </c>
      <c r="D244">
        <v>1</v>
      </c>
      <c r="E244">
        <v>1</v>
      </c>
      <c r="F244">
        <v>2</v>
      </c>
      <c r="G244" t="s">
        <v>67</v>
      </c>
      <c r="H244" t="s">
        <v>70</v>
      </c>
      <c r="K244" t="s">
        <v>227</v>
      </c>
      <c r="L244">
        <v>2</v>
      </c>
      <c r="M244">
        <v>1</v>
      </c>
      <c r="N244">
        <v>2</v>
      </c>
      <c r="O244" t="s">
        <v>228</v>
      </c>
      <c r="P244" t="s">
        <v>231</v>
      </c>
      <c r="S244" t="s">
        <v>56</v>
      </c>
      <c r="T244">
        <v>1</v>
      </c>
      <c r="V244">
        <v>1</v>
      </c>
      <c r="W244" t="s">
        <v>57</v>
      </c>
      <c r="AA244" t="s">
        <v>63</v>
      </c>
      <c r="AB244">
        <v>1</v>
      </c>
      <c r="AD244">
        <v>1</v>
      </c>
      <c r="AE244" t="s">
        <v>103</v>
      </c>
      <c r="AI244">
        <v>5</v>
      </c>
      <c r="AJ244">
        <v>32</v>
      </c>
    </row>
    <row r="245" spans="1:36" x14ac:dyDescent="0.25">
      <c r="A245" t="s">
        <v>489</v>
      </c>
      <c r="B245">
        <v>243</v>
      </c>
      <c r="C245" t="s">
        <v>48</v>
      </c>
      <c r="D245">
        <v>1</v>
      </c>
      <c r="F245">
        <v>2</v>
      </c>
      <c r="G245" t="s">
        <v>49</v>
      </c>
      <c r="H245" t="s">
        <v>84</v>
      </c>
      <c r="I245" t="s">
        <v>51</v>
      </c>
      <c r="K245" t="s">
        <v>33</v>
      </c>
      <c r="L245">
        <v>1</v>
      </c>
      <c r="N245">
        <v>2</v>
      </c>
      <c r="O245" t="s">
        <v>46</v>
      </c>
      <c r="S245" t="s">
        <v>56</v>
      </c>
      <c r="T245">
        <v>3</v>
      </c>
      <c r="V245">
        <v>2</v>
      </c>
      <c r="W245" t="s">
        <v>68</v>
      </c>
      <c r="AA245" t="s">
        <v>38</v>
      </c>
      <c r="AB245">
        <v>1</v>
      </c>
      <c r="AC245">
        <v>1</v>
      </c>
      <c r="AD245">
        <v>2</v>
      </c>
      <c r="AE245" t="s">
        <v>67</v>
      </c>
      <c r="AI245">
        <v>8</v>
      </c>
      <c r="AJ245">
        <v>41</v>
      </c>
    </row>
    <row r="246" spans="1:36" x14ac:dyDescent="0.25">
      <c r="A246" t="s">
        <v>490</v>
      </c>
      <c r="B246">
        <v>244</v>
      </c>
      <c r="C246" t="s">
        <v>56</v>
      </c>
      <c r="D246">
        <v>2</v>
      </c>
      <c r="F246">
        <v>1</v>
      </c>
      <c r="G246" t="s">
        <v>57</v>
      </c>
      <c r="K246" t="s">
        <v>38</v>
      </c>
      <c r="L246">
        <v>1</v>
      </c>
      <c r="M246">
        <v>1</v>
      </c>
      <c r="N246">
        <v>2</v>
      </c>
      <c r="O246" t="s">
        <v>152</v>
      </c>
      <c r="P246" t="s">
        <v>70</v>
      </c>
      <c r="S246" t="s">
        <v>48</v>
      </c>
      <c r="T246">
        <v>1</v>
      </c>
      <c r="V246">
        <v>1</v>
      </c>
      <c r="W246" t="s">
        <v>49</v>
      </c>
      <c r="AA246" t="s">
        <v>43</v>
      </c>
      <c r="AB246">
        <v>1</v>
      </c>
      <c r="AD246">
        <v>2</v>
      </c>
      <c r="AE246" t="s">
        <v>135</v>
      </c>
      <c r="AF246" t="s">
        <v>99</v>
      </c>
      <c r="AI246">
        <v>5</v>
      </c>
      <c r="AJ246">
        <v>25</v>
      </c>
    </row>
    <row r="247" spans="1:36" x14ac:dyDescent="0.25">
      <c r="A247" t="s">
        <v>491</v>
      </c>
      <c r="B247">
        <v>245</v>
      </c>
      <c r="C247" t="s">
        <v>56</v>
      </c>
      <c r="D247">
        <v>1</v>
      </c>
      <c r="F247">
        <v>1</v>
      </c>
      <c r="G247" t="s">
        <v>57</v>
      </c>
      <c r="K247" t="s">
        <v>38</v>
      </c>
      <c r="L247">
        <v>3</v>
      </c>
      <c r="M247">
        <v>1</v>
      </c>
      <c r="N247">
        <v>2</v>
      </c>
      <c r="O247" t="s">
        <v>67</v>
      </c>
      <c r="P247" t="s">
        <v>96</v>
      </c>
      <c r="Q247" t="s">
        <v>41</v>
      </c>
      <c r="R247" t="s">
        <v>42</v>
      </c>
      <c r="S247" t="s">
        <v>48</v>
      </c>
      <c r="T247">
        <v>1</v>
      </c>
      <c r="V247">
        <v>1</v>
      </c>
      <c r="W247" t="s">
        <v>49</v>
      </c>
      <c r="X247" t="s">
        <v>84</v>
      </c>
      <c r="Y247" t="s">
        <v>90</v>
      </c>
      <c r="Z247" t="s">
        <v>52</v>
      </c>
      <c r="AA247" t="s">
        <v>45</v>
      </c>
      <c r="AB247">
        <v>3</v>
      </c>
      <c r="AD247">
        <v>2</v>
      </c>
      <c r="AE247" t="s">
        <v>47</v>
      </c>
      <c r="AI247">
        <v>12</v>
      </c>
      <c r="AJ247">
        <v>45</v>
      </c>
    </row>
    <row r="248" spans="1:36" x14ac:dyDescent="0.25">
      <c r="A248" t="s">
        <v>492</v>
      </c>
      <c r="B248">
        <v>246</v>
      </c>
      <c r="C248" t="s">
        <v>48</v>
      </c>
      <c r="D248">
        <v>2</v>
      </c>
      <c r="F248">
        <v>1</v>
      </c>
      <c r="G248" t="s">
        <v>49</v>
      </c>
      <c r="K248" t="s">
        <v>63</v>
      </c>
      <c r="L248">
        <v>1</v>
      </c>
      <c r="N248">
        <v>1</v>
      </c>
      <c r="O248" t="s">
        <v>103</v>
      </c>
      <c r="P248" t="s">
        <v>91</v>
      </c>
      <c r="S248" t="s">
        <v>56</v>
      </c>
      <c r="T248">
        <v>1</v>
      </c>
      <c r="V248">
        <v>1</v>
      </c>
      <c r="W248" t="s">
        <v>57</v>
      </c>
      <c r="X248" t="s">
        <v>69</v>
      </c>
      <c r="Y248" t="s">
        <v>85</v>
      </c>
      <c r="AA248" t="s">
        <v>38</v>
      </c>
      <c r="AB248">
        <v>1</v>
      </c>
      <c r="AC248">
        <v>2</v>
      </c>
      <c r="AD248">
        <v>1</v>
      </c>
      <c r="AE248" t="s">
        <v>152</v>
      </c>
      <c r="AF248" t="s">
        <v>96</v>
      </c>
      <c r="AI248">
        <v>6</v>
      </c>
      <c r="AJ248">
        <v>25</v>
      </c>
    </row>
    <row r="249" spans="1:36" x14ac:dyDescent="0.25">
      <c r="A249" t="s">
        <v>493</v>
      </c>
      <c r="B249">
        <v>247</v>
      </c>
      <c r="C249" t="s">
        <v>56</v>
      </c>
      <c r="D249">
        <v>1</v>
      </c>
      <c r="F249">
        <v>1</v>
      </c>
      <c r="G249" t="s">
        <v>57</v>
      </c>
      <c r="K249" t="s">
        <v>38</v>
      </c>
      <c r="L249">
        <v>1</v>
      </c>
      <c r="M249">
        <v>2</v>
      </c>
      <c r="N249">
        <v>2</v>
      </c>
      <c r="O249" t="s">
        <v>152</v>
      </c>
      <c r="P249" t="s">
        <v>70</v>
      </c>
      <c r="Q249" t="s">
        <v>154</v>
      </c>
      <c r="R249" t="s">
        <v>42</v>
      </c>
      <c r="S249" t="s">
        <v>48</v>
      </c>
      <c r="T249">
        <v>3</v>
      </c>
      <c r="V249">
        <v>1</v>
      </c>
      <c r="W249" t="s">
        <v>49</v>
      </c>
      <c r="AA249" t="s">
        <v>227</v>
      </c>
      <c r="AB249">
        <v>2</v>
      </c>
      <c r="AC249">
        <v>1</v>
      </c>
      <c r="AD249">
        <v>1</v>
      </c>
      <c r="AE249" t="s">
        <v>228</v>
      </c>
      <c r="AI249">
        <v>8</v>
      </c>
      <c r="AJ249">
        <v>27</v>
      </c>
    </row>
    <row r="250" spans="1:36" x14ac:dyDescent="0.25">
      <c r="A250" t="s">
        <v>494</v>
      </c>
      <c r="B250">
        <v>248</v>
      </c>
      <c r="C250" t="s">
        <v>56</v>
      </c>
      <c r="D250">
        <v>1</v>
      </c>
      <c r="F250">
        <v>1</v>
      </c>
      <c r="G250" t="s">
        <v>120</v>
      </c>
      <c r="K250" t="s">
        <v>38</v>
      </c>
      <c r="L250">
        <v>1</v>
      </c>
      <c r="M250">
        <v>1</v>
      </c>
      <c r="N250">
        <v>3</v>
      </c>
      <c r="O250" t="s">
        <v>67</v>
      </c>
      <c r="P250" t="s">
        <v>70</v>
      </c>
      <c r="Q250" t="s">
        <v>154</v>
      </c>
      <c r="R250" t="s">
        <v>155</v>
      </c>
      <c r="S250" t="s">
        <v>33</v>
      </c>
      <c r="T250">
        <v>1</v>
      </c>
      <c r="V250">
        <v>1</v>
      </c>
      <c r="W250" t="s">
        <v>46</v>
      </c>
      <c r="AA250" t="s">
        <v>43</v>
      </c>
      <c r="AB250">
        <v>3</v>
      </c>
      <c r="AD250">
        <v>1</v>
      </c>
      <c r="AE250" t="s">
        <v>135</v>
      </c>
      <c r="AF250" t="s">
        <v>74</v>
      </c>
      <c r="AG250" t="s">
        <v>75</v>
      </c>
      <c r="AI250">
        <v>9</v>
      </c>
      <c r="AJ250">
        <v>21</v>
      </c>
    </row>
    <row r="251" spans="1:36" x14ac:dyDescent="0.25">
      <c r="A251" t="s">
        <v>495</v>
      </c>
      <c r="B251">
        <v>249</v>
      </c>
      <c r="C251" t="s">
        <v>33</v>
      </c>
      <c r="D251">
        <v>1</v>
      </c>
      <c r="F251">
        <v>2</v>
      </c>
      <c r="G251" t="s">
        <v>46</v>
      </c>
      <c r="K251" t="s">
        <v>45</v>
      </c>
      <c r="L251">
        <v>2</v>
      </c>
      <c r="N251">
        <v>1</v>
      </c>
      <c r="O251" t="s">
        <v>47</v>
      </c>
      <c r="S251" t="s">
        <v>56</v>
      </c>
      <c r="T251">
        <v>1</v>
      </c>
      <c r="V251">
        <v>1</v>
      </c>
      <c r="W251" t="s">
        <v>68</v>
      </c>
      <c r="AA251" t="s">
        <v>38</v>
      </c>
      <c r="AB251">
        <v>1</v>
      </c>
      <c r="AC251">
        <v>1</v>
      </c>
      <c r="AD251">
        <v>2</v>
      </c>
      <c r="AE251" t="s">
        <v>39</v>
      </c>
      <c r="AI251">
        <v>3</v>
      </c>
      <c r="AJ251">
        <v>22</v>
      </c>
    </row>
    <row r="252" spans="1:36" x14ac:dyDescent="0.25">
      <c r="A252" t="s">
        <v>496</v>
      </c>
      <c r="B252">
        <v>250</v>
      </c>
      <c r="C252" t="s">
        <v>56</v>
      </c>
      <c r="D252">
        <v>1</v>
      </c>
      <c r="F252">
        <v>1</v>
      </c>
      <c r="G252" t="s">
        <v>57</v>
      </c>
      <c r="K252" t="s">
        <v>38</v>
      </c>
      <c r="L252">
        <v>1</v>
      </c>
      <c r="M252">
        <v>2</v>
      </c>
      <c r="N252">
        <v>2</v>
      </c>
      <c r="O252" t="s">
        <v>152</v>
      </c>
      <c r="P252" t="s">
        <v>70</v>
      </c>
      <c r="S252" t="s">
        <v>33</v>
      </c>
      <c r="T252">
        <v>1</v>
      </c>
      <c r="V252">
        <v>2</v>
      </c>
      <c r="W252" t="s">
        <v>46</v>
      </c>
      <c r="AA252" t="s">
        <v>63</v>
      </c>
      <c r="AB252">
        <v>1</v>
      </c>
      <c r="AD252">
        <v>1</v>
      </c>
      <c r="AE252" t="s">
        <v>103</v>
      </c>
      <c r="AI252">
        <v>4</v>
      </c>
      <c r="AJ252">
        <v>16</v>
      </c>
    </row>
    <row r="253" spans="1:36" x14ac:dyDescent="0.25">
      <c r="A253" t="s">
        <v>497</v>
      </c>
      <c r="B253">
        <v>251</v>
      </c>
      <c r="C253" t="s">
        <v>56</v>
      </c>
      <c r="D253">
        <v>1</v>
      </c>
      <c r="F253">
        <v>1</v>
      </c>
      <c r="G253" t="s">
        <v>57</v>
      </c>
      <c r="H253" t="s">
        <v>69</v>
      </c>
      <c r="K253" t="s">
        <v>38</v>
      </c>
      <c r="L253">
        <v>1</v>
      </c>
      <c r="M253">
        <v>1</v>
      </c>
      <c r="N253">
        <v>2</v>
      </c>
      <c r="O253" t="s">
        <v>152</v>
      </c>
      <c r="P253" t="s">
        <v>70</v>
      </c>
      <c r="S253" t="s">
        <v>33</v>
      </c>
      <c r="T253">
        <v>1</v>
      </c>
      <c r="V253">
        <v>2</v>
      </c>
      <c r="W253" t="s">
        <v>46</v>
      </c>
      <c r="AA253" t="s">
        <v>227</v>
      </c>
      <c r="AB253">
        <v>1</v>
      </c>
      <c r="AC253">
        <v>1</v>
      </c>
      <c r="AD253">
        <v>1</v>
      </c>
      <c r="AE253" t="s">
        <v>228</v>
      </c>
      <c r="AI253">
        <v>4</v>
      </c>
      <c r="AJ253">
        <v>21</v>
      </c>
    </row>
    <row r="254" spans="1:36" x14ac:dyDescent="0.25">
      <c r="A254" t="s">
        <v>498</v>
      </c>
      <c r="B254">
        <v>252</v>
      </c>
      <c r="C254" t="s">
        <v>43</v>
      </c>
      <c r="D254">
        <v>3</v>
      </c>
      <c r="F254">
        <v>1</v>
      </c>
      <c r="G254" t="s">
        <v>135</v>
      </c>
      <c r="H254" t="s">
        <v>99</v>
      </c>
      <c r="I254" t="s">
        <v>100</v>
      </c>
      <c r="K254" t="s">
        <v>45</v>
      </c>
      <c r="L254">
        <v>1</v>
      </c>
      <c r="N254">
        <v>1</v>
      </c>
      <c r="O254" t="s">
        <v>47</v>
      </c>
      <c r="S254" t="s">
        <v>56</v>
      </c>
      <c r="T254">
        <v>1</v>
      </c>
      <c r="V254">
        <v>1</v>
      </c>
      <c r="W254" t="s">
        <v>120</v>
      </c>
      <c r="AA254" t="s">
        <v>38</v>
      </c>
      <c r="AB254">
        <v>1</v>
      </c>
      <c r="AC254">
        <v>1</v>
      </c>
      <c r="AD254">
        <v>2</v>
      </c>
      <c r="AE254" t="s">
        <v>67</v>
      </c>
      <c r="AF254" t="s">
        <v>70</v>
      </c>
      <c r="AG254" t="s">
        <v>153</v>
      </c>
      <c r="AH254" t="s">
        <v>42</v>
      </c>
      <c r="AI254">
        <v>8</v>
      </c>
      <c r="AJ254">
        <v>39</v>
      </c>
    </row>
    <row r="255" spans="1:36" x14ac:dyDescent="0.25">
      <c r="A255" t="s">
        <v>499</v>
      </c>
      <c r="B255">
        <v>253</v>
      </c>
      <c r="C255" t="s">
        <v>56</v>
      </c>
      <c r="D255">
        <v>1</v>
      </c>
      <c r="F255">
        <v>2</v>
      </c>
      <c r="G255" t="s">
        <v>68</v>
      </c>
      <c r="K255" t="s">
        <v>38</v>
      </c>
      <c r="L255">
        <v>3</v>
      </c>
      <c r="M255">
        <v>1</v>
      </c>
      <c r="N255">
        <v>3</v>
      </c>
      <c r="O255" t="s">
        <v>67</v>
      </c>
      <c r="P255" t="s">
        <v>40</v>
      </c>
      <c r="Q255" t="s">
        <v>154</v>
      </c>
      <c r="R255" t="s">
        <v>42</v>
      </c>
      <c r="S255" t="s">
        <v>43</v>
      </c>
      <c r="T255">
        <v>2</v>
      </c>
      <c r="V255">
        <v>1</v>
      </c>
      <c r="W255" t="s">
        <v>135</v>
      </c>
      <c r="X255" t="s">
        <v>74</v>
      </c>
      <c r="Y255" t="s">
        <v>75</v>
      </c>
      <c r="Z255" t="s">
        <v>139</v>
      </c>
      <c r="AA255" t="s">
        <v>63</v>
      </c>
      <c r="AB255">
        <v>2</v>
      </c>
      <c r="AD255">
        <v>1</v>
      </c>
      <c r="AE255" t="s">
        <v>103</v>
      </c>
      <c r="AI255">
        <v>13</v>
      </c>
      <c r="AJ255">
        <v>33</v>
      </c>
    </row>
    <row r="256" spans="1:36" x14ac:dyDescent="0.25">
      <c r="A256" t="s">
        <v>500</v>
      </c>
      <c r="B256">
        <v>254</v>
      </c>
      <c r="C256" t="s">
        <v>56</v>
      </c>
      <c r="D256">
        <v>3</v>
      </c>
      <c r="F256">
        <v>1</v>
      </c>
      <c r="G256" t="s">
        <v>57</v>
      </c>
      <c r="H256" t="s">
        <v>122</v>
      </c>
      <c r="K256" t="s">
        <v>38</v>
      </c>
      <c r="L256">
        <v>1</v>
      </c>
      <c r="M256">
        <v>1</v>
      </c>
      <c r="N256">
        <v>1</v>
      </c>
      <c r="O256" t="s">
        <v>152</v>
      </c>
      <c r="P256" t="s">
        <v>70</v>
      </c>
      <c r="S256" t="s">
        <v>43</v>
      </c>
      <c r="T256">
        <v>1</v>
      </c>
      <c r="V256">
        <v>3</v>
      </c>
      <c r="W256" t="s">
        <v>135</v>
      </c>
      <c r="X256" t="s">
        <v>99</v>
      </c>
      <c r="AA256" t="s">
        <v>227</v>
      </c>
      <c r="AB256">
        <v>1</v>
      </c>
      <c r="AC256">
        <v>1</v>
      </c>
      <c r="AD256">
        <v>1</v>
      </c>
      <c r="AE256" t="s">
        <v>228</v>
      </c>
      <c r="AI256">
        <v>7</v>
      </c>
      <c r="AJ256">
        <v>20</v>
      </c>
    </row>
    <row r="257" spans="1:36" x14ac:dyDescent="0.25">
      <c r="A257" t="s">
        <v>501</v>
      </c>
      <c r="B257">
        <v>255</v>
      </c>
      <c r="C257" t="s">
        <v>45</v>
      </c>
      <c r="D257">
        <v>2</v>
      </c>
      <c r="F257">
        <v>1</v>
      </c>
      <c r="G257" t="s">
        <v>47</v>
      </c>
      <c r="K257" t="s">
        <v>63</v>
      </c>
      <c r="L257">
        <v>1</v>
      </c>
      <c r="N257">
        <v>1</v>
      </c>
      <c r="O257" t="s">
        <v>103</v>
      </c>
      <c r="P257" t="s">
        <v>91</v>
      </c>
      <c r="Q257" t="s">
        <v>147</v>
      </c>
      <c r="S257" t="s">
        <v>56</v>
      </c>
      <c r="T257">
        <v>1</v>
      </c>
      <c r="V257">
        <v>1</v>
      </c>
      <c r="W257" t="s">
        <v>57</v>
      </c>
      <c r="X257" t="s">
        <v>122</v>
      </c>
      <c r="AA257" t="s">
        <v>38</v>
      </c>
      <c r="AB257">
        <v>1</v>
      </c>
      <c r="AC257">
        <v>1</v>
      </c>
      <c r="AD257">
        <v>2</v>
      </c>
      <c r="AE257" t="s">
        <v>152</v>
      </c>
      <c r="AI257">
        <v>5</v>
      </c>
      <c r="AJ257">
        <v>29</v>
      </c>
    </row>
    <row r="258" spans="1:36" x14ac:dyDescent="0.25">
      <c r="A258" t="s">
        <v>502</v>
      </c>
      <c r="B258">
        <v>256</v>
      </c>
      <c r="C258" t="s">
        <v>45</v>
      </c>
      <c r="D258">
        <v>2</v>
      </c>
      <c r="F258">
        <v>2</v>
      </c>
      <c r="G258" t="s">
        <v>47</v>
      </c>
      <c r="K258" t="s">
        <v>227</v>
      </c>
      <c r="L258">
        <v>1</v>
      </c>
      <c r="M258">
        <v>1</v>
      </c>
      <c r="N258">
        <v>1</v>
      </c>
      <c r="O258" t="s">
        <v>228</v>
      </c>
      <c r="S258" t="s">
        <v>56</v>
      </c>
      <c r="T258">
        <v>1</v>
      </c>
      <c r="V258">
        <v>1</v>
      </c>
      <c r="W258" t="s">
        <v>57</v>
      </c>
      <c r="AA258" t="s">
        <v>38</v>
      </c>
      <c r="AB258">
        <v>1</v>
      </c>
      <c r="AC258">
        <v>1</v>
      </c>
      <c r="AD258">
        <v>1</v>
      </c>
      <c r="AE258" t="s">
        <v>152</v>
      </c>
      <c r="AF258" t="s">
        <v>70</v>
      </c>
      <c r="AI258">
        <v>3</v>
      </c>
      <c r="AJ258">
        <v>25</v>
      </c>
    </row>
    <row r="259" spans="1:36" x14ac:dyDescent="0.25">
      <c r="A259" t="s">
        <v>503</v>
      </c>
      <c r="B259">
        <v>257</v>
      </c>
      <c r="C259" t="s">
        <v>56</v>
      </c>
      <c r="D259">
        <v>2</v>
      </c>
      <c r="F259">
        <v>1</v>
      </c>
      <c r="G259" t="s">
        <v>57</v>
      </c>
      <c r="H259" t="s">
        <v>122</v>
      </c>
      <c r="I259" t="s">
        <v>85</v>
      </c>
      <c r="K259" t="s">
        <v>38</v>
      </c>
      <c r="L259">
        <v>1</v>
      </c>
      <c r="M259">
        <v>1</v>
      </c>
      <c r="N259">
        <v>1</v>
      </c>
      <c r="O259" t="s">
        <v>152</v>
      </c>
      <c r="P259" t="s">
        <v>70</v>
      </c>
      <c r="S259" t="s">
        <v>63</v>
      </c>
      <c r="T259">
        <v>1</v>
      </c>
      <c r="V259">
        <v>1</v>
      </c>
      <c r="W259" t="s">
        <v>103</v>
      </c>
      <c r="X259" t="s">
        <v>91</v>
      </c>
      <c r="AA259" t="s">
        <v>227</v>
      </c>
      <c r="AB259">
        <v>1</v>
      </c>
      <c r="AC259">
        <v>1</v>
      </c>
      <c r="AD259">
        <v>1</v>
      </c>
      <c r="AE259" t="s">
        <v>228</v>
      </c>
      <c r="AI259">
        <v>5</v>
      </c>
      <c r="AJ259">
        <v>27</v>
      </c>
    </row>
    <row r="260" spans="1:36" x14ac:dyDescent="0.25">
      <c r="A260" t="s">
        <v>504</v>
      </c>
      <c r="B260">
        <v>258</v>
      </c>
      <c r="C260" t="s">
        <v>48</v>
      </c>
      <c r="D260">
        <v>1</v>
      </c>
      <c r="F260">
        <v>2</v>
      </c>
      <c r="G260" t="s">
        <v>89</v>
      </c>
      <c r="H260" t="s">
        <v>84</v>
      </c>
      <c r="K260" t="s">
        <v>33</v>
      </c>
      <c r="L260">
        <v>1</v>
      </c>
      <c r="N260">
        <v>2</v>
      </c>
      <c r="O260" t="s">
        <v>46</v>
      </c>
      <c r="S260" t="s">
        <v>56</v>
      </c>
      <c r="T260">
        <v>2</v>
      </c>
      <c r="V260">
        <v>1</v>
      </c>
      <c r="W260" t="s">
        <v>57</v>
      </c>
      <c r="AA260" t="s">
        <v>227</v>
      </c>
      <c r="AB260">
        <v>2</v>
      </c>
      <c r="AC260">
        <v>1</v>
      </c>
      <c r="AD260">
        <v>1</v>
      </c>
      <c r="AE260" t="s">
        <v>228</v>
      </c>
      <c r="AI260">
        <v>5</v>
      </c>
      <c r="AJ260">
        <v>23</v>
      </c>
    </row>
    <row r="261" spans="1:36" x14ac:dyDescent="0.25">
      <c r="A261" t="s">
        <v>505</v>
      </c>
      <c r="B261">
        <v>259</v>
      </c>
      <c r="C261" t="s">
        <v>48</v>
      </c>
      <c r="D261">
        <v>3</v>
      </c>
      <c r="F261">
        <v>1</v>
      </c>
      <c r="G261" t="s">
        <v>49</v>
      </c>
      <c r="K261" t="s">
        <v>43</v>
      </c>
      <c r="L261">
        <v>1</v>
      </c>
      <c r="N261">
        <v>1</v>
      </c>
      <c r="O261" t="s">
        <v>73</v>
      </c>
      <c r="P261" t="s">
        <v>99</v>
      </c>
      <c r="Q261" t="s">
        <v>100</v>
      </c>
      <c r="R261" t="s">
        <v>138</v>
      </c>
      <c r="S261" t="s">
        <v>56</v>
      </c>
      <c r="T261">
        <v>2</v>
      </c>
      <c r="V261">
        <v>1</v>
      </c>
      <c r="W261" t="s">
        <v>57</v>
      </c>
      <c r="AA261" t="s">
        <v>227</v>
      </c>
      <c r="AB261">
        <v>1</v>
      </c>
      <c r="AC261">
        <v>1</v>
      </c>
      <c r="AD261">
        <v>1</v>
      </c>
      <c r="AE261" t="s">
        <v>228</v>
      </c>
      <c r="AI261">
        <v>6</v>
      </c>
      <c r="AJ261">
        <v>28</v>
      </c>
    </row>
    <row r="262" spans="1:36" x14ac:dyDescent="0.25">
      <c r="A262" t="s">
        <v>506</v>
      </c>
      <c r="B262">
        <v>260</v>
      </c>
      <c r="C262" t="s">
        <v>48</v>
      </c>
      <c r="D262">
        <v>2</v>
      </c>
      <c r="F262">
        <v>1</v>
      </c>
      <c r="G262" t="s">
        <v>89</v>
      </c>
      <c r="H262" t="s">
        <v>71</v>
      </c>
      <c r="K262" t="s">
        <v>45</v>
      </c>
      <c r="L262">
        <v>1</v>
      </c>
      <c r="N262">
        <v>1</v>
      </c>
      <c r="O262" t="s">
        <v>47</v>
      </c>
      <c r="S262" t="s">
        <v>56</v>
      </c>
      <c r="T262">
        <v>1</v>
      </c>
      <c r="V262">
        <v>1</v>
      </c>
      <c r="W262" t="s">
        <v>57</v>
      </c>
      <c r="X262" t="s">
        <v>122</v>
      </c>
      <c r="AA262" t="s">
        <v>227</v>
      </c>
      <c r="AB262">
        <v>1</v>
      </c>
      <c r="AC262">
        <v>1</v>
      </c>
      <c r="AD262">
        <v>2</v>
      </c>
      <c r="AE262" t="s">
        <v>228</v>
      </c>
      <c r="AI262">
        <v>4</v>
      </c>
      <c r="AJ262">
        <v>21</v>
      </c>
    </row>
    <row r="263" spans="1:36" x14ac:dyDescent="0.25">
      <c r="A263" t="s">
        <v>507</v>
      </c>
      <c r="B263">
        <v>261</v>
      </c>
      <c r="C263" t="s">
        <v>48</v>
      </c>
      <c r="D263">
        <v>2</v>
      </c>
      <c r="F263">
        <v>1</v>
      </c>
      <c r="G263" t="s">
        <v>89</v>
      </c>
      <c r="H263" t="s">
        <v>71</v>
      </c>
      <c r="I263" t="s">
        <v>51</v>
      </c>
      <c r="K263" t="s">
        <v>63</v>
      </c>
      <c r="L263">
        <v>2</v>
      </c>
      <c r="N263">
        <v>1</v>
      </c>
      <c r="O263" t="s">
        <v>103</v>
      </c>
      <c r="P263" t="s">
        <v>95</v>
      </c>
      <c r="S263" t="s">
        <v>56</v>
      </c>
      <c r="T263">
        <v>1</v>
      </c>
      <c r="V263">
        <v>2</v>
      </c>
      <c r="W263" t="s">
        <v>68</v>
      </c>
      <c r="X263" t="s">
        <v>121</v>
      </c>
      <c r="AA263" t="s">
        <v>227</v>
      </c>
      <c r="AB263">
        <v>2</v>
      </c>
      <c r="AC263">
        <v>1</v>
      </c>
      <c r="AD263">
        <v>1</v>
      </c>
      <c r="AE263" t="s">
        <v>228</v>
      </c>
      <c r="AI263">
        <v>8</v>
      </c>
      <c r="AJ263">
        <v>48</v>
      </c>
    </row>
    <row r="264" spans="1:36" x14ac:dyDescent="0.25">
      <c r="A264" t="s">
        <v>508</v>
      </c>
      <c r="B264">
        <v>262</v>
      </c>
      <c r="C264" t="s">
        <v>48</v>
      </c>
      <c r="D264">
        <v>3</v>
      </c>
      <c r="F264">
        <v>1</v>
      </c>
      <c r="G264" t="s">
        <v>89</v>
      </c>
      <c r="K264" t="s">
        <v>38</v>
      </c>
      <c r="L264">
        <v>1</v>
      </c>
      <c r="M264">
        <v>1</v>
      </c>
      <c r="N264">
        <v>1</v>
      </c>
      <c r="O264" t="s">
        <v>152</v>
      </c>
      <c r="P264" t="s">
        <v>70</v>
      </c>
      <c r="S264" t="s">
        <v>56</v>
      </c>
      <c r="T264">
        <v>2</v>
      </c>
      <c r="V264">
        <v>1</v>
      </c>
      <c r="W264" t="s">
        <v>57</v>
      </c>
      <c r="X264" t="s">
        <v>122</v>
      </c>
      <c r="AA264" t="s">
        <v>227</v>
      </c>
      <c r="AB264">
        <v>1</v>
      </c>
      <c r="AC264">
        <v>1</v>
      </c>
      <c r="AD264">
        <v>1</v>
      </c>
      <c r="AE264" t="s">
        <v>228</v>
      </c>
      <c r="AI264">
        <v>5</v>
      </c>
      <c r="AJ264">
        <v>43</v>
      </c>
    </row>
    <row r="265" spans="1:36" x14ac:dyDescent="0.25">
      <c r="A265" t="s">
        <v>509</v>
      </c>
      <c r="B265">
        <v>263</v>
      </c>
      <c r="C265" t="s">
        <v>33</v>
      </c>
      <c r="D265">
        <v>1</v>
      </c>
      <c r="F265">
        <v>2</v>
      </c>
      <c r="G265" t="s">
        <v>46</v>
      </c>
      <c r="K265" t="s">
        <v>43</v>
      </c>
      <c r="L265">
        <v>3</v>
      </c>
      <c r="N265">
        <v>3</v>
      </c>
      <c r="O265" t="s">
        <v>73</v>
      </c>
      <c r="P265" t="s">
        <v>99</v>
      </c>
      <c r="Q265" t="s">
        <v>75</v>
      </c>
      <c r="R265" t="s">
        <v>101</v>
      </c>
      <c r="S265" t="s">
        <v>56</v>
      </c>
      <c r="T265">
        <v>2</v>
      </c>
      <c r="V265">
        <v>1</v>
      </c>
      <c r="W265" t="s">
        <v>68</v>
      </c>
      <c r="X265" t="s">
        <v>122</v>
      </c>
      <c r="AA265" t="s">
        <v>227</v>
      </c>
      <c r="AB265">
        <v>1</v>
      </c>
      <c r="AC265">
        <v>3</v>
      </c>
      <c r="AD265">
        <v>3</v>
      </c>
      <c r="AE265" t="s">
        <v>228</v>
      </c>
      <c r="AF265" t="s">
        <v>231</v>
      </c>
      <c r="AG265" t="s">
        <v>235</v>
      </c>
      <c r="AH265" t="s">
        <v>238</v>
      </c>
      <c r="AI265">
        <v>17</v>
      </c>
      <c r="AJ265">
        <v>68</v>
      </c>
    </row>
    <row r="266" spans="1:36" x14ac:dyDescent="0.25">
      <c r="A266" t="s">
        <v>510</v>
      </c>
      <c r="B266">
        <v>264</v>
      </c>
      <c r="C266" t="s">
        <v>33</v>
      </c>
      <c r="D266">
        <v>1</v>
      </c>
      <c r="F266">
        <v>3</v>
      </c>
      <c r="G266" t="s">
        <v>46</v>
      </c>
      <c r="K266" t="s">
        <v>45</v>
      </c>
      <c r="L266">
        <v>1</v>
      </c>
      <c r="N266">
        <v>1</v>
      </c>
      <c r="O266" t="s">
        <v>47</v>
      </c>
      <c r="S266" t="s">
        <v>56</v>
      </c>
      <c r="T266">
        <v>2</v>
      </c>
      <c r="V266">
        <v>2</v>
      </c>
      <c r="W266" t="s">
        <v>68</v>
      </c>
      <c r="AA266" t="s">
        <v>227</v>
      </c>
      <c r="AB266">
        <v>1</v>
      </c>
      <c r="AC266">
        <v>1</v>
      </c>
      <c r="AD266">
        <v>2</v>
      </c>
      <c r="AE266" t="s">
        <v>228</v>
      </c>
      <c r="AI266">
        <v>5</v>
      </c>
      <c r="AJ266">
        <v>32</v>
      </c>
    </row>
    <row r="267" spans="1:36" x14ac:dyDescent="0.25">
      <c r="A267" t="s">
        <v>511</v>
      </c>
      <c r="B267">
        <v>265</v>
      </c>
      <c r="C267" t="s">
        <v>33</v>
      </c>
      <c r="D267">
        <v>1</v>
      </c>
      <c r="F267">
        <v>2</v>
      </c>
      <c r="G267" t="s">
        <v>46</v>
      </c>
      <c r="K267" t="s">
        <v>63</v>
      </c>
      <c r="L267">
        <v>1</v>
      </c>
      <c r="N267">
        <v>1</v>
      </c>
      <c r="O267" t="s">
        <v>103</v>
      </c>
      <c r="S267" t="s">
        <v>56</v>
      </c>
      <c r="T267">
        <v>2</v>
      </c>
      <c r="V267">
        <v>1</v>
      </c>
      <c r="W267" t="s">
        <v>57</v>
      </c>
      <c r="AA267" t="s">
        <v>227</v>
      </c>
      <c r="AB267">
        <v>1</v>
      </c>
      <c r="AC267">
        <v>1</v>
      </c>
      <c r="AD267">
        <v>1</v>
      </c>
      <c r="AE267" t="s">
        <v>228</v>
      </c>
      <c r="AI267">
        <v>2</v>
      </c>
      <c r="AJ267">
        <v>25</v>
      </c>
    </row>
    <row r="268" spans="1:36" x14ac:dyDescent="0.25">
      <c r="A268" t="s">
        <v>512</v>
      </c>
      <c r="B268">
        <v>266</v>
      </c>
      <c r="C268" t="s">
        <v>33</v>
      </c>
      <c r="D268">
        <v>1</v>
      </c>
      <c r="F268">
        <v>3</v>
      </c>
      <c r="G268" t="s">
        <v>46</v>
      </c>
      <c r="H268" t="s">
        <v>66</v>
      </c>
      <c r="K268" t="s">
        <v>38</v>
      </c>
      <c r="L268">
        <v>1</v>
      </c>
      <c r="M268">
        <v>1</v>
      </c>
      <c r="N268">
        <v>1</v>
      </c>
      <c r="O268" t="s">
        <v>152</v>
      </c>
      <c r="S268" t="s">
        <v>56</v>
      </c>
      <c r="T268">
        <v>2</v>
      </c>
      <c r="V268">
        <v>1</v>
      </c>
      <c r="W268" t="s">
        <v>68</v>
      </c>
      <c r="AA268" t="s">
        <v>227</v>
      </c>
      <c r="AB268">
        <v>1</v>
      </c>
      <c r="AC268">
        <v>1</v>
      </c>
      <c r="AD268">
        <v>1</v>
      </c>
      <c r="AE268" t="s">
        <v>228</v>
      </c>
      <c r="AI268">
        <v>4</v>
      </c>
      <c r="AJ268">
        <v>39</v>
      </c>
    </row>
    <row r="269" spans="1:36" x14ac:dyDescent="0.25">
      <c r="A269" t="s">
        <v>513</v>
      </c>
      <c r="B269">
        <v>267</v>
      </c>
      <c r="C269" t="s">
        <v>43</v>
      </c>
      <c r="D269">
        <v>1</v>
      </c>
      <c r="F269">
        <v>1</v>
      </c>
      <c r="G269" t="s">
        <v>73</v>
      </c>
      <c r="H269" t="s">
        <v>99</v>
      </c>
      <c r="K269" t="s">
        <v>45</v>
      </c>
      <c r="L269">
        <v>2</v>
      </c>
      <c r="N269">
        <v>1</v>
      </c>
      <c r="O269" t="s">
        <v>86</v>
      </c>
      <c r="S269" t="s">
        <v>56</v>
      </c>
      <c r="T269">
        <v>1</v>
      </c>
      <c r="V269">
        <v>1</v>
      </c>
      <c r="W269" t="s">
        <v>68</v>
      </c>
      <c r="AA269" t="s">
        <v>227</v>
      </c>
      <c r="AB269">
        <v>1</v>
      </c>
      <c r="AC269">
        <v>1</v>
      </c>
      <c r="AD269">
        <v>1</v>
      </c>
      <c r="AE269" t="s">
        <v>228</v>
      </c>
      <c r="AF269" t="s">
        <v>231</v>
      </c>
      <c r="AI269">
        <v>3</v>
      </c>
      <c r="AJ269">
        <v>21</v>
      </c>
    </row>
    <row r="270" spans="1:36" x14ac:dyDescent="0.25">
      <c r="A270" t="s">
        <v>514</v>
      </c>
      <c r="B270">
        <v>268</v>
      </c>
      <c r="C270" t="s">
        <v>43</v>
      </c>
      <c r="D270">
        <v>1</v>
      </c>
      <c r="F270">
        <v>1</v>
      </c>
      <c r="G270" t="s">
        <v>73</v>
      </c>
      <c r="H270" t="s">
        <v>99</v>
      </c>
      <c r="K270" t="s">
        <v>63</v>
      </c>
      <c r="L270">
        <v>2</v>
      </c>
      <c r="N270">
        <v>2</v>
      </c>
      <c r="O270" t="s">
        <v>103</v>
      </c>
      <c r="S270" t="s">
        <v>56</v>
      </c>
      <c r="T270">
        <v>1</v>
      </c>
      <c r="V270">
        <v>1</v>
      </c>
      <c r="W270" t="s">
        <v>57</v>
      </c>
      <c r="X270" t="s">
        <v>122</v>
      </c>
      <c r="Y270" t="s">
        <v>85</v>
      </c>
      <c r="AA270" t="s">
        <v>227</v>
      </c>
      <c r="AB270">
        <v>1</v>
      </c>
      <c r="AC270">
        <v>1</v>
      </c>
      <c r="AD270">
        <v>1</v>
      </c>
      <c r="AE270" t="s">
        <v>228</v>
      </c>
      <c r="AI270">
        <v>5</v>
      </c>
      <c r="AJ270">
        <v>20</v>
      </c>
    </row>
    <row r="271" spans="1:36" x14ac:dyDescent="0.25">
      <c r="A271" t="s">
        <v>515</v>
      </c>
      <c r="B271">
        <v>269</v>
      </c>
      <c r="C271" t="s">
        <v>43</v>
      </c>
      <c r="D271">
        <v>1</v>
      </c>
      <c r="F271">
        <v>1</v>
      </c>
      <c r="G271" t="s">
        <v>73</v>
      </c>
      <c r="K271" t="s">
        <v>38</v>
      </c>
      <c r="L271">
        <v>1</v>
      </c>
      <c r="M271">
        <v>1</v>
      </c>
      <c r="N271">
        <v>1</v>
      </c>
      <c r="O271" t="s">
        <v>152</v>
      </c>
      <c r="P271" t="s">
        <v>70</v>
      </c>
      <c r="S271" t="s">
        <v>56</v>
      </c>
      <c r="T271">
        <v>1</v>
      </c>
      <c r="V271">
        <v>1</v>
      </c>
      <c r="W271" t="s">
        <v>68</v>
      </c>
      <c r="AA271" t="s">
        <v>227</v>
      </c>
      <c r="AB271">
        <v>1</v>
      </c>
      <c r="AC271">
        <v>1</v>
      </c>
      <c r="AD271">
        <v>1</v>
      </c>
      <c r="AE271" t="s">
        <v>228</v>
      </c>
      <c r="AI271">
        <v>1</v>
      </c>
      <c r="AJ271">
        <v>26</v>
      </c>
    </row>
    <row r="272" spans="1:36" x14ac:dyDescent="0.25">
      <c r="A272" t="s">
        <v>516</v>
      </c>
      <c r="B272">
        <v>270</v>
      </c>
      <c r="C272" t="s">
        <v>45</v>
      </c>
      <c r="D272">
        <v>2</v>
      </c>
      <c r="F272">
        <v>2</v>
      </c>
      <c r="G272" t="s">
        <v>47</v>
      </c>
      <c r="K272" t="s">
        <v>63</v>
      </c>
      <c r="L272">
        <v>1</v>
      </c>
      <c r="N272">
        <v>1</v>
      </c>
      <c r="O272" t="s">
        <v>103</v>
      </c>
      <c r="P272" t="s">
        <v>95</v>
      </c>
      <c r="S272" t="s">
        <v>56</v>
      </c>
      <c r="T272">
        <v>2</v>
      </c>
      <c r="V272">
        <v>1</v>
      </c>
      <c r="W272" t="s">
        <v>57</v>
      </c>
      <c r="AA272" t="s">
        <v>227</v>
      </c>
      <c r="AB272">
        <v>1</v>
      </c>
      <c r="AC272">
        <v>1</v>
      </c>
      <c r="AD272">
        <v>1</v>
      </c>
      <c r="AE272" t="s">
        <v>228</v>
      </c>
      <c r="AI272">
        <v>4</v>
      </c>
      <c r="AJ272">
        <v>29</v>
      </c>
    </row>
    <row r="273" spans="1:36" x14ac:dyDescent="0.25">
      <c r="A273" t="s">
        <v>517</v>
      </c>
      <c r="B273">
        <v>271</v>
      </c>
      <c r="C273" t="s">
        <v>45</v>
      </c>
      <c r="D273">
        <v>2</v>
      </c>
      <c r="F273">
        <v>1</v>
      </c>
      <c r="G273" t="s">
        <v>47</v>
      </c>
      <c r="K273" t="s">
        <v>38</v>
      </c>
      <c r="L273">
        <v>1</v>
      </c>
      <c r="M273">
        <v>1</v>
      </c>
      <c r="N273">
        <v>2</v>
      </c>
      <c r="O273" t="s">
        <v>152</v>
      </c>
      <c r="P273" t="s">
        <v>70</v>
      </c>
      <c r="S273" t="s">
        <v>56</v>
      </c>
      <c r="T273">
        <v>1</v>
      </c>
      <c r="V273">
        <v>1</v>
      </c>
      <c r="W273" t="s">
        <v>68</v>
      </c>
      <c r="X273" t="s">
        <v>122</v>
      </c>
      <c r="AA273" t="s">
        <v>227</v>
      </c>
      <c r="AB273">
        <v>1</v>
      </c>
      <c r="AC273">
        <v>1</v>
      </c>
      <c r="AD273">
        <v>1</v>
      </c>
      <c r="AE273" t="s">
        <v>228</v>
      </c>
      <c r="AI273">
        <v>4</v>
      </c>
      <c r="AJ273">
        <v>25</v>
      </c>
    </row>
    <row r="274" spans="1:36" x14ac:dyDescent="0.25">
      <c r="A274" t="s">
        <v>518</v>
      </c>
      <c r="B274">
        <v>272</v>
      </c>
      <c r="C274" t="s">
        <v>63</v>
      </c>
      <c r="D274">
        <v>1</v>
      </c>
      <c r="F274">
        <v>1</v>
      </c>
      <c r="G274" t="s">
        <v>103</v>
      </c>
      <c r="H274" t="s">
        <v>91</v>
      </c>
      <c r="K274" t="s">
        <v>38</v>
      </c>
      <c r="L274">
        <v>1</v>
      </c>
      <c r="M274">
        <v>1</v>
      </c>
      <c r="N274">
        <v>2</v>
      </c>
      <c r="O274" t="s">
        <v>152</v>
      </c>
      <c r="P274" t="s">
        <v>70</v>
      </c>
      <c r="S274" t="s">
        <v>56</v>
      </c>
      <c r="T274">
        <v>1</v>
      </c>
      <c r="V274">
        <v>1</v>
      </c>
      <c r="W274" t="s">
        <v>57</v>
      </c>
      <c r="X274" t="s">
        <v>122</v>
      </c>
      <c r="AA274" t="s">
        <v>227</v>
      </c>
      <c r="AB274">
        <v>1</v>
      </c>
      <c r="AC274">
        <v>1</v>
      </c>
      <c r="AD274">
        <v>1</v>
      </c>
      <c r="AE274" t="s">
        <v>228</v>
      </c>
      <c r="AI274">
        <v>4</v>
      </c>
      <c r="AJ274">
        <v>26</v>
      </c>
    </row>
    <row r="275" spans="1:36" x14ac:dyDescent="0.25">
      <c r="A275" t="s">
        <v>519</v>
      </c>
      <c r="B275">
        <v>273</v>
      </c>
      <c r="C275" t="s">
        <v>48</v>
      </c>
      <c r="D275">
        <v>2</v>
      </c>
      <c r="F275">
        <v>1</v>
      </c>
      <c r="G275" t="s">
        <v>89</v>
      </c>
      <c r="K275" t="s">
        <v>33</v>
      </c>
      <c r="L275">
        <v>2</v>
      </c>
      <c r="N275">
        <v>2</v>
      </c>
      <c r="O275" t="s">
        <v>46</v>
      </c>
      <c r="P275" t="s">
        <v>66</v>
      </c>
      <c r="S275" t="s">
        <v>43</v>
      </c>
      <c r="T275">
        <v>1</v>
      </c>
      <c r="V275">
        <v>3</v>
      </c>
      <c r="W275" t="s">
        <v>135</v>
      </c>
      <c r="X275" t="s">
        <v>136</v>
      </c>
      <c r="AA275" t="s">
        <v>45</v>
      </c>
      <c r="AB275">
        <v>2</v>
      </c>
      <c r="AD275">
        <v>1</v>
      </c>
      <c r="AE275" t="s">
        <v>47</v>
      </c>
      <c r="AI275">
        <v>8</v>
      </c>
      <c r="AJ275">
        <v>28</v>
      </c>
    </row>
    <row r="276" spans="1:36" x14ac:dyDescent="0.25">
      <c r="A276" t="s">
        <v>520</v>
      </c>
      <c r="B276">
        <v>274</v>
      </c>
      <c r="C276" t="s">
        <v>43</v>
      </c>
      <c r="D276">
        <v>2</v>
      </c>
      <c r="F276">
        <v>1</v>
      </c>
      <c r="G276" t="s">
        <v>135</v>
      </c>
      <c r="H276" t="s">
        <v>136</v>
      </c>
      <c r="K276" t="s">
        <v>63</v>
      </c>
      <c r="L276">
        <v>1</v>
      </c>
      <c r="N276">
        <v>1</v>
      </c>
      <c r="O276" t="s">
        <v>145</v>
      </c>
      <c r="S276" t="s">
        <v>48</v>
      </c>
      <c r="T276">
        <v>1</v>
      </c>
      <c r="V276">
        <v>1</v>
      </c>
      <c r="W276" t="s">
        <v>89</v>
      </c>
      <c r="AA276" t="s">
        <v>33</v>
      </c>
      <c r="AB276">
        <v>1</v>
      </c>
      <c r="AD276">
        <v>1</v>
      </c>
      <c r="AE276" t="s">
        <v>46</v>
      </c>
      <c r="AI276">
        <v>2</v>
      </c>
      <c r="AJ276">
        <v>16</v>
      </c>
    </row>
    <row r="277" spans="1:36" x14ac:dyDescent="0.25">
      <c r="A277" t="s">
        <v>521</v>
      </c>
      <c r="B277">
        <v>275</v>
      </c>
      <c r="C277" t="s">
        <v>48</v>
      </c>
      <c r="D277">
        <v>2</v>
      </c>
      <c r="F277">
        <v>1</v>
      </c>
      <c r="G277" t="s">
        <v>89</v>
      </c>
      <c r="H277" t="s">
        <v>50</v>
      </c>
      <c r="I277" t="s">
        <v>90</v>
      </c>
      <c r="J277" t="s">
        <v>129</v>
      </c>
      <c r="K277" t="s">
        <v>33</v>
      </c>
      <c r="L277">
        <v>1</v>
      </c>
      <c r="N277">
        <v>1</v>
      </c>
      <c r="O277" t="s">
        <v>46</v>
      </c>
      <c r="S277" t="s">
        <v>43</v>
      </c>
      <c r="T277">
        <v>2</v>
      </c>
      <c r="V277">
        <v>1</v>
      </c>
      <c r="W277" t="s">
        <v>135</v>
      </c>
      <c r="X277" t="s">
        <v>99</v>
      </c>
      <c r="AA277" t="s">
        <v>38</v>
      </c>
      <c r="AB277">
        <v>1</v>
      </c>
      <c r="AC277">
        <v>1</v>
      </c>
      <c r="AD277">
        <v>1</v>
      </c>
      <c r="AE277" t="s">
        <v>67</v>
      </c>
      <c r="AI277">
        <v>6</v>
      </c>
      <c r="AJ277">
        <v>22</v>
      </c>
    </row>
    <row r="278" spans="1:36" x14ac:dyDescent="0.25">
      <c r="A278" t="s">
        <v>522</v>
      </c>
      <c r="B278">
        <v>276</v>
      </c>
      <c r="C278" t="s">
        <v>48</v>
      </c>
      <c r="D278">
        <v>2</v>
      </c>
      <c r="F278">
        <v>1</v>
      </c>
      <c r="G278" t="s">
        <v>89</v>
      </c>
      <c r="K278" t="s">
        <v>33</v>
      </c>
      <c r="L278">
        <v>1</v>
      </c>
      <c r="N278">
        <v>2</v>
      </c>
      <c r="O278" t="s">
        <v>46</v>
      </c>
      <c r="S278" t="s">
        <v>43</v>
      </c>
      <c r="T278">
        <v>3</v>
      </c>
      <c r="V278">
        <v>1</v>
      </c>
      <c r="W278" t="s">
        <v>135</v>
      </c>
      <c r="X278" t="s">
        <v>136</v>
      </c>
      <c r="AA278" t="s">
        <v>227</v>
      </c>
      <c r="AB278">
        <v>1</v>
      </c>
      <c r="AC278">
        <v>1</v>
      </c>
      <c r="AD278">
        <v>1</v>
      </c>
      <c r="AE278" t="s">
        <v>228</v>
      </c>
      <c r="AI278">
        <v>5</v>
      </c>
      <c r="AJ278">
        <v>18</v>
      </c>
    </row>
    <row r="279" spans="1:36" x14ac:dyDescent="0.25">
      <c r="A279" t="s">
        <v>523</v>
      </c>
      <c r="B279">
        <v>277</v>
      </c>
      <c r="C279" t="s">
        <v>48</v>
      </c>
      <c r="D279">
        <v>1</v>
      </c>
      <c r="F279">
        <v>1</v>
      </c>
      <c r="G279" t="s">
        <v>49</v>
      </c>
      <c r="H279" t="s">
        <v>50</v>
      </c>
      <c r="K279" t="s">
        <v>33</v>
      </c>
      <c r="L279">
        <v>1</v>
      </c>
      <c r="N279">
        <v>2</v>
      </c>
      <c r="O279" t="s">
        <v>46</v>
      </c>
      <c r="S279" t="s">
        <v>45</v>
      </c>
      <c r="T279">
        <v>2</v>
      </c>
      <c r="V279">
        <v>1</v>
      </c>
      <c r="W279" t="s">
        <v>47</v>
      </c>
      <c r="AA279" t="s">
        <v>63</v>
      </c>
      <c r="AB279">
        <v>1</v>
      </c>
      <c r="AD279">
        <v>1</v>
      </c>
      <c r="AE279" t="s">
        <v>103</v>
      </c>
      <c r="AI279">
        <v>3</v>
      </c>
      <c r="AJ279">
        <v>26</v>
      </c>
    </row>
    <row r="280" spans="1:36" x14ac:dyDescent="0.25">
      <c r="A280" t="s">
        <v>524</v>
      </c>
      <c r="B280">
        <v>278</v>
      </c>
      <c r="C280" t="s">
        <v>45</v>
      </c>
      <c r="D280">
        <v>2</v>
      </c>
      <c r="F280">
        <v>1</v>
      </c>
      <c r="G280" t="s">
        <v>47</v>
      </c>
      <c r="K280" t="s">
        <v>38</v>
      </c>
      <c r="L280">
        <v>1</v>
      </c>
      <c r="M280">
        <v>1</v>
      </c>
      <c r="N280">
        <v>2</v>
      </c>
      <c r="O280" t="s">
        <v>152</v>
      </c>
      <c r="P280" t="s">
        <v>40</v>
      </c>
      <c r="S280" t="s">
        <v>48</v>
      </c>
      <c r="T280">
        <v>1</v>
      </c>
      <c r="V280">
        <v>1</v>
      </c>
      <c r="W280" t="s">
        <v>49</v>
      </c>
      <c r="X280" t="s">
        <v>84</v>
      </c>
      <c r="Y280" t="s">
        <v>90</v>
      </c>
      <c r="AA280" t="s">
        <v>33</v>
      </c>
      <c r="AB280">
        <v>1</v>
      </c>
      <c r="AD280">
        <v>2</v>
      </c>
      <c r="AE280" t="s">
        <v>46</v>
      </c>
      <c r="AI280">
        <v>6</v>
      </c>
      <c r="AJ280">
        <v>21</v>
      </c>
    </row>
    <row r="281" spans="1:36" x14ac:dyDescent="0.25">
      <c r="A281" t="s">
        <v>525</v>
      </c>
      <c r="B281">
        <v>279</v>
      </c>
      <c r="C281" t="s">
        <v>48</v>
      </c>
      <c r="D281">
        <v>2</v>
      </c>
      <c r="F281">
        <v>1</v>
      </c>
      <c r="G281" t="s">
        <v>89</v>
      </c>
      <c r="K281" t="s">
        <v>33</v>
      </c>
      <c r="L281">
        <v>1</v>
      </c>
      <c r="N281">
        <v>2</v>
      </c>
      <c r="O281" t="s">
        <v>46</v>
      </c>
      <c r="S281" t="s">
        <v>45</v>
      </c>
      <c r="T281">
        <v>2</v>
      </c>
      <c r="V281">
        <v>1</v>
      </c>
      <c r="W281" t="s">
        <v>47</v>
      </c>
      <c r="AA281" t="s">
        <v>227</v>
      </c>
      <c r="AB281">
        <v>1</v>
      </c>
      <c r="AC281">
        <v>1</v>
      </c>
      <c r="AD281">
        <v>1</v>
      </c>
      <c r="AE281" t="s">
        <v>228</v>
      </c>
      <c r="AI281">
        <v>3</v>
      </c>
      <c r="AJ281">
        <v>23</v>
      </c>
    </row>
    <row r="282" spans="1:36" x14ac:dyDescent="0.25">
      <c r="A282" t="s">
        <v>526</v>
      </c>
      <c r="B282">
        <v>280</v>
      </c>
      <c r="C282" t="s">
        <v>63</v>
      </c>
      <c r="D282">
        <v>1</v>
      </c>
      <c r="F282">
        <v>1</v>
      </c>
      <c r="G282" t="s">
        <v>103</v>
      </c>
      <c r="H282" t="s">
        <v>91</v>
      </c>
      <c r="K282" t="s">
        <v>38</v>
      </c>
      <c r="L282">
        <v>1</v>
      </c>
      <c r="M282">
        <v>1</v>
      </c>
      <c r="N282">
        <v>2</v>
      </c>
      <c r="O282" t="s">
        <v>152</v>
      </c>
      <c r="P282" t="s">
        <v>70</v>
      </c>
      <c r="S282" t="s">
        <v>48</v>
      </c>
      <c r="T282">
        <v>1</v>
      </c>
      <c r="V282">
        <v>2</v>
      </c>
      <c r="W282" t="s">
        <v>49</v>
      </c>
      <c r="AA282" t="s">
        <v>33</v>
      </c>
      <c r="AB282">
        <v>2</v>
      </c>
      <c r="AD282">
        <v>3</v>
      </c>
      <c r="AE282" t="s">
        <v>46</v>
      </c>
      <c r="AI282">
        <v>7</v>
      </c>
      <c r="AJ282">
        <v>39</v>
      </c>
    </row>
    <row r="283" spans="1:36" x14ac:dyDescent="0.25">
      <c r="A283" t="s">
        <v>527</v>
      </c>
      <c r="B283">
        <v>281</v>
      </c>
      <c r="C283" t="s">
        <v>48</v>
      </c>
      <c r="D283">
        <v>2</v>
      </c>
      <c r="F283">
        <v>1</v>
      </c>
      <c r="G283" t="s">
        <v>49</v>
      </c>
      <c r="K283" t="s">
        <v>33</v>
      </c>
      <c r="L283">
        <v>2</v>
      </c>
      <c r="N283">
        <v>2</v>
      </c>
      <c r="O283" t="s">
        <v>46</v>
      </c>
      <c r="S283" t="s">
        <v>63</v>
      </c>
      <c r="T283">
        <v>1</v>
      </c>
      <c r="V283">
        <v>1</v>
      </c>
      <c r="W283" t="s">
        <v>103</v>
      </c>
      <c r="AA283" t="s">
        <v>227</v>
      </c>
      <c r="AB283">
        <v>1</v>
      </c>
      <c r="AC283">
        <v>1</v>
      </c>
      <c r="AD283">
        <v>1</v>
      </c>
      <c r="AE283" t="s">
        <v>228</v>
      </c>
      <c r="AI283">
        <v>3</v>
      </c>
      <c r="AJ283">
        <v>17</v>
      </c>
    </row>
    <row r="284" spans="1:36" x14ac:dyDescent="0.25">
      <c r="A284" t="s">
        <v>528</v>
      </c>
      <c r="B284">
        <v>282</v>
      </c>
      <c r="C284" t="s">
        <v>48</v>
      </c>
      <c r="D284">
        <v>1</v>
      </c>
      <c r="F284">
        <v>1</v>
      </c>
      <c r="G284" t="s">
        <v>89</v>
      </c>
      <c r="H284" t="s">
        <v>50</v>
      </c>
      <c r="I284" t="s">
        <v>51</v>
      </c>
      <c r="K284" t="s">
        <v>33</v>
      </c>
      <c r="L284">
        <v>1</v>
      </c>
      <c r="N284">
        <v>2</v>
      </c>
      <c r="O284" t="s">
        <v>46</v>
      </c>
      <c r="S284" t="s">
        <v>38</v>
      </c>
      <c r="T284">
        <v>1</v>
      </c>
      <c r="U284">
        <v>1</v>
      </c>
      <c r="V284">
        <v>2</v>
      </c>
      <c r="W284" t="s">
        <v>67</v>
      </c>
      <c r="X284" t="s">
        <v>70</v>
      </c>
      <c r="AA284" t="s">
        <v>227</v>
      </c>
      <c r="AB284">
        <v>1</v>
      </c>
      <c r="AC284">
        <v>1</v>
      </c>
      <c r="AD284">
        <v>1</v>
      </c>
      <c r="AE284" t="s">
        <v>228</v>
      </c>
      <c r="AF284" t="s">
        <v>232</v>
      </c>
      <c r="AG284" t="s">
        <v>235</v>
      </c>
      <c r="AH284" t="s">
        <v>238</v>
      </c>
      <c r="AI284">
        <v>8</v>
      </c>
      <c r="AJ284">
        <v>68</v>
      </c>
    </row>
    <row r="285" spans="1:36" x14ac:dyDescent="0.25">
      <c r="A285" t="s">
        <v>529</v>
      </c>
      <c r="B285">
        <v>283</v>
      </c>
      <c r="C285" t="s">
        <v>48</v>
      </c>
      <c r="D285">
        <v>3</v>
      </c>
      <c r="F285">
        <v>2</v>
      </c>
      <c r="G285" t="s">
        <v>89</v>
      </c>
      <c r="H285" t="s">
        <v>71</v>
      </c>
      <c r="I285" t="s">
        <v>90</v>
      </c>
      <c r="J285" t="s">
        <v>52</v>
      </c>
      <c r="K285" t="s">
        <v>43</v>
      </c>
      <c r="L285">
        <v>1</v>
      </c>
      <c r="N285">
        <v>1</v>
      </c>
      <c r="O285" t="s">
        <v>135</v>
      </c>
      <c r="P285" t="s">
        <v>74</v>
      </c>
      <c r="S285" t="s">
        <v>33</v>
      </c>
      <c r="T285">
        <v>1</v>
      </c>
      <c r="V285">
        <v>1</v>
      </c>
      <c r="W285" t="s">
        <v>46</v>
      </c>
      <c r="AA285" t="s">
        <v>45</v>
      </c>
      <c r="AB285">
        <v>3</v>
      </c>
      <c r="AD285">
        <v>2</v>
      </c>
      <c r="AE285" t="s">
        <v>47</v>
      </c>
      <c r="AF285" t="s">
        <v>76</v>
      </c>
      <c r="AI285">
        <v>11</v>
      </c>
      <c r="AJ285">
        <v>43</v>
      </c>
    </row>
    <row r="286" spans="1:36" x14ac:dyDescent="0.25">
      <c r="A286" t="s">
        <v>530</v>
      </c>
      <c r="B286">
        <v>284</v>
      </c>
      <c r="C286" t="s">
        <v>48</v>
      </c>
      <c r="D286">
        <v>2</v>
      </c>
      <c r="F286">
        <v>1</v>
      </c>
      <c r="G286" t="s">
        <v>49</v>
      </c>
      <c r="H286" t="s">
        <v>71</v>
      </c>
      <c r="I286" t="s">
        <v>127</v>
      </c>
      <c r="K286" t="s">
        <v>43</v>
      </c>
      <c r="L286">
        <v>2</v>
      </c>
      <c r="N286">
        <v>1</v>
      </c>
      <c r="O286" t="s">
        <v>135</v>
      </c>
      <c r="P286" t="s">
        <v>136</v>
      </c>
      <c r="Q286" t="s">
        <v>75</v>
      </c>
      <c r="S286" t="s">
        <v>33</v>
      </c>
      <c r="T286">
        <v>1</v>
      </c>
      <c r="V286">
        <v>1</v>
      </c>
      <c r="W286" t="s">
        <v>46</v>
      </c>
      <c r="AA286" t="s">
        <v>63</v>
      </c>
      <c r="AB286">
        <v>1</v>
      </c>
      <c r="AD286">
        <v>1</v>
      </c>
      <c r="AE286" t="s">
        <v>145</v>
      </c>
      <c r="AF286" t="s">
        <v>91</v>
      </c>
      <c r="AI286">
        <v>7</v>
      </c>
      <c r="AJ286">
        <v>20</v>
      </c>
    </row>
    <row r="287" spans="1:36" x14ac:dyDescent="0.25">
      <c r="A287" t="s">
        <v>531</v>
      </c>
      <c r="B287">
        <v>285</v>
      </c>
      <c r="C287" t="s">
        <v>33</v>
      </c>
      <c r="D287">
        <v>2</v>
      </c>
      <c r="F287">
        <v>3</v>
      </c>
      <c r="G287" t="s">
        <v>46</v>
      </c>
      <c r="K287" t="s">
        <v>38</v>
      </c>
      <c r="L287">
        <v>1</v>
      </c>
      <c r="M287">
        <v>1</v>
      </c>
      <c r="N287">
        <v>1</v>
      </c>
      <c r="O287" t="s">
        <v>67</v>
      </c>
      <c r="P287" t="s">
        <v>70</v>
      </c>
      <c r="S287" t="s">
        <v>48</v>
      </c>
      <c r="T287">
        <v>1</v>
      </c>
      <c r="V287">
        <v>1</v>
      </c>
      <c r="W287" t="s">
        <v>89</v>
      </c>
      <c r="AA287" t="s">
        <v>43</v>
      </c>
      <c r="AB287">
        <v>3</v>
      </c>
      <c r="AD287">
        <v>2</v>
      </c>
      <c r="AE287" t="s">
        <v>135</v>
      </c>
      <c r="AI287">
        <v>7</v>
      </c>
      <c r="AJ287">
        <v>29</v>
      </c>
    </row>
    <row r="288" spans="1:36" x14ac:dyDescent="0.25">
      <c r="A288" t="s">
        <v>532</v>
      </c>
      <c r="B288">
        <v>286</v>
      </c>
      <c r="C288" t="s">
        <v>33</v>
      </c>
      <c r="D288">
        <v>1</v>
      </c>
      <c r="F288">
        <v>3</v>
      </c>
      <c r="G288" t="s">
        <v>46</v>
      </c>
      <c r="K288" t="s">
        <v>227</v>
      </c>
      <c r="L288">
        <v>2</v>
      </c>
      <c r="M288">
        <v>1</v>
      </c>
      <c r="N288">
        <v>1</v>
      </c>
      <c r="O288" t="s">
        <v>228</v>
      </c>
      <c r="P288" t="s">
        <v>231</v>
      </c>
      <c r="S288" t="s">
        <v>48</v>
      </c>
      <c r="T288">
        <v>1</v>
      </c>
      <c r="V288">
        <v>1</v>
      </c>
      <c r="W288" t="s">
        <v>89</v>
      </c>
      <c r="X288" t="s">
        <v>50</v>
      </c>
      <c r="AA288" t="s">
        <v>43</v>
      </c>
      <c r="AB288">
        <v>1</v>
      </c>
      <c r="AD288">
        <v>1</v>
      </c>
      <c r="AE288" t="s">
        <v>73</v>
      </c>
      <c r="AF288" t="s">
        <v>136</v>
      </c>
      <c r="AI288">
        <v>6</v>
      </c>
      <c r="AJ288">
        <v>25</v>
      </c>
    </row>
    <row r="289" spans="1:36" x14ac:dyDescent="0.25">
      <c r="A289" t="s">
        <v>533</v>
      </c>
      <c r="B289">
        <v>287</v>
      </c>
      <c r="C289" t="s">
        <v>48</v>
      </c>
      <c r="D289">
        <v>3</v>
      </c>
      <c r="F289">
        <v>1</v>
      </c>
      <c r="G289" t="s">
        <v>49</v>
      </c>
      <c r="K289" t="s">
        <v>43</v>
      </c>
      <c r="L289">
        <v>2</v>
      </c>
      <c r="N289">
        <v>1</v>
      </c>
      <c r="O289" t="s">
        <v>135</v>
      </c>
      <c r="P289" t="s">
        <v>99</v>
      </c>
      <c r="S289" t="s">
        <v>45</v>
      </c>
      <c r="T289">
        <v>3</v>
      </c>
      <c r="V289">
        <v>1</v>
      </c>
      <c r="W289" t="s">
        <v>47</v>
      </c>
      <c r="AA289" t="s">
        <v>63</v>
      </c>
      <c r="AB289">
        <v>1</v>
      </c>
      <c r="AD289">
        <v>1</v>
      </c>
      <c r="AE289" t="s">
        <v>103</v>
      </c>
      <c r="AI289">
        <v>6</v>
      </c>
      <c r="AJ289">
        <v>22</v>
      </c>
    </row>
    <row r="290" spans="1:36" x14ac:dyDescent="0.25">
      <c r="A290" t="s">
        <v>534</v>
      </c>
      <c r="B290">
        <v>288</v>
      </c>
      <c r="C290" t="s">
        <v>45</v>
      </c>
      <c r="D290">
        <v>2</v>
      </c>
      <c r="F290">
        <v>1</v>
      </c>
      <c r="G290" t="s">
        <v>47</v>
      </c>
      <c r="K290" t="s">
        <v>38</v>
      </c>
      <c r="L290">
        <v>1</v>
      </c>
      <c r="M290">
        <v>1</v>
      </c>
      <c r="N290">
        <v>2</v>
      </c>
      <c r="O290" t="s">
        <v>67</v>
      </c>
      <c r="P290" t="s">
        <v>70</v>
      </c>
      <c r="S290" t="s">
        <v>48</v>
      </c>
      <c r="T290">
        <v>1</v>
      </c>
      <c r="V290">
        <v>1</v>
      </c>
      <c r="W290" t="s">
        <v>89</v>
      </c>
      <c r="X290" t="s">
        <v>84</v>
      </c>
      <c r="AA290" t="s">
        <v>43</v>
      </c>
      <c r="AB290">
        <v>1</v>
      </c>
      <c r="AD290">
        <v>1</v>
      </c>
      <c r="AE290" t="s">
        <v>73</v>
      </c>
      <c r="AF290" t="s">
        <v>136</v>
      </c>
      <c r="AI290">
        <v>5</v>
      </c>
      <c r="AJ290">
        <v>32</v>
      </c>
    </row>
    <row r="291" spans="1:36" x14ac:dyDescent="0.25">
      <c r="A291" t="s">
        <v>535</v>
      </c>
      <c r="B291">
        <v>289</v>
      </c>
      <c r="C291" t="s">
        <v>45</v>
      </c>
      <c r="D291">
        <v>3</v>
      </c>
      <c r="F291">
        <v>1</v>
      </c>
      <c r="G291" t="s">
        <v>47</v>
      </c>
      <c r="K291" t="s">
        <v>227</v>
      </c>
      <c r="L291">
        <v>1</v>
      </c>
      <c r="M291">
        <v>1</v>
      </c>
      <c r="N291">
        <v>1</v>
      </c>
      <c r="O291" t="s">
        <v>228</v>
      </c>
      <c r="S291" t="s">
        <v>48</v>
      </c>
      <c r="T291">
        <v>1</v>
      </c>
      <c r="V291">
        <v>1</v>
      </c>
      <c r="W291" t="s">
        <v>49</v>
      </c>
      <c r="X291" t="s">
        <v>84</v>
      </c>
      <c r="AA291" t="s">
        <v>43</v>
      </c>
      <c r="AB291">
        <v>1</v>
      </c>
      <c r="AD291">
        <v>1</v>
      </c>
      <c r="AE291" t="s">
        <v>73</v>
      </c>
      <c r="AI291">
        <v>3</v>
      </c>
      <c r="AJ291">
        <v>21</v>
      </c>
    </row>
    <row r="292" spans="1:36" x14ac:dyDescent="0.25">
      <c r="A292" t="s">
        <v>536</v>
      </c>
      <c r="B292">
        <v>290</v>
      </c>
      <c r="C292" t="s">
        <v>63</v>
      </c>
      <c r="D292">
        <v>1</v>
      </c>
      <c r="F292">
        <v>1</v>
      </c>
      <c r="G292" t="s">
        <v>103</v>
      </c>
      <c r="H292" t="s">
        <v>95</v>
      </c>
      <c r="K292" t="s">
        <v>38</v>
      </c>
      <c r="L292">
        <v>2</v>
      </c>
      <c r="M292">
        <v>1</v>
      </c>
      <c r="N292">
        <v>2</v>
      </c>
      <c r="O292" t="s">
        <v>67</v>
      </c>
      <c r="P292" t="s">
        <v>70</v>
      </c>
      <c r="S292" t="s">
        <v>48</v>
      </c>
      <c r="T292">
        <v>1</v>
      </c>
      <c r="V292">
        <v>1</v>
      </c>
      <c r="W292" t="s">
        <v>49</v>
      </c>
      <c r="AA292" t="s">
        <v>43</v>
      </c>
      <c r="AB292">
        <v>2</v>
      </c>
      <c r="AD292">
        <v>1</v>
      </c>
      <c r="AE292" t="s">
        <v>135</v>
      </c>
      <c r="AF292" t="s">
        <v>74</v>
      </c>
      <c r="AG292" t="s">
        <v>75</v>
      </c>
      <c r="AI292">
        <v>7</v>
      </c>
      <c r="AJ292">
        <v>23</v>
      </c>
    </row>
    <row r="293" spans="1:36" x14ac:dyDescent="0.25">
      <c r="A293" t="s">
        <v>537</v>
      </c>
      <c r="B293">
        <v>291</v>
      </c>
      <c r="C293" t="s">
        <v>48</v>
      </c>
      <c r="D293">
        <v>1</v>
      </c>
      <c r="F293">
        <v>1</v>
      </c>
      <c r="G293" t="s">
        <v>49</v>
      </c>
      <c r="K293" t="s">
        <v>43</v>
      </c>
      <c r="L293">
        <v>1</v>
      </c>
      <c r="N293">
        <v>1</v>
      </c>
      <c r="O293" t="s">
        <v>73</v>
      </c>
      <c r="P293" t="s">
        <v>99</v>
      </c>
      <c r="S293" t="s">
        <v>63</v>
      </c>
      <c r="T293">
        <v>1</v>
      </c>
      <c r="V293">
        <v>1</v>
      </c>
      <c r="W293" t="s">
        <v>72</v>
      </c>
      <c r="AA293" t="s">
        <v>227</v>
      </c>
      <c r="AB293">
        <v>2</v>
      </c>
      <c r="AC293">
        <v>1</v>
      </c>
      <c r="AD293">
        <v>1</v>
      </c>
      <c r="AE293" t="s">
        <v>228</v>
      </c>
      <c r="AI293">
        <v>2</v>
      </c>
      <c r="AJ293">
        <v>32</v>
      </c>
    </row>
    <row r="294" spans="1:36" x14ac:dyDescent="0.25">
      <c r="A294" t="s">
        <v>538</v>
      </c>
      <c r="B294">
        <v>292</v>
      </c>
      <c r="C294" t="s">
        <v>38</v>
      </c>
      <c r="D294">
        <v>2</v>
      </c>
      <c r="E294">
        <v>1</v>
      </c>
      <c r="F294">
        <v>3</v>
      </c>
      <c r="G294" t="s">
        <v>67</v>
      </c>
      <c r="H294" t="s">
        <v>70</v>
      </c>
      <c r="I294" t="s">
        <v>153</v>
      </c>
      <c r="J294" t="s">
        <v>42</v>
      </c>
      <c r="K294" t="s">
        <v>227</v>
      </c>
      <c r="L294">
        <v>1</v>
      </c>
      <c r="M294">
        <v>1</v>
      </c>
      <c r="N294">
        <v>1</v>
      </c>
      <c r="O294" t="s">
        <v>228</v>
      </c>
      <c r="P294" t="s">
        <v>231</v>
      </c>
      <c r="S294" t="s">
        <v>48</v>
      </c>
      <c r="T294">
        <v>2</v>
      </c>
      <c r="V294">
        <v>1</v>
      </c>
      <c r="W294" t="s">
        <v>49</v>
      </c>
      <c r="AA294" t="s">
        <v>43</v>
      </c>
      <c r="AB294">
        <v>1</v>
      </c>
      <c r="AD294">
        <v>1</v>
      </c>
      <c r="AE294" t="s">
        <v>73</v>
      </c>
      <c r="AF294" t="s">
        <v>99</v>
      </c>
      <c r="AI294">
        <v>9</v>
      </c>
      <c r="AJ294">
        <v>61</v>
      </c>
    </row>
    <row r="295" spans="1:36" x14ac:dyDescent="0.25">
      <c r="A295" t="s">
        <v>539</v>
      </c>
      <c r="B295">
        <v>293</v>
      </c>
      <c r="C295" t="s">
        <v>33</v>
      </c>
      <c r="D295">
        <v>2</v>
      </c>
      <c r="F295">
        <v>2</v>
      </c>
      <c r="G295" t="s">
        <v>46</v>
      </c>
      <c r="K295" t="s">
        <v>43</v>
      </c>
      <c r="L295">
        <v>2</v>
      </c>
      <c r="N295">
        <v>1</v>
      </c>
      <c r="O295" t="s">
        <v>135</v>
      </c>
      <c r="P295" t="s">
        <v>99</v>
      </c>
      <c r="S295" t="s">
        <v>48</v>
      </c>
      <c r="T295">
        <v>3</v>
      </c>
      <c r="V295">
        <v>2</v>
      </c>
      <c r="W295" t="s">
        <v>89</v>
      </c>
      <c r="AA295" t="s">
        <v>45</v>
      </c>
      <c r="AB295">
        <v>1</v>
      </c>
      <c r="AD295">
        <v>1</v>
      </c>
      <c r="AE295" t="s">
        <v>140</v>
      </c>
      <c r="AI295">
        <v>7</v>
      </c>
      <c r="AJ295">
        <v>23</v>
      </c>
    </row>
    <row r="296" spans="1:36" x14ac:dyDescent="0.25">
      <c r="A296" t="s">
        <v>540</v>
      </c>
      <c r="B296">
        <v>294</v>
      </c>
      <c r="C296" t="s">
        <v>48</v>
      </c>
      <c r="D296">
        <v>2</v>
      </c>
      <c r="F296">
        <v>1</v>
      </c>
      <c r="G296" t="s">
        <v>49</v>
      </c>
      <c r="K296" t="s">
        <v>45</v>
      </c>
      <c r="L296">
        <v>2</v>
      </c>
      <c r="N296">
        <v>1</v>
      </c>
      <c r="O296" t="s">
        <v>47</v>
      </c>
      <c r="S296" t="s">
        <v>33</v>
      </c>
      <c r="T296">
        <v>1</v>
      </c>
      <c r="V296">
        <v>2</v>
      </c>
      <c r="W296" t="s">
        <v>46</v>
      </c>
      <c r="AA296" t="s">
        <v>63</v>
      </c>
      <c r="AB296">
        <v>1</v>
      </c>
      <c r="AD296">
        <v>1</v>
      </c>
      <c r="AE296" t="s">
        <v>103</v>
      </c>
      <c r="AF296" t="s">
        <v>91</v>
      </c>
      <c r="AI296">
        <v>4</v>
      </c>
      <c r="AJ296">
        <v>31</v>
      </c>
    </row>
    <row r="297" spans="1:36" x14ac:dyDescent="0.25">
      <c r="A297" t="s">
        <v>541</v>
      </c>
      <c r="B297">
        <v>295</v>
      </c>
      <c r="C297" t="s">
        <v>48</v>
      </c>
      <c r="D297">
        <v>2</v>
      </c>
      <c r="F297">
        <v>1</v>
      </c>
      <c r="G297" t="s">
        <v>49</v>
      </c>
      <c r="K297" t="s">
        <v>45</v>
      </c>
      <c r="L297">
        <v>3</v>
      </c>
      <c r="N297">
        <v>3</v>
      </c>
      <c r="O297" t="s">
        <v>47</v>
      </c>
      <c r="P297" t="s">
        <v>76</v>
      </c>
      <c r="S297" t="s">
        <v>33</v>
      </c>
      <c r="T297">
        <v>2</v>
      </c>
      <c r="V297">
        <v>2</v>
      </c>
      <c r="W297" t="s">
        <v>46</v>
      </c>
      <c r="AA297" t="s">
        <v>38</v>
      </c>
      <c r="AB297">
        <v>3</v>
      </c>
      <c r="AC297">
        <v>2</v>
      </c>
      <c r="AD297">
        <v>2</v>
      </c>
      <c r="AE297" t="s">
        <v>67</v>
      </c>
      <c r="AF297" t="s">
        <v>40</v>
      </c>
      <c r="AG297" t="s">
        <v>41</v>
      </c>
      <c r="AI297">
        <v>14</v>
      </c>
      <c r="AJ297">
        <v>32</v>
      </c>
    </row>
    <row r="298" spans="1:36" x14ac:dyDescent="0.25">
      <c r="A298" t="s">
        <v>542</v>
      </c>
      <c r="B298">
        <v>296</v>
      </c>
      <c r="C298" t="s">
        <v>48</v>
      </c>
      <c r="D298">
        <v>2</v>
      </c>
      <c r="F298">
        <v>1</v>
      </c>
      <c r="G298" t="s">
        <v>89</v>
      </c>
      <c r="K298" t="s">
        <v>45</v>
      </c>
      <c r="L298">
        <v>2</v>
      </c>
      <c r="N298">
        <v>1</v>
      </c>
      <c r="O298" t="s">
        <v>47</v>
      </c>
      <c r="S298" t="s">
        <v>33</v>
      </c>
      <c r="T298">
        <v>1</v>
      </c>
      <c r="V298">
        <v>3</v>
      </c>
      <c r="W298" t="s">
        <v>46</v>
      </c>
      <c r="X298" t="s">
        <v>66</v>
      </c>
      <c r="AA298" t="s">
        <v>227</v>
      </c>
      <c r="AB298">
        <v>1</v>
      </c>
      <c r="AC298">
        <v>1</v>
      </c>
      <c r="AD298">
        <v>1</v>
      </c>
      <c r="AE298" t="s">
        <v>228</v>
      </c>
      <c r="AI298">
        <v>5</v>
      </c>
      <c r="AJ298">
        <v>23</v>
      </c>
    </row>
    <row r="299" spans="1:36" x14ac:dyDescent="0.25">
      <c r="A299" t="s">
        <v>543</v>
      </c>
      <c r="B299">
        <v>297</v>
      </c>
      <c r="C299" t="s">
        <v>48</v>
      </c>
      <c r="D299">
        <v>1</v>
      </c>
      <c r="F299">
        <v>1</v>
      </c>
      <c r="G299" t="s">
        <v>49</v>
      </c>
      <c r="K299" t="s">
        <v>45</v>
      </c>
      <c r="L299">
        <v>2</v>
      </c>
      <c r="N299">
        <v>1</v>
      </c>
      <c r="O299" t="s">
        <v>47</v>
      </c>
      <c r="S299" t="s">
        <v>43</v>
      </c>
      <c r="T299">
        <v>1</v>
      </c>
      <c r="V299">
        <v>1</v>
      </c>
      <c r="W299" t="s">
        <v>135</v>
      </c>
      <c r="AA299" t="s">
        <v>63</v>
      </c>
      <c r="AB299">
        <v>2</v>
      </c>
      <c r="AD299">
        <v>1</v>
      </c>
      <c r="AE299" t="s">
        <v>72</v>
      </c>
      <c r="AF299" t="s">
        <v>91</v>
      </c>
      <c r="AI299">
        <v>3</v>
      </c>
      <c r="AJ299">
        <v>24</v>
      </c>
    </row>
    <row r="300" spans="1:36" x14ac:dyDescent="0.25">
      <c r="A300" t="s">
        <v>544</v>
      </c>
      <c r="B300">
        <v>298</v>
      </c>
      <c r="C300" t="s">
        <v>43</v>
      </c>
      <c r="D300">
        <v>2</v>
      </c>
      <c r="F300">
        <v>2</v>
      </c>
      <c r="G300" t="s">
        <v>135</v>
      </c>
      <c r="H300" t="s">
        <v>74</v>
      </c>
      <c r="K300" t="s">
        <v>38</v>
      </c>
      <c r="L300">
        <v>1</v>
      </c>
      <c r="M300">
        <v>1</v>
      </c>
      <c r="N300">
        <v>2</v>
      </c>
      <c r="O300" t="s">
        <v>67</v>
      </c>
      <c r="P300" t="s">
        <v>70</v>
      </c>
      <c r="S300" t="s">
        <v>48</v>
      </c>
      <c r="T300">
        <v>1</v>
      </c>
      <c r="V300">
        <v>1</v>
      </c>
      <c r="W300" t="s">
        <v>89</v>
      </c>
      <c r="X300" t="s">
        <v>84</v>
      </c>
      <c r="Y300" t="s">
        <v>90</v>
      </c>
      <c r="AA300" t="s">
        <v>45</v>
      </c>
      <c r="AB300">
        <v>2</v>
      </c>
      <c r="AD300">
        <v>1</v>
      </c>
      <c r="AE300" t="s">
        <v>86</v>
      </c>
      <c r="AI300">
        <v>8</v>
      </c>
      <c r="AJ300">
        <v>30</v>
      </c>
    </row>
    <row r="301" spans="1:36" x14ac:dyDescent="0.25">
      <c r="A301" t="s">
        <v>545</v>
      </c>
      <c r="B301">
        <v>299</v>
      </c>
      <c r="C301" t="s">
        <v>48</v>
      </c>
      <c r="D301">
        <v>1</v>
      </c>
      <c r="F301">
        <v>1</v>
      </c>
      <c r="G301" t="s">
        <v>89</v>
      </c>
      <c r="H301" t="s">
        <v>50</v>
      </c>
      <c r="K301" t="s">
        <v>45</v>
      </c>
      <c r="L301">
        <v>3</v>
      </c>
      <c r="N301">
        <v>1</v>
      </c>
      <c r="O301" t="s">
        <v>47</v>
      </c>
      <c r="S301" t="s">
        <v>43</v>
      </c>
      <c r="T301">
        <v>1</v>
      </c>
      <c r="V301">
        <v>2</v>
      </c>
      <c r="W301" t="s">
        <v>135</v>
      </c>
      <c r="X301" t="s">
        <v>99</v>
      </c>
      <c r="AA301" t="s">
        <v>227</v>
      </c>
      <c r="AB301">
        <v>2</v>
      </c>
      <c r="AC301">
        <v>1</v>
      </c>
      <c r="AD301">
        <v>1</v>
      </c>
      <c r="AE301" t="s">
        <v>228</v>
      </c>
      <c r="AF301" t="s">
        <v>231</v>
      </c>
      <c r="AI301">
        <v>7</v>
      </c>
      <c r="AJ301">
        <v>19</v>
      </c>
    </row>
    <row r="302" spans="1:36" x14ac:dyDescent="0.25">
      <c r="A302" t="s">
        <v>546</v>
      </c>
      <c r="B302">
        <v>300</v>
      </c>
      <c r="C302" t="s">
        <v>63</v>
      </c>
      <c r="D302">
        <v>1</v>
      </c>
      <c r="F302">
        <v>1</v>
      </c>
      <c r="G302" t="s">
        <v>72</v>
      </c>
      <c r="H302" t="s">
        <v>91</v>
      </c>
      <c r="K302" t="s">
        <v>38</v>
      </c>
      <c r="L302">
        <v>1</v>
      </c>
      <c r="M302">
        <v>1</v>
      </c>
      <c r="N302">
        <v>2</v>
      </c>
      <c r="O302" t="s">
        <v>152</v>
      </c>
      <c r="S302" t="s">
        <v>48</v>
      </c>
      <c r="T302">
        <v>1</v>
      </c>
      <c r="V302">
        <v>1</v>
      </c>
      <c r="W302" t="s">
        <v>49</v>
      </c>
      <c r="AA302" t="s">
        <v>45</v>
      </c>
      <c r="AB302">
        <v>2</v>
      </c>
      <c r="AD302">
        <v>1</v>
      </c>
      <c r="AE302" t="s">
        <v>47</v>
      </c>
      <c r="AI302">
        <v>3</v>
      </c>
      <c r="AJ302">
        <v>23</v>
      </c>
    </row>
    <row r="303" spans="1:36" x14ac:dyDescent="0.25">
      <c r="A303" t="s">
        <v>547</v>
      </c>
      <c r="B303">
        <v>301</v>
      </c>
      <c r="C303" t="s">
        <v>48</v>
      </c>
      <c r="D303">
        <v>3</v>
      </c>
      <c r="F303">
        <v>1</v>
      </c>
      <c r="G303" t="s">
        <v>89</v>
      </c>
      <c r="K303" t="s">
        <v>45</v>
      </c>
      <c r="L303">
        <v>2</v>
      </c>
      <c r="N303">
        <v>1</v>
      </c>
      <c r="O303" t="s">
        <v>47</v>
      </c>
      <c r="S303" t="s">
        <v>63</v>
      </c>
      <c r="T303">
        <v>1</v>
      </c>
      <c r="V303">
        <v>1</v>
      </c>
      <c r="W303" t="s">
        <v>103</v>
      </c>
      <c r="AA303" t="s">
        <v>227</v>
      </c>
      <c r="AB303">
        <v>1</v>
      </c>
      <c r="AC303">
        <v>1</v>
      </c>
      <c r="AD303">
        <v>2</v>
      </c>
      <c r="AE303" t="s">
        <v>228</v>
      </c>
      <c r="AF303" t="s">
        <v>231</v>
      </c>
      <c r="AI303">
        <v>5</v>
      </c>
      <c r="AJ303">
        <v>31</v>
      </c>
    </row>
    <row r="304" spans="1:36" x14ac:dyDescent="0.25">
      <c r="A304" t="s">
        <v>548</v>
      </c>
      <c r="B304">
        <v>302</v>
      </c>
      <c r="C304" t="s">
        <v>48</v>
      </c>
      <c r="D304">
        <v>1</v>
      </c>
      <c r="F304">
        <v>1</v>
      </c>
      <c r="G304" t="s">
        <v>89</v>
      </c>
      <c r="K304" t="s">
        <v>45</v>
      </c>
      <c r="L304">
        <v>2</v>
      </c>
      <c r="N304">
        <v>1</v>
      </c>
      <c r="O304" t="s">
        <v>47</v>
      </c>
      <c r="S304" t="s">
        <v>38</v>
      </c>
      <c r="T304">
        <v>2</v>
      </c>
      <c r="U304">
        <v>1</v>
      </c>
      <c r="V304">
        <v>2</v>
      </c>
      <c r="W304" t="s">
        <v>152</v>
      </c>
      <c r="AA304" t="s">
        <v>227</v>
      </c>
      <c r="AB304">
        <v>2</v>
      </c>
      <c r="AC304">
        <v>1</v>
      </c>
      <c r="AD304">
        <v>1</v>
      </c>
      <c r="AE304" t="s">
        <v>228</v>
      </c>
      <c r="AI304">
        <v>4</v>
      </c>
      <c r="AJ304">
        <v>27</v>
      </c>
    </row>
    <row r="305" spans="1:36" x14ac:dyDescent="0.25">
      <c r="A305" t="s">
        <v>549</v>
      </c>
      <c r="B305">
        <v>303</v>
      </c>
      <c r="C305" t="s">
        <v>33</v>
      </c>
      <c r="D305">
        <v>2</v>
      </c>
      <c r="F305">
        <v>2</v>
      </c>
      <c r="G305" t="s">
        <v>46</v>
      </c>
      <c r="K305" t="s">
        <v>43</v>
      </c>
      <c r="L305">
        <v>1</v>
      </c>
      <c r="N305">
        <v>1</v>
      </c>
      <c r="O305" t="s">
        <v>135</v>
      </c>
      <c r="P305" t="s">
        <v>99</v>
      </c>
      <c r="S305" t="s">
        <v>48</v>
      </c>
      <c r="T305">
        <v>3</v>
      </c>
      <c r="V305">
        <v>1</v>
      </c>
      <c r="W305" t="s">
        <v>89</v>
      </c>
      <c r="AA305" t="s">
        <v>63</v>
      </c>
      <c r="AB305">
        <v>1</v>
      </c>
      <c r="AD305">
        <v>1</v>
      </c>
      <c r="AE305" t="s">
        <v>72</v>
      </c>
      <c r="AF305" t="s">
        <v>91</v>
      </c>
      <c r="AI305">
        <v>6</v>
      </c>
      <c r="AJ305">
        <v>23</v>
      </c>
    </row>
    <row r="306" spans="1:36" x14ac:dyDescent="0.25">
      <c r="A306" t="s">
        <v>550</v>
      </c>
      <c r="B306">
        <v>304</v>
      </c>
      <c r="C306" t="s">
        <v>33</v>
      </c>
      <c r="D306">
        <v>1</v>
      </c>
      <c r="F306">
        <v>2</v>
      </c>
      <c r="G306" t="s">
        <v>46</v>
      </c>
      <c r="K306" t="s">
        <v>45</v>
      </c>
      <c r="L306">
        <v>2</v>
      </c>
      <c r="N306">
        <v>1</v>
      </c>
      <c r="O306" t="s">
        <v>47</v>
      </c>
      <c r="S306" t="s">
        <v>48</v>
      </c>
      <c r="T306">
        <v>1</v>
      </c>
      <c r="V306">
        <v>1</v>
      </c>
      <c r="W306" t="s">
        <v>89</v>
      </c>
      <c r="AA306" t="s">
        <v>63</v>
      </c>
      <c r="AB306">
        <v>2</v>
      </c>
      <c r="AD306">
        <v>1</v>
      </c>
      <c r="AE306" t="s">
        <v>72</v>
      </c>
      <c r="AF306" t="s">
        <v>91</v>
      </c>
      <c r="AI306">
        <v>4</v>
      </c>
      <c r="AJ306">
        <v>21</v>
      </c>
    </row>
    <row r="307" spans="1:36" x14ac:dyDescent="0.25">
      <c r="A307" t="s">
        <v>551</v>
      </c>
      <c r="B307">
        <v>305</v>
      </c>
      <c r="C307" t="s">
        <v>48</v>
      </c>
      <c r="D307">
        <v>2</v>
      </c>
      <c r="F307">
        <v>1</v>
      </c>
      <c r="G307" t="s">
        <v>89</v>
      </c>
      <c r="K307" t="s">
        <v>63</v>
      </c>
      <c r="L307">
        <v>1</v>
      </c>
      <c r="N307">
        <v>1</v>
      </c>
      <c r="O307" t="s">
        <v>72</v>
      </c>
      <c r="P307" t="s">
        <v>91</v>
      </c>
      <c r="S307" t="s">
        <v>33</v>
      </c>
      <c r="T307">
        <v>1</v>
      </c>
      <c r="V307">
        <v>2</v>
      </c>
      <c r="W307" t="s">
        <v>46</v>
      </c>
      <c r="AA307" t="s">
        <v>38</v>
      </c>
      <c r="AB307">
        <v>1</v>
      </c>
      <c r="AC307">
        <v>1</v>
      </c>
      <c r="AD307">
        <v>2</v>
      </c>
      <c r="AE307" t="s">
        <v>152</v>
      </c>
      <c r="AI307">
        <v>4</v>
      </c>
      <c r="AJ307">
        <v>25</v>
      </c>
    </row>
    <row r="308" spans="1:36" x14ac:dyDescent="0.25">
      <c r="A308" t="s">
        <v>552</v>
      </c>
      <c r="B308">
        <v>306</v>
      </c>
      <c r="C308" t="s">
        <v>48</v>
      </c>
      <c r="D308">
        <v>1</v>
      </c>
      <c r="F308">
        <v>1</v>
      </c>
      <c r="G308" t="s">
        <v>89</v>
      </c>
      <c r="K308" t="s">
        <v>63</v>
      </c>
      <c r="L308">
        <v>1</v>
      </c>
      <c r="N308">
        <v>1</v>
      </c>
      <c r="O308" t="s">
        <v>103</v>
      </c>
      <c r="S308" t="s">
        <v>33</v>
      </c>
      <c r="T308">
        <v>2</v>
      </c>
      <c r="V308">
        <v>1</v>
      </c>
      <c r="W308" t="s">
        <v>46</v>
      </c>
      <c r="AA308" t="s">
        <v>227</v>
      </c>
      <c r="AB308">
        <v>2</v>
      </c>
      <c r="AC308">
        <v>1</v>
      </c>
      <c r="AD308">
        <v>1</v>
      </c>
      <c r="AE308" t="s">
        <v>228</v>
      </c>
      <c r="AI308">
        <v>2</v>
      </c>
      <c r="AJ308">
        <v>17</v>
      </c>
    </row>
    <row r="309" spans="1:36" x14ac:dyDescent="0.25">
      <c r="A309" t="s">
        <v>553</v>
      </c>
      <c r="B309">
        <v>307</v>
      </c>
      <c r="C309" t="s">
        <v>43</v>
      </c>
      <c r="D309">
        <v>1</v>
      </c>
      <c r="F309">
        <v>2</v>
      </c>
      <c r="G309" t="s">
        <v>135</v>
      </c>
      <c r="H309" t="s">
        <v>74</v>
      </c>
      <c r="I309" t="s">
        <v>137</v>
      </c>
      <c r="K309" t="s">
        <v>45</v>
      </c>
      <c r="L309">
        <v>2</v>
      </c>
      <c r="N309">
        <v>1</v>
      </c>
      <c r="O309" t="s">
        <v>47</v>
      </c>
      <c r="S309" t="s">
        <v>48</v>
      </c>
      <c r="T309">
        <v>1</v>
      </c>
      <c r="V309">
        <v>1</v>
      </c>
      <c r="W309" t="s">
        <v>89</v>
      </c>
      <c r="AA309" t="s">
        <v>63</v>
      </c>
      <c r="AB309">
        <v>1</v>
      </c>
      <c r="AD309">
        <v>1</v>
      </c>
      <c r="AE309" t="s">
        <v>72</v>
      </c>
      <c r="AI309">
        <v>4</v>
      </c>
      <c r="AJ309">
        <v>23</v>
      </c>
    </row>
    <row r="310" spans="1:36" x14ac:dyDescent="0.25">
      <c r="A310" t="s">
        <v>554</v>
      </c>
      <c r="B310">
        <v>308</v>
      </c>
      <c r="C310" t="s">
        <v>43</v>
      </c>
      <c r="D310">
        <v>3</v>
      </c>
      <c r="F310">
        <v>1</v>
      </c>
      <c r="G310" t="s">
        <v>135</v>
      </c>
      <c r="H310" t="s">
        <v>74</v>
      </c>
      <c r="I310" t="s">
        <v>137</v>
      </c>
      <c r="K310" t="s">
        <v>38</v>
      </c>
      <c r="L310">
        <v>1</v>
      </c>
      <c r="M310">
        <v>1</v>
      </c>
      <c r="N310">
        <v>1</v>
      </c>
      <c r="O310" t="s">
        <v>152</v>
      </c>
      <c r="S310" t="s">
        <v>48</v>
      </c>
      <c r="T310">
        <v>2</v>
      </c>
      <c r="V310">
        <v>1</v>
      </c>
      <c r="W310" t="s">
        <v>89</v>
      </c>
      <c r="AA310" t="s">
        <v>63</v>
      </c>
      <c r="AB310">
        <v>2</v>
      </c>
      <c r="AD310">
        <v>1</v>
      </c>
      <c r="AE310" t="s">
        <v>72</v>
      </c>
      <c r="AI310">
        <v>6</v>
      </c>
      <c r="AJ310">
        <v>37</v>
      </c>
    </row>
    <row r="311" spans="1:36" x14ac:dyDescent="0.25">
      <c r="A311" t="s">
        <v>555</v>
      </c>
      <c r="B311">
        <v>309</v>
      </c>
      <c r="C311" t="s">
        <v>43</v>
      </c>
      <c r="D311">
        <v>3</v>
      </c>
      <c r="F311">
        <v>2</v>
      </c>
      <c r="G311" t="s">
        <v>135</v>
      </c>
      <c r="H311" t="s">
        <v>74</v>
      </c>
      <c r="I311" t="s">
        <v>75</v>
      </c>
      <c r="J311" t="s">
        <v>138</v>
      </c>
      <c r="K311" t="s">
        <v>227</v>
      </c>
      <c r="L311">
        <v>1</v>
      </c>
      <c r="M311">
        <v>1</v>
      </c>
      <c r="N311">
        <v>1</v>
      </c>
      <c r="O311" t="s">
        <v>228</v>
      </c>
      <c r="S311" t="s">
        <v>48</v>
      </c>
      <c r="T311">
        <v>2</v>
      </c>
      <c r="V311">
        <v>1</v>
      </c>
      <c r="W311" t="s">
        <v>89</v>
      </c>
      <c r="AA311" t="s">
        <v>63</v>
      </c>
      <c r="AB311">
        <v>1</v>
      </c>
      <c r="AD311">
        <v>1</v>
      </c>
      <c r="AE311" t="s">
        <v>103</v>
      </c>
      <c r="AI311">
        <v>7</v>
      </c>
      <c r="AJ311">
        <v>23</v>
      </c>
    </row>
    <row r="312" spans="1:36" x14ac:dyDescent="0.25">
      <c r="A312" t="s">
        <v>556</v>
      </c>
      <c r="B312">
        <v>310</v>
      </c>
      <c r="C312" t="s">
        <v>45</v>
      </c>
      <c r="D312">
        <v>2</v>
      </c>
      <c r="F312">
        <v>1</v>
      </c>
      <c r="G312" t="s">
        <v>47</v>
      </c>
      <c r="K312" t="s">
        <v>38</v>
      </c>
      <c r="L312">
        <v>1</v>
      </c>
      <c r="M312">
        <v>1</v>
      </c>
      <c r="N312">
        <v>1</v>
      </c>
      <c r="O312" t="s">
        <v>152</v>
      </c>
      <c r="P312" t="s">
        <v>70</v>
      </c>
      <c r="S312" t="s">
        <v>48</v>
      </c>
      <c r="T312">
        <v>1</v>
      </c>
      <c r="V312">
        <v>1</v>
      </c>
      <c r="W312" t="s">
        <v>89</v>
      </c>
      <c r="X312" t="s">
        <v>84</v>
      </c>
      <c r="AA312" t="s">
        <v>63</v>
      </c>
      <c r="AB312">
        <v>1</v>
      </c>
      <c r="AD312">
        <v>1</v>
      </c>
      <c r="AE312" t="s">
        <v>72</v>
      </c>
      <c r="AI312">
        <v>3</v>
      </c>
      <c r="AJ312">
        <v>26</v>
      </c>
    </row>
    <row r="313" spans="1:36" x14ac:dyDescent="0.25">
      <c r="A313" t="s">
        <v>557</v>
      </c>
      <c r="B313">
        <v>311</v>
      </c>
      <c r="C313" t="s">
        <v>48</v>
      </c>
      <c r="D313">
        <v>1</v>
      </c>
      <c r="F313">
        <v>2</v>
      </c>
      <c r="G313" t="s">
        <v>89</v>
      </c>
      <c r="K313" t="s">
        <v>63</v>
      </c>
      <c r="L313">
        <v>1</v>
      </c>
      <c r="N313">
        <v>1</v>
      </c>
      <c r="O313" t="s">
        <v>103</v>
      </c>
      <c r="P313" t="s">
        <v>95</v>
      </c>
      <c r="S313" t="s">
        <v>45</v>
      </c>
      <c r="T313">
        <v>2</v>
      </c>
      <c r="V313">
        <v>1</v>
      </c>
      <c r="W313" t="s">
        <v>47</v>
      </c>
      <c r="X313" t="s">
        <v>92</v>
      </c>
      <c r="AA313" t="s">
        <v>227</v>
      </c>
      <c r="AB313">
        <v>3</v>
      </c>
      <c r="AC313">
        <v>1</v>
      </c>
      <c r="AD313">
        <v>1</v>
      </c>
      <c r="AE313" t="s">
        <v>228</v>
      </c>
      <c r="AI313">
        <v>6</v>
      </c>
      <c r="AJ313">
        <v>24</v>
      </c>
    </row>
    <row r="314" spans="1:36" x14ac:dyDescent="0.25">
      <c r="A314" t="s">
        <v>558</v>
      </c>
      <c r="B314">
        <v>312</v>
      </c>
      <c r="C314" t="s">
        <v>48</v>
      </c>
      <c r="D314">
        <v>2</v>
      </c>
      <c r="F314">
        <v>1</v>
      </c>
      <c r="G314" t="s">
        <v>89</v>
      </c>
      <c r="K314" t="s">
        <v>63</v>
      </c>
      <c r="L314">
        <v>1</v>
      </c>
      <c r="N314">
        <v>1</v>
      </c>
      <c r="O314" t="s">
        <v>103</v>
      </c>
      <c r="S314" t="s">
        <v>38</v>
      </c>
      <c r="T314">
        <v>2</v>
      </c>
      <c r="U314">
        <v>1</v>
      </c>
      <c r="V314">
        <v>1</v>
      </c>
      <c r="W314" t="s">
        <v>152</v>
      </c>
      <c r="AA314" t="s">
        <v>227</v>
      </c>
      <c r="AB314">
        <v>1</v>
      </c>
      <c r="AC314">
        <v>1</v>
      </c>
      <c r="AD314">
        <v>1</v>
      </c>
      <c r="AE314" t="s">
        <v>228</v>
      </c>
      <c r="AI314">
        <v>2</v>
      </c>
      <c r="AJ314">
        <v>18</v>
      </c>
    </row>
    <row r="315" spans="1:36" x14ac:dyDescent="0.25">
      <c r="A315" t="s">
        <v>559</v>
      </c>
      <c r="B315">
        <v>313</v>
      </c>
      <c r="C315" t="s">
        <v>48</v>
      </c>
      <c r="D315">
        <v>3</v>
      </c>
      <c r="F315">
        <v>3</v>
      </c>
      <c r="G315" t="s">
        <v>89</v>
      </c>
      <c r="K315" t="s">
        <v>38</v>
      </c>
      <c r="L315">
        <v>1</v>
      </c>
      <c r="M315">
        <v>1</v>
      </c>
      <c r="N315">
        <v>1</v>
      </c>
      <c r="O315" t="s">
        <v>67</v>
      </c>
      <c r="S315" t="s">
        <v>33</v>
      </c>
      <c r="T315">
        <v>3</v>
      </c>
      <c r="V315">
        <v>1</v>
      </c>
      <c r="W315" t="s">
        <v>46</v>
      </c>
      <c r="AA315" t="s">
        <v>43</v>
      </c>
      <c r="AB315">
        <v>3</v>
      </c>
      <c r="AD315">
        <v>2</v>
      </c>
      <c r="AE315" t="s">
        <v>135</v>
      </c>
      <c r="AF315" t="s">
        <v>136</v>
      </c>
      <c r="AG315" t="s">
        <v>75</v>
      </c>
      <c r="AI315">
        <v>11</v>
      </c>
      <c r="AJ315">
        <v>28</v>
      </c>
    </row>
    <row r="316" spans="1:36" x14ac:dyDescent="0.25">
      <c r="A316" t="s">
        <v>560</v>
      </c>
      <c r="B316">
        <v>314</v>
      </c>
      <c r="C316" t="s">
        <v>48</v>
      </c>
      <c r="D316">
        <v>1</v>
      </c>
      <c r="F316">
        <v>2</v>
      </c>
      <c r="G316" t="s">
        <v>89</v>
      </c>
      <c r="H316" t="s">
        <v>71</v>
      </c>
      <c r="I316" t="s">
        <v>51</v>
      </c>
      <c r="K316" t="s">
        <v>38</v>
      </c>
      <c r="L316">
        <v>1</v>
      </c>
      <c r="M316">
        <v>1</v>
      </c>
      <c r="N316">
        <v>2</v>
      </c>
      <c r="O316" t="s">
        <v>67</v>
      </c>
      <c r="S316" t="s">
        <v>33</v>
      </c>
      <c r="T316">
        <v>1</v>
      </c>
      <c r="V316">
        <v>2</v>
      </c>
      <c r="W316" t="s">
        <v>46</v>
      </c>
      <c r="AA316" t="s">
        <v>45</v>
      </c>
      <c r="AB316">
        <v>2</v>
      </c>
      <c r="AD316">
        <v>1</v>
      </c>
      <c r="AE316" t="s">
        <v>47</v>
      </c>
      <c r="AI316">
        <v>6</v>
      </c>
      <c r="AJ316">
        <v>22</v>
      </c>
    </row>
    <row r="317" spans="1:36" x14ac:dyDescent="0.25">
      <c r="A317" t="s">
        <v>561</v>
      </c>
      <c r="B317">
        <v>315</v>
      </c>
      <c r="C317" t="s">
        <v>33</v>
      </c>
      <c r="D317">
        <v>1</v>
      </c>
      <c r="F317">
        <v>2</v>
      </c>
      <c r="G317" t="s">
        <v>46</v>
      </c>
      <c r="K317" t="s">
        <v>63</v>
      </c>
      <c r="L317">
        <v>1</v>
      </c>
      <c r="N317">
        <v>1</v>
      </c>
      <c r="O317" t="s">
        <v>103</v>
      </c>
      <c r="S317" t="s">
        <v>48</v>
      </c>
      <c r="T317">
        <v>1</v>
      </c>
      <c r="V317">
        <v>1</v>
      </c>
      <c r="W317" t="s">
        <v>49</v>
      </c>
      <c r="AA317" t="s">
        <v>38</v>
      </c>
      <c r="AB317">
        <v>1</v>
      </c>
      <c r="AC317">
        <v>1</v>
      </c>
      <c r="AD317">
        <v>2</v>
      </c>
      <c r="AE317" t="s">
        <v>152</v>
      </c>
      <c r="AI317">
        <v>2</v>
      </c>
      <c r="AJ317">
        <v>24</v>
      </c>
    </row>
    <row r="318" spans="1:36" x14ac:dyDescent="0.25">
      <c r="A318" t="s">
        <v>562</v>
      </c>
      <c r="B318">
        <v>316</v>
      </c>
      <c r="C318" t="s">
        <v>48</v>
      </c>
      <c r="D318">
        <v>1</v>
      </c>
      <c r="F318">
        <v>1</v>
      </c>
      <c r="G318" t="s">
        <v>89</v>
      </c>
      <c r="K318" t="s">
        <v>38</v>
      </c>
      <c r="L318">
        <v>1</v>
      </c>
      <c r="M318">
        <v>1</v>
      </c>
      <c r="N318">
        <v>1</v>
      </c>
      <c r="O318" t="s">
        <v>152</v>
      </c>
      <c r="P318" t="s">
        <v>70</v>
      </c>
      <c r="S318" t="s">
        <v>33</v>
      </c>
      <c r="T318">
        <v>1</v>
      </c>
      <c r="V318">
        <v>1</v>
      </c>
      <c r="W318" t="s">
        <v>46</v>
      </c>
      <c r="AA318" t="s">
        <v>227</v>
      </c>
      <c r="AB318">
        <v>1</v>
      </c>
      <c r="AC318">
        <v>1</v>
      </c>
      <c r="AD318">
        <v>1</v>
      </c>
      <c r="AE318" t="s">
        <v>228</v>
      </c>
      <c r="AF318" t="s">
        <v>231</v>
      </c>
      <c r="AI318">
        <v>2</v>
      </c>
      <c r="AJ318">
        <v>22</v>
      </c>
    </row>
    <row r="319" spans="1:36" x14ac:dyDescent="0.25">
      <c r="A319" t="s">
        <v>563</v>
      </c>
      <c r="B319">
        <v>317</v>
      </c>
      <c r="C319" t="s">
        <v>48</v>
      </c>
      <c r="D319">
        <v>2</v>
      </c>
      <c r="F319">
        <v>1</v>
      </c>
      <c r="G319" t="s">
        <v>89</v>
      </c>
      <c r="K319" t="s">
        <v>38</v>
      </c>
      <c r="L319">
        <v>1</v>
      </c>
      <c r="M319">
        <v>1</v>
      </c>
      <c r="N319">
        <v>1</v>
      </c>
      <c r="O319" t="s">
        <v>67</v>
      </c>
      <c r="P319" t="s">
        <v>70</v>
      </c>
      <c r="S319" t="s">
        <v>43</v>
      </c>
      <c r="T319">
        <v>1</v>
      </c>
      <c r="V319">
        <v>1</v>
      </c>
      <c r="W319" t="s">
        <v>135</v>
      </c>
      <c r="X319" t="s">
        <v>136</v>
      </c>
      <c r="AA319" t="s">
        <v>45</v>
      </c>
      <c r="AB319">
        <v>2</v>
      </c>
      <c r="AD319">
        <v>1</v>
      </c>
      <c r="AE319" t="s">
        <v>47</v>
      </c>
      <c r="AI319">
        <v>4</v>
      </c>
      <c r="AJ319">
        <v>28</v>
      </c>
    </row>
    <row r="320" spans="1:36" x14ac:dyDescent="0.25">
      <c r="A320" t="s">
        <v>564</v>
      </c>
      <c r="B320">
        <v>318</v>
      </c>
      <c r="C320" t="s">
        <v>48</v>
      </c>
      <c r="D320">
        <v>2</v>
      </c>
      <c r="F320">
        <v>1</v>
      </c>
      <c r="G320" t="s">
        <v>49</v>
      </c>
      <c r="K320" t="s">
        <v>38</v>
      </c>
      <c r="L320">
        <v>1</v>
      </c>
      <c r="M320">
        <v>1</v>
      </c>
      <c r="N320">
        <v>1</v>
      </c>
      <c r="O320" t="s">
        <v>152</v>
      </c>
      <c r="P320" t="s">
        <v>70</v>
      </c>
      <c r="S320" t="s">
        <v>43</v>
      </c>
      <c r="T320">
        <v>1</v>
      </c>
      <c r="V320">
        <v>1</v>
      </c>
      <c r="W320" t="s">
        <v>135</v>
      </c>
      <c r="AA320" t="s">
        <v>63</v>
      </c>
      <c r="AB320">
        <v>1</v>
      </c>
      <c r="AD320">
        <v>1</v>
      </c>
      <c r="AE320" t="s">
        <v>103</v>
      </c>
      <c r="AI320">
        <v>2</v>
      </c>
      <c r="AJ320">
        <v>22</v>
      </c>
    </row>
    <row r="321" spans="1:36" x14ac:dyDescent="0.25">
      <c r="A321" t="s">
        <v>565</v>
      </c>
      <c r="B321">
        <v>319</v>
      </c>
      <c r="C321" t="s">
        <v>48</v>
      </c>
      <c r="D321">
        <v>2</v>
      </c>
      <c r="F321">
        <v>1</v>
      </c>
      <c r="G321" t="s">
        <v>89</v>
      </c>
      <c r="H321" t="s">
        <v>71</v>
      </c>
      <c r="K321" t="s">
        <v>38</v>
      </c>
      <c r="L321">
        <v>1</v>
      </c>
      <c r="M321">
        <v>1</v>
      </c>
      <c r="N321">
        <v>1</v>
      </c>
      <c r="O321" t="s">
        <v>152</v>
      </c>
      <c r="P321" t="s">
        <v>70</v>
      </c>
      <c r="S321" t="s">
        <v>43</v>
      </c>
      <c r="T321">
        <v>2</v>
      </c>
      <c r="V321">
        <v>1</v>
      </c>
      <c r="W321" t="s">
        <v>135</v>
      </c>
      <c r="X321" t="s">
        <v>74</v>
      </c>
      <c r="AA321" t="s">
        <v>227</v>
      </c>
      <c r="AB321">
        <v>1</v>
      </c>
      <c r="AC321">
        <v>1</v>
      </c>
      <c r="AD321">
        <v>1</v>
      </c>
      <c r="AE321" t="s">
        <v>228</v>
      </c>
      <c r="AI321">
        <v>5</v>
      </c>
      <c r="AJ321">
        <v>22</v>
      </c>
    </row>
    <row r="322" spans="1:36" x14ac:dyDescent="0.25">
      <c r="A322" t="s">
        <v>566</v>
      </c>
      <c r="B322">
        <v>320</v>
      </c>
      <c r="C322" t="s">
        <v>48</v>
      </c>
      <c r="D322">
        <v>3</v>
      </c>
      <c r="F322">
        <v>1</v>
      </c>
      <c r="G322" t="s">
        <v>49</v>
      </c>
      <c r="H322" t="s">
        <v>71</v>
      </c>
      <c r="I322" t="s">
        <v>90</v>
      </c>
      <c r="K322" t="s">
        <v>38</v>
      </c>
      <c r="L322">
        <v>1</v>
      </c>
      <c r="M322">
        <v>1</v>
      </c>
      <c r="N322">
        <v>2</v>
      </c>
      <c r="O322" t="s">
        <v>152</v>
      </c>
      <c r="S322" t="s">
        <v>45</v>
      </c>
      <c r="T322">
        <v>3</v>
      </c>
      <c r="V322">
        <v>1</v>
      </c>
      <c r="W322" t="s">
        <v>47</v>
      </c>
      <c r="AA322" t="s">
        <v>63</v>
      </c>
      <c r="AB322">
        <v>1</v>
      </c>
      <c r="AD322">
        <v>1</v>
      </c>
      <c r="AE322" t="s">
        <v>103</v>
      </c>
      <c r="AI322">
        <v>7</v>
      </c>
      <c r="AJ322">
        <v>28</v>
      </c>
    </row>
    <row r="323" spans="1:36" x14ac:dyDescent="0.25">
      <c r="A323" t="s">
        <v>567</v>
      </c>
      <c r="B323">
        <v>321</v>
      </c>
      <c r="C323" t="s">
        <v>48</v>
      </c>
      <c r="D323">
        <v>1</v>
      </c>
      <c r="F323">
        <v>1</v>
      </c>
      <c r="G323" t="s">
        <v>89</v>
      </c>
      <c r="K323" t="s">
        <v>38</v>
      </c>
      <c r="L323">
        <v>1</v>
      </c>
      <c r="M323">
        <v>1</v>
      </c>
      <c r="N323">
        <v>2</v>
      </c>
      <c r="O323" t="s">
        <v>152</v>
      </c>
      <c r="P323" t="s">
        <v>70</v>
      </c>
      <c r="S323" t="s">
        <v>45</v>
      </c>
      <c r="T323">
        <v>2</v>
      </c>
      <c r="V323">
        <v>1</v>
      </c>
      <c r="W323" t="s">
        <v>47</v>
      </c>
      <c r="AA323" t="s">
        <v>227</v>
      </c>
      <c r="AB323">
        <v>1</v>
      </c>
      <c r="AC323">
        <v>1</v>
      </c>
      <c r="AD323">
        <v>1</v>
      </c>
      <c r="AE323" t="s">
        <v>228</v>
      </c>
      <c r="AI323">
        <v>3</v>
      </c>
      <c r="AJ323">
        <v>20</v>
      </c>
    </row>
    <row r="324" spans="1:36" x14ac:dyDescent="0.25">
      <c r="A324" t="s">
        <v>568</v>
      </c>
      <c r="B324">
        <v>322</v>
      </c>
      <c r="C324" t="s">
        <v>48</v>
      </c>
      <c r="D324">
        <v>2</v>
      </c>
      <c r="F324">
        <v>1</v>
      </c>
      <c r="G324" t="s">
        <v>89</v>
      </c>
      <c r="H324" t="s">
        <v>50</v>
      </c>
      <c r="K324" t="s">
        <v>38</v>
      </c>
      <c r="L324">
        <v>1</v>
      </c>
      <c r="M324">
        <v>1</v>
      </c>
      <c r="N324">
        <v>1</v>
      </c>
      <c r="O324" t="s">
        <v>152</v>
      </c>
      <c r="P324" t="s">
        <v>70</v>
      </c>
      <c r="S324" t="s">
        <v>63</v>
      </c>
      <c r="T324">
        <v>1</v>
      </c>
      <c r="V324">
        <v>1</v>
      </c>
      <c r="W324" t="s">
        <v>103</v>
      </c>
      <c r="AA324" t="s">
        <v>227</v>
      </c>
      <c r="AB324">
        <v>1</v>
      </c>
      <c r="AC324">
        <v>1</v>
      </c>
      <c r="AD324">
        <v>1</v>
      </c>
      <c r="AE324" t="s">
        <v>228</v>
      </c>
      <c r="AI324">
        <v>3</v>
      </c>
      <c r="AJ324">
        <v>25</v>
      </c>
    </row>
    <row r="325" spans="1:36" x14ac:dyDescent="0.25">
      <c r="A325" t="s">
        <v>569</v>
      </c>
      <c r="B325">
        <v>323</v>
      </c>
      <c r="C325" t="s">
        <v>33</v>
      </c>
      <c r="D325">
        <v>1</v>
      </c>
      <c r="F325">
        <v>2</v>
      </c>
      <c r="G325" t="s">
        <v>46</v>
      </c>
      <c r="H325" t="s">
        <v>35</v>
      </c>
      <c r="K325" t="s">
        <v>43</v>
      </c>
      <c r="L325">
        <v>1</v>
      </c>
      <c r="N325">
        <v>1</v>
      </c>
      <c r="O325" t="s">
        <v>73</v>
      </c>
      <c r="P325" t="s">
        <v>74</v>
      </c>
      <c r="Q325" t="s">
        <v>137</v>
      </c>
      <c r="S325" t="s">
        <v>48</v>
      </c>
      <c r="T325">
        <v>2</v>
      </c>
      <c r="V325">
        <v>1</v>
      </c>
      <c r="W325" t="s">
        <v>89</v>
      </c>
      <c r="AA325" t="s">
        <v>227</v>
      </c>
      <c r="AB325">
        <v>2</v>
      </c>
      <c r="AC325">
        <v>1</v>
      </c>
      <c r="AD325">
        <v>1</v>
      </c>
      <c r="AE325" t="s">
        <v>228</v>
      </c>
      <c r="AF325" t="s">
        <v>231</v>
      </c>
      <c r="AI325">
        <v>7</v>
      </c>
      <c r="AJ325">
        <v>44</v>
      </c>
    </row>
    <row r="326" spans="1:36" x14ac:dyDescent="0.25">
      <c r="A326" t="s">
        <v>570</v>
      </c>
      <c r="B326">
        <v>324</v>
      </c>
      <c r="C326" t="s">
        <v>48</v>
      </c>
      <c r="D326">
        <v>1</v>
      </c>
      <c r="F326">
        <v>1</v>
      </c>
      <c r="G326" t="s">
        <v>89</v>
      </c>
      <c r="K326" t="s">
        <v>227</v>
      </c>
      <c r="L326">
        <v>1</v>
      </c>
      <c r="M326">
        <v>1</v>
      </c>
      <c r="N326">
        <v>2</v>
      </c>
      <c r="O326" t="s">
        <v>228</v>
      </c>
      <c r="P326" t="s">
        <v>231</v>
      </c>
      <c r="Q326" t="s">
        <v>235</v>
      </c>
      <c r="S326" t="s">
        <v>33</v>
      </c>
      <c r="T326">
        <v>1</v>
      </c>
      <c r="V326">
        <v>2</v>
      </c>
      <c r="W326" t="s">
        <v>46</v>
      </c>
      <c r="AA326" t="s">
        <v>45</v>
      </c>
      <c r="AB326">
        <v>2</v>
      </c>
      <c r="AD326">
        <v>1</v>
      </c>
      <c r="AE326" t="s">
        <v>47</v>
      </c>
      <c r="AI326">
        <v>5</v>
      </c>
      <c r="AJ326">
        <v>27</v>
      </c>
    </row>
    <row r="327" spans="1:36" x14ac:dyDescent="0.25">
      <c r="A327" t="s">
        <v>571</v>
      </c>
      <c r="B327">
        <v>325</v>
      </c>
      <c r="C327" t="s">
        <v>48</v>
      </c>
      <c r="D327">
        <v>2</v>
      </c>
      <c r="F327">
        <v>1</v>
      </c>
      <c r="G327" t="s">
        <v>49</v>
      </c>
      <c r="H327" t="s">
        <v>71</v>
      </c>
      <c r="K327" t="s">
        <v>227</v>
      </c>
      <c r="L327">
        <v>1</v>
      </c>
      <c r="M327">
        <v>1</v>
      </c>
      <c r="N327">
        <v>1</v>
      </c>
      <c r="O327" t="s">
        <v>228</v>
      </c>
      <c r="S327" t="s">
        <v>33</v>
      </c>
      <c r="T327">
        <v>2</v>
      </c>
      <c r="V327">
        <v>1</v>
      </c>
      <c r="W327" t="s">
        <v>46</v>
      </c>
      <c r="AA327" t="s">
        <v>63</v>
      </c>
      <c r="AB327">
        <v>1</v>
      </c>
      <c r="AD327">
        <v>1</v>
      </c>
      <c r="AE327" t="s">
        <v>103</v>
      </c>
      <c r="AF327" t="s">
        <v>91</v>
      </c>
      <c r="AI327">
        <v>4</v>
      </c>
      <c r="AJ327">
        <v>26</v>
      </c>
    </row>
    <row r="328" spans="1:36" x14ac:dyDescent="0.25">
      <c r="A328" t="s">
        <v>572</v>
      </c>
      <c r="B328">
        <v>326</v>
      </c>
      <c r="C328" t="s">
        <v>33</v>
      </c>
      <c r="D328">
        <v>2</v>
      </c>
      <c r="F328">
        <v>1</v>
      </c>
      <c r="G328" t="s">
        <v>46</v>
      </c>
      <c r="H328" t="s">
        <v>66</v>
      </c>
      <c r="K328" t="s">
        <v>38</v>
      </c>
      <c r="L328">
        <v>1</v>
      </c>
      <c r="M328">
        <v>1</v>
      </c>
      <c r="N328">
        <v>1</v>
      </c>
      <c r="O328" t="s">
        <v>152</v>
      </c>
      <c r="P328" t="s">
        <v>70</v>
      </c>
      <c r="S328" t="s">
        <v>48</v>
      </c>
      <c r="T328">
        <v>2</v>
      </c>
      <c r="V328">
        <v>1</v>
      </c>
      <c r="W328" t="s">
        <v>49</v>
      </c>
      <c r="AA328" t="s">
        <v>227</v>
      </c>
      <c r="AB328">
        <v>1</v>
      </c>
      <c r="AC328">
        <v>1</v>
      </c>
      <c r="AD328">
        <v>1</v>
      </c>
      <c r="AE328" t="s">
        <v>228</v>
      </c>
      <c r="AI328">
        <v>4</v>
      </c>
      <c r="AJ328">
        <v>17</v>
      </c>
    </row>
    <row r="329" spans="1:36" x14ac:dyDescent="0.25">
      <c r="A329" t="s">
        <v>573</v>
      </c>
      <c r="B329">
        <v>327</v>
      </c>
      <c r="C329" t="s">
        <v>48</v>
      </c>
      <c r="D329">
        <v>1</v>
      </c>
      <c r="F329">
        <v>1</v>
      </c>
      <c r="G329" t="s">
        <v>89</v>
      </c>
      <c r="H329" t="s">
        <v>50</v>
      </c>
      <c r="K329" t="s">
        <v>227</v>
      </c>
      <c r="L329">
        <v>1</v>
      </c>
      <c r="M329">
        <v>1</v>
      </c>
      <c r="N329">
        <v>2</v>
      </c>
      <c r="O329" t="s">
        <v>228</v>
      </c>
      <c r="S329" t="s">
        <v>43</v>
      </c>
      <c r="T329">
        <v>1</v>
      </c>
      <c r="V329">
        <v>1</v>
      </c>
      <c r="W329" t="s">
        <v>73</v>
      </c>
      <c r="X329" t="s">
        <v>136</v>
      </c>
      <c r="Y329" t="s">
        <v>75</v>
      </c>
      <c r="AA329" t="s">
        <v>45</v>
      </c>
      <c r="AB329">
        <v>1</v>
      </c>
      <c r="AD329">
        <v>1</v>
      </c>
      <c r="AE329" t="s">
        <v>47</v>
      </c>
      <c r="AI329">
        <v>4</v>
      </c>
      <c r="AJ329">
        <v>22</v>
      </c>
    </row>
    <row r="330" spans="1:36" x14ac:dyDescent="0.25">
      <c r="A330" t="s">
        <v>574</v>
      </c>
      <c r="B330">
        <v>328</v>
      </c>
      <c r="C330" t="s">
        <v>48</v>
      </c>
      <c r="D330">
        <v>3</v>
      </c>
      <c r="F330">
        <v>2</v>
      </c>
      <c r="G330" t="s">
        <v>49</v>
      </c>
      <c r="K330" t="s">
        <v>227</v>
      </c>
      <c r="L330">
        <v>1</v>
      </c>
      <c r="M330">
        <v>1</v>
      </c>
      <c r="N330">
        <v>1</v>
      </c>
      <c r="O330" t="s">
        <v>228</v>
      </c>
      <c r="P330" t="s">
        <v>231</v>
      </c>
      <c r="S330" t="s">
        <v>43</v>
      </c>
      <c r="T330">
        <v>1</v>
      </c>
      <c r="V330">
        <v>1</v>
      </c>
      <c r="W330" t="s">
        <v>73</v>
      </c>
      <c r="X330" t="s">
        <v>99</v>
      </c>
      <c r="Y330" t="s">
        <v>100</v>
      </c>
      <c r="AA330" t="s">
        <v>63</v>
      </c>
      <c r="AB330">
        <v>1</v>
      </c>
      <c r="AD330">
        <v>1</v>
      </c>
      <c r="AE330" t="s">
        <v>103</v>
      </c>
      <c r="AI330">
        <v>6</v>
      </c>
      <c r="AJ330">
        <v>34</v>
      </c>
    </row>
    <row r="331" spans="1:36" x14ac:dyDescent="0.25">
      <c r="A331" t="s">
        <v>575</v>
      </c>
      <c r="B331">
        <v>329</v>
      </c>
      <c r="C331" t="s">
        <v>43</v>
      </c>
      <c r="D331">
        <v>1</v>
      </c>
      <c r="F331">
        <v>1</v>
      </c>
      <c r="G331" t="s">
        <v>73</v>
      </c>
      <c r="H331" t="s">
        <v>99</v>
      </c>
      <c r="K331" t="s">
        <v>38</v>
      </c>
      <c r="L331">
        <v>1</v>
      </c>
      <c r="M331">
        <v>1</v>
      </c>
      <c r="N331">
        <v>2</v>
      </c>
      <c r="O331" t="s">
        <v>152</v>
      </c>
      <c r="P331" t="s">
        <v>70</v>
      </c>
      <c r="S331" t="s">
        <v>48</v>
      </c>
      <c r="T331">
        <v>1</v>
      </c>
      <c r="V331">
        <v>1</v>
      </c>
      <c r="W331" t="s">
        <v>89</v>
      </c>
      <c r="X331" t="s">
        <v>50</v>
      </c>
      <c r="Y331" t="s">
        <v>127</v>
      </c>
      <c r="AA331" t="s">
        <v>227</v>
      </c>
      <c r="AB331">
        <v>1</v>
      </c>
      <c r="AC331">
        <v>1</v>
      </c>
      <c r="AD331">
        <v>1</v>
      </c>
      <c r="AE331" t="s">
        <v>228</v>
      </c>
      <c r="AI331">
        <v>5</v>
      </c>
      <c r="AJ331">
        <v>27</v>
      </c>
    </row>
    <row r="332" spans="1:36" x14ac:dyDescent="0.25">
      <c r="A332" t="s">
        <v>576</v>
      </c>
      <c r="B332">
        <v>330</v>
      </c>
      <c r="C332" t="s">
        <v>45</v>
      </c>
      <c r="D332">
        <v>3</v>
      </c>
      <c r="F332">
        <v>2</v>
      </c>
      <c r="G332" t="s">
        <v>47</v>
      </c>
      <c r="K332" t="s">
        <v>63</v>
      </c>
      <c r="L332">
        <v>3</v>
      </c>
      <c r="N332">
        <v>2</v>
      </c>
      <c r="O332" t="s">
        <v>103</v>
      </c>
      <c r="P332" t="s">
        <v>95</v>
      </c>
      <c r="Q332" t="s">
        <v>148</v>
      </c>
      <c r="S332" t="s">
        <v>48</v>
      </c>
      <c r="T332">
        <v>3</v>
      </c>
      <c r="V332">
        <v>3</v>
      </c>
      <c r="W332" t="s">
        <v>49</v>
      </c>
      <c r="X332" t="s">
        <v>71</v>
      </c>
      <c r="Y332" t="s">
        <v>90</v>
      </c>
      <c r="Z332" t="s">
        <v>128</v>
      </c>
      <c r="AA332" t="s">
        <v>227</v>
      </c>
      <c r="AB332">
        <v>1</v>
      </c>
      <c r="AC332">
        <v>1</v>
      </c>
      <c r="AD332">
        <v>1</v>
      </c>
      <c r="AE332" t="s">
        <v>228</v>
      </c>
      <c r="AF332" t="s">
        <v>231</v>
      </c>
      <c r="AI332">
        <v>16</v>
      </c>
      <c r="AJ332">
        <v>46</v>
      </c>
    </row>
    <row r="333" spans="1:36" x14ac:dyDescent="0.25">
      <c r="A333" t="s">
        <v>577</v>
      </c>
      <c r="B333">
        <v>331</v>
      </c>
      <c r="C333" t="s">
        <v>45</v>
      </c>
      <c r="D333">
        <v>3</v>
      </c>
      <c r="F333">
        <v>1</v>
      </c>
      <c r="G333" t="s">
        <v>47</v>
      </c>
      <c r="K333" t="s">
        <v>38</v>
      </c>
      <c r="L333">
        <v>1</v>
      </c>
      <c r="M333">
        <v>1</v>
      </c>
      <c r="N333">
        <v>1</v>
      </c>
      <c r="O333" t="s">
        <v>152</v>
      </c>
      <c r="P333" t="s">
        <v>70</v>
      </c>
      <c r="S333" t="s">
        <v>48</v>
      </c>
      <c r="T333">
        <v>2</v>
      </c>
      <c r="V333">
        <v>2</v>
      </c>
      <c r="W333" t="s">
        <v>49</v>
      </c>
      <c r="AA333" t="s">
        <v>227</v>
      </c>
      <c r="AB333">
        <v>1</v>
      </c>
      <c r="AC333">
        <v>1</v>
      </c>
      <c r="AD333">
        <v>1</v>
      </c>
      <c r="AE333" t="s">
        <v>228</v>
      </c>
      <c r="AI333">
        <v>5</v>
      </c>
      <c r="AJ333">
        <v>24</v>
      </c>
    </row>
    <row r="334" spans="1:36" x14ac:dyDescent="0.25">
      <c r="A334" t="s">
        <v>578</v>
      </c>
      <c r="B334">
        <v>332</v>
      </c>
      <c r="C334" t="s">
        <v>63</v>
      </c>
      <c r="D334">
        <v>1</v>
      </c>
      <c r="F334">
        <v>1</v>
      </c>
      <c r="G334" t="s">
        <v>103</v>
      </c>
      <c r="H334" t="s">
        <v>91</v>
      </c>
      <c r="K334" t="s">
        <v>38</v>
      </c>
      <c r="L334">
        <v>1</v>
      </c>
      <c r="M334">
        <v>1</v>
      </c>
      <c r="N334">
        <v>1</v>
      </c>
      <c r="O334" t="s">
        <v>152</v>
      </c>
      <c r="P334" t="s">
        <v>70</v>
      </c>
      <c r="S334" t="s">
        <v>48</v>
      </c>
      <c r="T334">
        <v>1</v>
      </c>
      <c r="V334">
        <v>1</v>
      </c>
      <c r="W334" t="s">
        <v>49</v>
      </c>
      <c r="AA334" t="s">
        <v>227</v>
      </c>
      <c r="AB334">
        <v>1</v>
      </c>
      <c r="AC334">
        <v>1</v>
      </c>
      <c r="AD334">
        <v>1</v>
      </c>
      <c r="AE334" t="s">
        <v>228</v>
      </c>
      <c r="AF334" t="s">
        <v>231</v>
      </c>
      <c r="AI334">
        <v>3</v>
      </c>
      <c r="AJ334">
        <v>40</v>
      </c>
    </row>
    <row r="335" spans="1:36" x14ac:dyDescent="0.25">
      <c r="A335" t="s">
        <v>579</v>
      </c>
      <c r="B335">
        <v>333</v>
      </c>
      <c r="C335" t="s">
        <v>45</v>
      </c>
      <c r="D335">
        <v>1</v>
      </c>
      <c r="F335">
        <v>1</v>
      </c>
      <c r="G335" t="s">
        <v>140</v>
      </c>
      <c r="K335" t="s">
        <v>63</v>
      </c>
      <c r="L335">
        <v>1</v>
      </c>
      <c r="N335">
        <v>1</v>
      </c>
      <c r="O335" t="s">
        <v>145</v>
      </c>
      <c r="P335" t="s">
        <v>95</v>
      </c>
      <c r="S335" t="s">
        <v>33</v>
      </c>
      <c r="T335">
        <v>1</v>
      </c>
      <c r="V335">
        <v>3</v>
      </c>
      <c r="W335" t="s">
        <v>46</v>
      </c>
      <c r="AA335" t="s">
        <v>43</v>
      </c>
      <c r="AB335">
        <v>1</v>
      </c>
      <c r="AD335">
        <v>1</v>
      </c>
      <c r="AE335" t="s">
        <v>135</v>
      </c>
      <c r="AI335">
        <v>3</v>
      </c>
      <c r="AJ335">
        <v>19</v>
      </c>
    </row>
    <row r="336" spans="1:36" x14ac:dyDescent="0.25">
      <c r="A336" t="s">
        <v>580</v>
      </c>
      <c r="B336">
        <v>334</v>
      </c>
      <c r="C336" t="s">
        <v>45</v>
      </c>
      <c r="D336">
        <v>2</v>
      </c>
      <c r="F336">
        <v>1</v>
      </c>
      <c r="G336" t="s">
        <v>140</v>
      </c>
      <c r="K336" t="s">
        <v>38</v>
      </c>
      <c r="L336">
        <v>1</v>
      </c>
      <c r="M336">
        <v>1</v>
      </c>
      <c r="N336">
        <v>1</v>
      </c>
      <c r="O336" t="s">
        <v>67</v>
      </c>
      <c r="P336" t="s">
        <v>70</v>
      </c>
      <c r="S336" t="s">
        <v>33</v>
      </c>
      <c r="T336">
        <v>1</v>
      </c>
      <c r="V336">
        <v>1</v>
      </c>
      <c r="W336" t="s">
        <v>46</v>
      </c>
      <c r="AA336" t="s">
        <v>43</v>
      </c>
      <c r="AB336">
        <v>1</v>
      </c>
      <c r="AD336">
        <v>1</v>
      </c>
      <c r="AE336" t="s">
        <v>135</v>
      </c>
      <c r="AI336">
        <v>2</v>
      </c>
      <c r="AJ336">
        <v>18</v>
      </c>
    </row>
    <row r="337" spans="1:36" x14ac:dyDescent="0.25">
      <c r="A337" t="s">
        <v>581</v>
      </c>
      <c r="B337">
        <v>335</v>
      </c>
      <c r="C337" t="s">
        <v>33</v>
      </c>
      <c r="D337">
        <v>1</v>
      </c>
      <c r="F337">
        <v>2</v>
      </c>
      <c r="G337" t="s">
        <v>46</v>
      </c>
      <c r="K337" t="s">
        <v>43</v>
      </c>
      <c r="L337">
        <v>1</v>
      </c>
      <c r="N337">
        <v>1</v>
      </c>
      <c r="O337" t="s">
        <v>73</v>
      </c>
      <c r="P337" t="s">
        <v>99</v>
      </c>
      <c r="Q337" t="s">
        <v>75</v>
      </c>
      <c r="S337" t="s">
        <v>45</v>
      </c>
      <c r="T337">
        <v>3</v>
      </c>
      <c r="V337">
        <v>1</v>
      </c>
      <c r="W337" t="s">
        <v>140</v>
      </c>
      <c r="AA337" t="s">
        <v>227</v>
      </c>
      <c r="AB337">
        <v>1</v>
      </c>
      <c r="AC337">
        <v>1</v>
      </c>
      <c r="AD337">
        <v>1</v>
      </c>
      <c r="AE337" t="s">
        <v>228</v>
      </c>
      <c r="AI337">
        <v>5</v>
      </c>
      <c r="AJ337">
        <v>23</v>
      </c>
    </row>
    <row r="338" spans="1:36" x14ac:dyDescent="0.25">
      <c r="A338" t="s">
        <v>582</v>
      </c>
      <c r="B338">
        <v>336</v>
      </c>
      <c r="C338" t="s">
        <v>33</v>
      </c>
      <c r="D338">
        <v>3</v>
      </c>
      <c r="F338">
        <v>2</v>
      </c>
      <c r="G338" t="s">
        <v>46</v>
      </c>
      <c r="H338" t="s">
        <v>66</v>
      </c>
      <c r="K338" t="s">
        <v>43</v>
      </c>
      <c r="L338">
        <v>2</v>
      </c>
      <c r="N338">
        <v>1</v>
      </c>
      <c r="O338" t="s">
        <v>135</v>
      </c>
      <c r="P338" t="s">
        <v>99</v>
      </c>
      <c r="S338" t="s">
        <v>63</v>
      </c>
      <c r="T338">
        <v>1</v>
      </c>
      <c r="V338">
        <v>1</v>
      </c>
      <c r="W338" t="s">
        <v>103</v>
      </c>
      <c r="AA338" t="s">
        <v>38</v>
      </c>
      <c r="AB338">
        <v>1</v>
      </c>
      <c r="AC338">
        <v>1</v>
      </c>
      <c r="AD338">
        <v>2</v>
      </c>
      <c r="AE338" t="s">
        <v>67</v>
      </c>
      <c r="AI338">
        <v>7</v>
      </c>
      <c r="AJ338">
        <v>25</v>
      </c>
    </row>
    <row r="339" spans="1:36" x14ac:dyDescent="0.25">
      <c r="A339" t="s">
        <v>583</v>
      </c>
      <c r="B339">
        <v>337</v>
      </c>
      <c r="C339" t="s">
        <v>33</v>
      </c>
      <c r="D339">
        <v>1</v>
      </c>
      <c r="F339">
        <v>1</v>
      </c>
      <c r="G339" t="s">
        <v>46</v>
      </c>
      <c r="K339" t="s">
        <v>43</v>
      </c>
      <c r="L339">
        <v>1</v>
      </c>
      <c r="N339">
        <v>1</v>
      </c>
      <c r="O339" t="s">
        <v>73</v>
      </c>
      <c r="P339" t="s">
        <v>99</v>
      </c>
      <c r="Q339" t="s">
        <v>137</v>
      </c>
      <c r="S339" t="s">
        <v>63</v>
      </c>
      <c r="T339">
        <v>1</v>
      </c>
      <c r="V339">
        <v>1</v>
      </c>
      <c r="W339" t="s">
        <v>72</v>
      </c>
      <c r="X339" t="s">
        <v>91</v>
      </c>
      <c r="AA339" t="s">
        <v>227</v>
      </c>
      <c r="AB339">
        <v>1</v>
      </c>
      <c r="AC339">
        <v>1</v>
      </c>
      <c r="AD339">
        <v>1</v>
      </c>
      <c r="AE339" t="s">
        <v>228</v>
      </c>
      <c r="AI339">
        <v>3</v>
      </c>
      <c r="AJ339">
        <v>18</v>
      </c>
    </row>
    <row r="340" spans="1:36" x14ac:dyDescent="0.25">
      <c r="A340" t="s">
        <v>584</v>
      </c>
      <c r="B340">
        <v>338</v>
      </c>
      <c r="C340" t="s">
        <v>38</v>
      </c>
      <c r="D340">
        <v>1</v>
      </c>
      <c r="E340">
        <v>1</v>
      </c>
      <c r="F340">
        <v>3</v>
      </c>
      <c r="G340" t="s">
        <v>67</v>
      </c>
      <c r="K340" t="s">
        <v>227</v>
      </c>
      <c r="L340">
        <v>1</v>
      </c>
      <c r="M340">
        <v>1</v>
      </c>
      <c r="N340">
        <v>2</v>
      </c>
      <c r="O340" t="s">
        <v>228</v>
      </c>
      <c r="S340" t="s">
        <v>33</v>
      </c>
      <c r="T340">
        <v>1</v>
      </c>
      <c r="V340">
        <v>2</v>
      </c>
      <c r="W340" t="s">
        <v>46</v>
      </c>
      <c r="AA340" t="s">
        <v>43</v>
      </c>
      <c r="AB340">
        <v>1</v>
      </c>
      <c r="AD340">
        <v>1</v>
      </c>
      <c r="AE340" t="s">
        <v>73</v>
      </c>
      <c r="AF340" t="s">
        <v>136</v>
      </c>
      <c r="AI340">
        <v>5</v>
      </c>
      <c r="AJ340">
        <v>17</v>
      </c>
    </row>
    <row r="341" spans="1:36" x14ac:dyDescent="0.25">
      <c r="A341" t="s">
        <v>585</v>
      </c>
      <c r="B341">
        <v>339</v>
      </c>
      <c r="C341" t="s">
        <v>33</v>
      </c>
      <c r="D341">
        <v>1</v>
      </c>
      <c r="F341">
        <v>2</v>
      </c>
      <c r="G341" t="s">
        <v>46</v>
      </c>
      <c r="K341" t="s">
        <v>45</v>
      </c>
      <c r="L341">
        <v>1</v>
      </c>
      <c r="N341">
        <v>1</v>
      </c>
      <c r="O341" t="s">
        <v>47</v>
      </c>
      <c r="P341" t="s">
        <v>76</v>
      </c>
      <c r="S341" t="s">
        <v>43</v>
      </c>
      <c r="T341">
        <v>1</v>
      </c>
      <c r="V341">
        <v>1</v>
      </c>
      <c r="W341" t="s">
        <v>135</v>
      </c>
      <c r="X341" t="s">
        <v>136</v>
      </c>
      <c r="AA341" t="s">
        <v>63</v>
      </c>
      <c r="AB341">
        <v>2</v>
      </c>
      <c r="AD341">
        <v>1</v>
      </c>
      <c r="AE341" t="s">
        <v>72</v>
      </c>
      <c r="AI341">
        <v>4</v>
      </c>
      <c r="AJ341">
        <v>23</v>
      </c>
    </row>
    <row r="342" spans="1:36" x14ac:dyDescent="0.25">
      <c r="A342" t="s">
        <v>586</v>
      </c>
      <c r="B342">
        <v>340</v>
      </c>
      <c r="C342" t="s">
        <v>33</v>
      </c>
      <c r="D342">
        <v>1</v>
      </c>
      <c r="F342">
        <v>1</v>
      </c>
      <c r="G342" t="s">
        <v>46</v>
      </c>
      <c r="K342" t="s">
        <v>45</v>
      </c>
      <c r="L342">
        <v>3</v>
      </c>
      <c r="N342">
        <v>1</v>
      </c>
      <c r="O342" t="s">
        <v>140</v>
      </c>
      <c r="S342" t="s">
        <v>43</v>
      </c>
      <c r="T342">
        <v>1</v>
      </c>
      <c r="V342">
        <v>2</v>
      </c>
      <c r="W342" t="s">
        <v>135</v>
      </c>
      <c r="AA342" t="s">
        <v>38</v>
      </c>
      <c r="AB342">
        <v>1</v>
      </c>
      <c r="AC342">
        <v>1</v>
      </c>
      <c r="AD342">
        <v>1</v>
      </c>
      <c r="AE342" t="s">
        <v>67</v>
      </c>
      <c r="AI342">
        <v>3</v>
      </c>
      <c r="AJ342">
        <v>14</v>
      </c>
    </row>
    <row r="343" spans="1:36" x14ac:dyDescent="0.25">
      <c r="A343" t="s">
        <v>587</v>
      </c>
      <c r="B343">
        <v>341</v>
      </c>
      <c r="C343" t="s">
        <v>43</v>
      </c>
      <c r="D343">
        <v>2</v>
      </c>
      <c r="F343">
        <v>3</v>
      </c>
      <c r="G343" t="s">
        <v>135</v>
      </c>
      <c r="H343" t="s">
        <v>74</v>
      </c>
      <c r="I343" t="s">
        <v>137</v>
      </c>
      <c r="K343" t="s">
        <v>227</v>
      </c>
      <c r="L343">
        <v>2</v>
      </c>
      <c r="M343">
        <v>1</v>
      </c>
      <c r="N343">
        <v>1</v>
      </c>
      <c r="O343" t="s">
        <v>228</v>
      </c>
      <c r="S343" t="s">
        <v>33</v>
      </c>
      <c r="T343">
        <v>2</v>
      </c>
      <c r="V343">
        <v>2</v>
      </c>
      <c r="W343" t="s">
        <v>46</v>
      </c>
      <c r="AA343" t="s">
        <v>45</v>
      </c>
      <c r="AB343">
        <v>2</v>
      </c>
      <c r="AD343">
        <v>1</v>
      </c>
      <c r="AE343" t="s">
        <v>47</v>
      </c>
      <c r="AI343">
        <v>9</v>
      </c>
      <c r="AJ343">
        <v>36</v>
      </c>
    </row>
    <row r="344" spans="1:36" x14ac:dyDescent="0.25">
      <c r="A344" t="s">
        <v>588</v>
      </c>
      <c r="B344">
        <v>342</v>
      </c>
      <c r="C344" t="s">
        <v>63</v>
      </c>
      <c r="D344">
        <v>1</v>
      </c>
      <c r="F344">
        <v>1</v>
      </c>
      <c r="G344" t="s">
        <v>72</v>
      </c>
      <c r="H344" t="s">
        <v>91</v>
      </c>
      <c r="K344" t="s">
        <v>38</v>
      </c>
      <c r="L344">
        <v>1</v>
      </c>
      <c r="M344">
        <v>1</v>
      </c>
      <c r="N344">
        <v>2</v>
      </c>
      <c r="O344" t="s">
        <v>67</v>
      </c>
      <c r="S344" t="s">
        <v>33</v>
      </c>
      <c r="T344">
        <v>1</v>
      </c>
      <c r="V344">
        <v>2</v>
      </c>
      <c r="W344" t="s">
        <v>46</v>
      </c>
      <c r="AA344" t="s">
        <v>45</v>
      </c>
      <c r="AB344">
        <v>2</v>
      </c>
      <c r="AD344">
        <v>1</v>
      </c>
      <c r="AE344" t="s">
        <v>47</v>
      </c>
      <c r="AI344">
        <v>4</v>
      </c>
      <c r="AJ344">
        <v>24</v>
      </c>
    </row>
    <row r="345" spans="1:36" x14ac:dyDescent="0.25">
      <c r="A345" t="s">
        <v>589</v>
      </c>
      <c r="B345">
        <v>343</v>
      </c>
      <c r="C345" t="s">
        <v>33</v>
      </c>
      <c r="D345">
        <v>1</v>
      </c>
      <c r="F345">
        <v>3</v>
      </c>
      <c r="G345" t="s">
        <v>46</v>
      </c>
      <c r="K345" t="s">
        <v>45</v>
      </c>
      <c r="L345">
        <v>1</v>
      </c>
      <c r="N345">
        <v>1</v>
      </c>
      <c r="O345" t="s">
        <v>47</v>
      </c>
      <c r="S345" t="s">
        <v>63</v>
      </c>
      <c r="T345">
        <v>1</v>
      </c>
      <c r="V345">
        <v>1</v>
      </c>
      <c r="W345" t="s">
        <v>72</v>
      </c>
      <c r="AA345" t="s">
        <v>227</v>
      </c>
      <c r="AB345">
        <v>1</v>
      </c>
      <c r="AC345">
        <v>1</v>
      </c>
      <c r="AD345">
        <v>2</v>
      </c>
      <c r="AE345" t="s">
        <v>228</v>
      </c>
      <c r="AF345" t="s">
        <v>231</v>
      </c>
      <c r="AI345">
        <v>4</v>
      </c>
      <c r="AJ345">
        <v>29</v>
      </c>
    </row>
    <row r="346" spans="1:36" x14ac:dyDescent="0.25">
      <c r="A346" t="s">
        <v>590</v>
      </c>
      <c r="B346">
        <v>344</v>
      </c>
      <c r="C346" t="s">
        <v>38</v>
      </c>
      <c r="D346">
        <v>1</v>
      </c>
      <c r="E346">
        <v>1</v>
      </c>
      <c r="F346">
        <v>1</v>
      </c>
      <c r="G346" t="s">
        <v>67</v>
      </c>
      <c r="K346" t="s">
        <v>227</v>
      </c>
      <c r="L346">
        <v>1</v>
      </c>
      <c r="M346">
        <v>1</v>
      </c>
      <c r="N346">
        <v>3</v>
      </c>
      <c r="O346" t="s">
        <v>228</v>
      </c>
      <c r="P346" t="s">
        <v>231</v>
      </c>
      <c r="Q346" t="s">
        <v>235</v>
      </c>
      <c r="S346" t="s">
        <v>33</v>
      </c>
      <c r="T346">
        <v>1</v>
      </c>
      <c r="V346">
        <v>3</v>
      </c>
      <c r="W346" t="s">
        <v>46</v>
      </c>
      <c r="AA346" t="s">
        <v>45</v>
      </c>
      <c r="AB346">
        <v>1</v>
      </c>
      <c r="AD346">
        <v>1</v>
      </c>
      <c r="AE346" t="s">
        <v>47</v>
      </c>
      <c r="AF346" t="s">
        <v>141</v>
      </c>
      <c r="AI346">
        <v>7</v>
      </c>
      <c r="AJ346">
        <v>31</v>
      </c>
    </row>
    <row r="347" spans="1:36" x14ac:dyDescent="0.25">
      <c r="A347" t="s">
        <v>591</v>
      </c>
      <c r="B347">
        <v>345</v>
      </c>
      <c r="C347" t="s">
        <v>33</v>
      </c>
      <c r="D347">
        <v>2</v>
      </c>
      <c r="F347">
        <v>1</v>
      </c>
      <c r="G347" t="s">
        <v>46</v>
      </c>
      <c r="K347" t="s">
        <v>63</v>
      </c>
      <c r="L347">
        <v>2</v>
      </c>
      <c r="N347">
        <v>1</v>
      </c>
      <c r="O347" t="s">
        <v>145</v>
      </c>
      <c r="P347" t="s">
        <v>91</v>
      </c>
      <c r="S347" t="s">
        <v>43</v>
      </c>
      <c r="T347">
        <v>3</v>
      </c>
      <c r="V347">
        <v>1</v>
      </c>
      <c r="W347" t="s">
        <v>135</v>
      </c>
      <c r="AA347" t="s">
        <v>45</v>
      </c>
      <c r="AB347">
        <v>3</v>
      </c>
      <c r="AD347">
        <v>1</v>
      </c>
      <c r="AE347" t="s">
        <v>47</v>
      </c>
      <c r="AI347">
        <v>7</v>
      </c>
      <c r="AJ347">
        <v>22</v>
      </c>
    </row>
    <row r="348" spans="1:36" x14ac:dyDescent="0.25">
      <c r="A348" t="s">
        <v>592</v>
      </c>
      <c r="B348">
        <v>346</v>
      </c>
      <c r="C348" t="s">
        <v>33</v>
      </c>
      <c r="D348">
        <v>1</v>
      </c>
      <c r="F348">
        <v>2</v>
      </c>
      <c r="G348" t="s">
        <v>46</v>
      </c>
      <c r="K348" t="s">
        <v>63</v>
      </c>
      <c r="L348">
        <v>1</v>
      </c>
      <c r="N348">
        <v>1</v>
      </c>
      <c r="O348" t="s">
        <v>103</v>
      </c>
      <c r="P348" t="s">
        <v>91</v>
      </c>
      <c r="S348" t="s">
        <v>43</v>
      </c>
      <c r="T348">
        <v>3</v>
      </c>
      <c r="V348">
        <v>1</v>
      </c>
      <c r="W348" t="s">
        <v>135</v>
      </c>
      <c r="AA348" t="s">
        <v>38</v>
      </c>
      <c r="AB348">
        <v>1</v>
      </c>
      <c r="AC348">
        <v>1</v>
      </c>
      <c r="AD348">
        <v>2</v>
      </c>
      <c r="AE348" t="s">
        <v>67</v>
      </c>
      <c r="AI348">
        <v>5</v>
      </c>
      <c r="AJ348">
        <v>25</v>
      </c>
    </row>
    <row r="349" spans="1:36" x14ac:dyDescent="0.25">
      <c r="A349" t="s">
        <v>593</v>
      </c>
      <c r="B349">
        <v>347</v>
      </c>
      <c r="C349" t="s">
        <v>33</v>
      </c>
      <c r="D349">
        <v>2</v>
      </c>
      <c r="F349">
        <v>3</v>
      </c>
      <c r="G349" t="s">
        <v>46</v>
      </c>
      <c r="K349" t="s">
        <v>63</v>
      </c>
      <c r="L349">
        <v>1</v>
      </c>
      <c r="N349">
        <v>1</v>
      </c>
      <c r="O349" t="s">
        <v>103</v>
      </c>
      <c r="S349" t="s">
        <v>43</v>
      </c>
      <c r="T349">
        <v>2</v>
      </c>
      <c r="V349">
        <v>1</v>
      </c>
      <c r="W349" t="s">
        <v>135</v>
      </c>
      <c r="X349" t="s">
        <v>136</v>
      </c>
      <c r="AA349" t="s">
        <v>227</v>
      </c>
      <c r="AB349">
        <v>1</v>
      </c>
      <c r="AC349">
        <v>1</v>
      </c>
      <c r="AD349">
        <v>1</v>
      </c>
      <c r="AE349" t="s">
        <v>228</v>
      </c>
      <c r="AI349">
        <v>5</v>
      </c>
      <c r="AJ349">
        <v>22</v>
      </c>
    </row>
    <row r="350" spans="1:36" x14ac:dyDescent="0.25">
      <c r="A350" t="s">
        <v>594</v>
      </c>
      <c r="B350">
        <v>348</v>
      </c>
      <c r="C350" t="s">
        <v>45</v>
      </c>
      <c r="D350">
        <v>3</v>
      </c>
      <c r="F350">
        <v>1</v>
      </c>
      <c r="G350" t="s">
        <v>47</v>
      </c>
      <c r="K350" t="s">
        <v>38</v>
      </c>
      <c r="L350">
        <v>1</v>
      </c>
      <c r="M350">
        <v>1</v>
      </c>
      <c r="N350">
        <v>2</v>
      </c>
      <c r="O350" t="s">
        <v>152</v>
      </c>
      <c r="S350" t="s">
        <v>33</v>
      </c>
      <c r="T350">
        <v>1</v>
      </c>
      <c r="V350">
        <v>3</v>
      </c>
      <c r="W350" t="s">
        <v>46</v>
      </c>
      <c r="AA350" t="s">
        <v>63</v>
      </c>
      <c r="AB350">
        <v>1</v>
      </c>
      <c r="AD350">
        <v>1</v>
      </c>
      <c r="AE350" t="s">
        <v>103</v>
      </c>
      <c r="AI350">
        <v>5</v>
      </c>
      <c r="AJ350">
        <v>22</v>
      </c>
    </row>
    <row r="351" spans="1:36" x14ac:dyDescent="0.25">
      <c r="A351" t="s">
        <v>595</v>
      </c>
      <c r="B351">
        <v>349</v>
      </c>
      <c r="C351" t="s">
        <v>45</v>
      </c>
      <c r="D351">
        <v>3</v>
      </c>
      <c r="F351">
        <v>1</v>
      </c>
      <c r="G351" t="s">
        <v>47</v>
      </c>
      <c r="K351" t="s">
        <v>227</v>
      </c>
      <c r="L351">
        <v>1</v>
      </c>
      <c r="M351">
        <v>1</v>
      </c>
      <c r="N351">
        <v>1</v>
      </c>
      <c r="O351" t="s">
        <v>228</v>
      </c>
      <c r="S351" t="s">
        <v>33</v>
      </c>
      <c r="T351">
        <v>1</v>
      </c>
      <c r="V351">
        <v>2</v>
      </c>
      <c r="W351" t="s">
        <v>46</v>
      </c>
      <c r="AA351" t="s">
        <v>63</v>
      </c>
      <c r="AB351">
        <v>1</v>
      </c>
      <c r="AD351">
        <v>1</v>
      </c>
      <c r="AE351" t="s">
        <v>103</v>
      </c>
      <c r="AF351" t="s">
        <v>91</v>
      </c>
      <c r="AI351">
        <v>4</v>
      </c>
      <c r="AJ351">
        <v>33</v>
      </c>
    </row>
    <row r="352" spans="1:36" x14ac:dyDescent="0.25">
      <c r="A352" t="s">
        <v>596</v>
      </c>
      <c r="B352">
        <v>350</v>
      </c>
      <c r="C352" t="s">
        <v>38</v>
      </c>
      <c r="D352">
        <v>1</v>
      </c>
      <c r="E352">
        <v>2</v>
      </c>
      <c r="F352">
        <v>2</v>
      </c>
      <c r="G352" t="s">
        <v>67</v>
      </c>
      <c r="K352" t="s">
        <v>227</v>
      </c>
      <c r="L352">
        <v>2</v>
      </c>
      <c r="M352">
        <v>1</v>
      </c>
      <c r="N352">
        <v>1</v>
      </c>
      <c r="O352" t="s">
        <v>228</v>
      </c>
      <c r="S352" t="s">
        <v>33</v>
      </c>
      <c r="T352">
        <v>1</v>
      </c>
      <c r="V352">
        <v>2</v>
      </c>
      <c r="W352" t="s">
        <v>46</v>
      </c>
      <c r="AA352" t="s">
        <v>63</v>
      </c>
      <c r="AB352">
        <v>1</v>
      </c>
      <c r="AD352">
        <v>1</v>
      </c>
      <c r="AE352" t="s">
        <v>103</v>
      </c>
      <c r="AI352">
        <v>4</v>
      </c>
      <c r="AJ352">
        <v>27</v>
      </c>
    </row>
    <row r="353" spans="1:36" x14ac:dyDescent="0.25">
      <c r="A353" t="s">
        <v>597</v>
      </c>
      <c r="B353">
        <v>351</v>
      </c>
      <c r="C353" t="s">
        <v>43</v>
      </c>
      <c r="D353">
        <v>2</v>
      </c>
      <c r="F353">
        <v>2</v>
      </c>
      <c r="G353" t="s">
        <v>135</v>
      </c>
      <c r="H353" t="s">
        <v>136</v>
      </c>
      <c r="I353" t="s">
        <v>100</v>
      </c>
      <c r="K353" t="s">
        <v>45</v>
      </c>
      <c r="L353">
        <v>2</v>
      </c>
      <c r="N353">
        <v>1</v>
      </c>
      <c r="O353" t="s">
        <v>47</v>
      </c>
      <c r="S353" t="s">
        <v>33</v>
      </c>
      <c r="T353">
        <v>1</v>
      </c>
      <c r="V353">
        <v>3</v>
      </c>
      <c r="W353" t="s">
        <v>46</v>
      </c>
      <c r="AA353" t="s">
        <v>38</v>
      </c>
      <c r="AB353">
        <v>1</v>
      </c>
      <c r="AC353">
        <v>2</v>
      </c>
      <c r="AD353">
        <v>2</v>
      </c>
      <c r="AE353" t="s">
        <v>67</v>
      </c>
      <c r="AF353" t="s">
        <v>40</v>
      </c>
      <c r="AI353">
        <v>11</v>
      </c>
      <c r="AJ353">
        <v>26</v>
      </c>
    </row>
    <row r="354" spans="1:36" x14ac:dyDescent="0.25">
      <c r="A354" t="s">
        <v>598</v>
      </c>
      <c r="B354">
        <v>352</v>
      </c>
      <c r="C354" t="s">
        <v>33</v>
      </c>
      <c r="D354">
        <v>1</v>
      </c>
      <c r="F354">
        <v>3</v>
      </c>
      <c r="G354" t="s">
        <v>46</v>
      </c>
      <c r="K354" t="s">
        <v>38</v>
      </c>
      <c r="L354">
        <v>1</v>
      </c>
      <c r="M354">
        <v>1</v>
      </c>
      <c r="N354">
        <v>1</v>
      </c>
      <c r="O354" t="s">
        <v>67</v>
      </c>
      <c r="P354" t="s">
        <v>70</v>
      </c>
      <c r="S354" t="s">
        <v>43</v>
      </c>
      <c r="T354">
        <v>3</v>
      </c>
      <c r="V354">
        <v>1</v>
      </c>
      <c r="W354" t="s">
        <v>135</v>
      </c>
      <c r="AA354" t="s">
        <v>63</v>
      </c>
      <c r="AB354">
        <v>1</v>
      </c>
      <c r="AD354">
        <v>1</v>
      </c>
      <c r="AE354" t="s">
        <v>72</v>
      </c>
      <c r="AI354">
        <v>5</v>
      </c>
      <c r="AJ354">
        <v>25</v>
      </c>
    </row>
    <row r="355" spans="1:36" x14ac:dyDescent="0.25">
      <c r="A355" t="s">
        <v>599</v>
      </c>
      <c r="B355">
        <v>353</v>
      </c>
      <c r="C355" t="s">
        <v>33</v>
      </c>
      <c r="D355">
        <v>2</v>
      </c>
      <c r="F355">
        <v>2</v>
      </c>
      <c r="G355" t="s">
        <v>46</v>
      </c>
      <c r="K355" t="s">
        <v>38</v>
      </c>
      <c r="L355">
        <v>1</v>
      </c>
      <c r="M355">
        <v>1</v>
      </c>
      <c r="N355">
        <v>2</v>
      </c>
      <c r="O355" t="s">
        <v>152</v>
      </c>
      <c r="P355" t="s">
        <v>70</v>
      </c>
      <c r="S355" t="s">
        <v>43</v>
      </c>
      <c r="T355">
        <v>2</v>
      </c>
      <c r="V355">
        <v>1</v>
      </c>
      <c r="W355" t="s">
        <v>135</v>
      </c>
      <c r="X355" t="s">
        <v>136</v>
      </c>
      <c r="Y355" t="s">
        <v>137</v>
      </c>
      <c r="AA355" t="s">
        <v>227</v>
      </c>
      <c r="AB355">
        <v>1</v>
      </c>
      <c r="AC355">
        <v>1</v>
      </c>
      <c r="AD355">
        <v>1</v>
      </c>
      <c r="AE355" t="s">
        <v>228</v>
      </c>
      <c r="AI355">
        <v>7</v>
      </c>
      <c r="AJ355">
        <v>22</v>
      </c>
    </row>
    <row r="356" spans="1:36" x14ac:dyDescent="0.25">
      <c r="A356" t="s">
        <v>600</v>
      </c>
      <c r="B356">
        <v>354</v>
      </c>
      <c r="C356" t="s">
        <v>33</v>
      </c>
      <c r="D356">
        <v>3</v>
      </c>
      <c r="F356">
        <v>3</v>
      </c>
      <c r="G356" t="s">
        <v>46</v>
      </c>
      <c r="K356" t="s">
        <v>38</v>
      </c>
      <c r="L356">
        <v>1</v>
      </c>
      <c r="M356">
        <v>1</v>
      </c>
      <c r="N356">
        <v>2</v>
      </c>
      <c r="O356" t="s">
        <v>67</v>
      </c>
      <c r="P356" t="s">
        <v>96</v>
      </c>
      <c r="S356" t="s">
        <v>45</v>
      </c>
      <c r="T356">
        <v>3</v>
      </c>
      <c r="V356">
        <v>1</v>
      </c>
      <c r="W356" t="s">
        <v>47</v>
      </c>
      <c r="AA356" t="s">
        <v>63</v>
      </c>
      <c r="AB356">
        <v>1</v>
      </c>
      <c r="AD356">
        <v>1</v>
      </c>
      <c r="AE356" t="s">
        <v>103</v>
      </c>
      <c r="AI356">
        <v>8</v>
      </c>
      <c r="AJ356">
        <v>26</v>
      </c>
    </row>
    <row r="357" spans="1:36" x14ac:dyDescent="0.25">
      <c r="A357" t="s">
        <v>601</v>
      </c>
      <c r="B357">
        <v>355</v>
      </c>
      <c r="C357" t="s">
        <v>33</v>
      </c>
      <c r="D357">
        <v>3</v>
      </c>
      <c r="F357">
        <v>3</v>
      </c>
      <c r="G357" t="s">
        <v>46</v>
      </c>
      <c r="H357" t="s">
        <v>35</v>
      </c>
      <c r="K357" t="s">
        <v>38</v>
      </c>
      <c r="L357">
        <v>1</v>
      </c>
      <c r="M357">
        <v>1</v>
      </c>
      <c r="N357">
        <v>1</v>
      </c>
      <c r="O357" t="s">
        <v>152</v>
      </c>
      <c r="P357" t="s">
        <v>70</v>
      </c>
      <c r="S357" t="s">
        <v>45</v>
      </c>
      <c r="T357">
        <v>3</v>
      </c>
      <c r="V357">
        <v>1</v>
      </c>
      <c r="W357" t="s">
        <v>47</v>
      </c>
      <c r="AA357" t="s">
        <v>227</v>
      </c>
      <c r="AB357">
        <v>1</v>
      </c>
      <c r="AC357">
        <v>1</v>
      </c>
      <c r="AD357">
        <v>1</v>
      </c>
      <c r="AE357" t="s">
        <v>228</v>
      </c>
      <c r="AI357">
        <v>8</v>
      </c>
      <c r="AJ357">
        <v>26</v>
      </c>
    </row>
    <row r="358" spans="1:36" x14ac:dyDescent="0.25">
      <c r="A358" t="s">
        <v>602</v>
      </c>
      <c r="B358">
        <v>356</v>
      </c>
      <c r="C358" t="s">
        <v>33</v>
      </c>
      <c r="D358">
        <v>1</v>
      </c>
      <c r="F358">
        <v>1</v>
      </c>
      <c r="G358" t="s">
        <v>46</v>
      </c>
      <c r="K358" t="s">
        <v>38</v>
      </c>
      <c r="L358">
        <v>1</v>
      </c>
      <c r="M358">
        <v>1</v>
      </c>
      <c r="N358">
        <v>1</v>
      </c>
      <c r="O358" t="s">
        <v>152</v>
      </c>
      <c r="P358" t="s">
        <v>70</v>
      </c>
      <c r="S358" t="s">
        <v>63</v>
      </c>
      <c r="T358">
        <v>1</v>
      </c>
      <c r="V358">
        <v>1</v>
      </c>
      <c r="W358" t="s">
        <v>72</v>
      </c>
      <c r="X358" t="s">
        <v>91</v>
      </c>
      <c r="AA358" t="s">
        <v>227</v>
      </c>
      <c r="AB358">
        <v>1</v>
      </c>
      <c r="AC358">
        <v>1</v>
      </c>
      <c r="AD358">
        <v>1</v>
      </c>
      <c r="AE358" t="s">
        <v>228</v>
      </c>
      <c r="AI358">
        <v>2</v>
      </c>
      <c r="AJ358">
        <v>19</v>
      </c>
    </row>
    <row r="359" spans="1:36" x14ac:dyDescent="0.25">
      <c r="A359" t="s">
        <v>603</v>
      </c>
      <c r="B359">
        <v>357</v>
      </c>
      <c r="C359" t="s">
        <v>33</v>
      </c>
      <c r="D359">
        <v>2</v>
      </c>
      <c r="F359">
        <v>3</v>
      </c>
      <c r="G359" t="s">
        <v>46</v>
      </c>
      <c r="K359" t="s">
        <v>227</v>
      </c>
      <c r="L359">
        <v>1</v>
      </c>
      <c r="M359">
        <v>1</v>
      </c>
      <c r="N359">
        <v>1</v>
      </c>
      <c r="O359" t="s">
        <v>228</v>
      </c>
      <c r="S359" t="s">
        <v>43</v>
      </c>
      <c r="T359">
        <v>1</v>
      </c>
      <c r="V359">
        <v>2</v>
      </c>
      <c r="W359" t="s">
        <v>73</v>
      </c>
      <c r="X359" t="s">
        <v>136</v>
      </c>
      <c r="AA359" t="s">
        <v>45</v>
      </c>
      <c r="AB359">
        <v>1</v>
      </c>
      <c r="AD359">
        <v>1</v>
      </c>
      <c r="AE359" t="s">
        <v>47</v>
      </c>
      <c r="AI359">
        <v>5</v>
      </c>
      <c r="AJ359">
        <v>25</v>
      </c>
    </row>
    <row r="360" spans="1:36" x14ac:dyDescent="0.25">
      <c r="A360" t="s">
        <v>604</v>
      </c>
      <c r="B360">
        <v>358</v>
      </c>
      <c r="C360" t="s">
        <v>43</v>
      </c>
      <c r="D360">
        <v>3</v>
      </c>
      <c r="F360">
        <v>1</v>
      </c>
      <c r="G360" t="s">
        <v>73</v>
      </c>
      <c r="H360" t="s">
        <v>136</v>
      </c>
      <c r="K360" t="s">
        <v>63</v>
      </c>
      <c r="L360">
        <v>1</v>
      </c>
      <c r="N360">
        <v>1</v>
      </c>
      <c r="O360" t="s">
        <v>103</v>
      </c>
      <c r="S360" t="s">
        <v>33</v>
      </c>
      <c r="T360">
        <v>3</v>
      </c>
      <c r="V360">
        <v>1</v>
      </c>
      <c r="W360" t="s">
        <v>46</v>
      </c>
      <c r="AA360" t="s">
        <v>227</v>
      </c>
      <c r="AB360">
        <v>1</v>
      </c>
      <c r="AC360">
        <v>1</v>
      </c>
      <c r="AD360">
        <v>1</v>
      </c>
      <c r="AE360" t="s">
        <v>228</v>
      </c>
      <c r="AI360">
        <v>5</v>
      </c>
      <c r="AJ360">
        <v>22</v>
      </c>
    </row>
    <row r="361" spans="1:36" x14ac:dyDescent="0.25">
      <c r="A361" t="s">
        <v>605</v>
      </c>
      <c r="B361">
        <v>359</v>
      </c>
      <c r="C361" t="s">
        <v>33</v>
      </c>
      <c r="D361">
        <v>1</v>
      </c>
      <c r="F361">
        <v>2</v>
      </c>
      <c r="G361" t="s">
        <v>46</v>
      </c>
      <c r="H361" t="s">
        <v>66</v>
      </c>
      <c r="K361" t="s">
        <v>227</v>
      </c>
      <c r="L361">
        <v>1</v>
      </c>
      <c r="M361">
        <v>1</v>
      </c>
      <c r="N361">
        <v>1</v>
      </c>
      <c r="O361" t="s">
        <v>228</v>
      </c>
      <c r="P361" t="s">
        <v>231</v>
      </c>
      <c r="S361" t="s">
        <v>43</v>
      </c>
      <c r="T361">
        <v>1</v>
      </c>
      <c r="V361">
        <v>1</v>
      </c>
      <c r="W361" t="s">
        <v>73</v>
      </c>
      <c r="X361" t="s">
        <v>136</v>
      </c>
      <c r="AA361" t="s">
        <v>38</v>
      </c>
      <c r="AB361">
        <v>1</v>
      </c>
      <c r="AC361">
        <v>1</v>
      </c>
      <c r="AD361">
        <v>1</v>
      </c>
      <c r="AE361" t="s">
        <v>152</v>
      </c>
      <c r="AI361">
        <v>4</v>
      </c>
      <c r="AJ361">
        <v>23</v>
      </c>
    </row>
    <row r="362" spans="1:36" x14ac:dyDescent="0.25">
      <c r="A362" t="s">
        <v>606</v>
      </c>
      <c r="B362">
        <v>360</v>
      </c>
      <c r="C362" t="s">
        <v>33</v>
      </c>
      <c r="D362">
        <v>1</v>
      </c>
      <c r="F362">
        <v>3</v>
      </c>
      <c r="G362" t="s">
        <v>46</v>
      </c>
      <c r="K362" t="s">
        <v>227</v>
      </c>
      <c r="L362">
        <v>1</v>
      </c>
      <c r="M362">
        <v>1</v>
      </c>
      <c r="N362">
        <v>1</v>
      </c>
      <c r="O362" t="s">
        <v>228</v>
      </c>
      <c r="P362" t="s">
        <v>231</v>
      </c>
      <c r="Q362" t="s">
        <v>235</v>
      </c>
      <c r="S362" t="s">
        <v>45</v>
      </c>
      <c r="T362">
        <v>2</v>
      </c>
      <c r="V362">
        <v>1</v>
      </c>
      <c r="W362" t="s">
        <v>47</v>
      </c>
      <c r="AA362" t="s">
        <v>63</v>
      </c>
      <c r="AB362">
        <v>1</v>
      </c>
      <c r="AD362">
        <v>1</v>
      </c>
      <c r="AE362" t="s">
        <v>103</v>
      </c>
      <c r="AF362" t="s">
        <v>95</v>
      </c>
      <c r="AI362">
        <v>6</v>
      </c>
      <c r="AJ362">
        <v>24</v>
      </c>
    </row>
    <row r="363" spans="1:36" x14ac:dyDescent="0.25">
      <c r="A363" t="s">
        <v>607</v>
      </c>
      <c r="B363">
        <v>361</v>
      </c>
      <c r="C363" t="s">
        <v>45</v>
      </c>
      <c r="D363">
        <v>1</v>
      </c>
      <c r="F363">
        <v>1</v>
      </c>
      <c r="G363" t="s">
        <v>47</v>
      </c>
      <c r="K363" t="s">
        <v>38</v>
      </c>
      <c r="L363">
        <v>1</v>
      </c>
      <c r="M363">
        <v>1</v>
      </c>
      <c r="N363">
        <v>1</v>
      </c>
      <c r="O363" t="s">
        <v>152</v>
      </c>
      <c r="P363" t="s">
        <v>70</v>
      </c>
      <c r="S363" t="s">
        <v>33</v>
      </c>
      <c r="T363">
        <v>1</v>
      </c>
      <c r="V363">
        <v>2</v>
      </c>
      <c r="W363" t="s">
        <v>46</v>
      </c>
      <c r="AA363" t="s">
        <v>227</v>
      </c>
      <c r="AB363">
        <v>1</v>
      </c>
      <c r="AC363">
        <v>1</v>
      </c>
      <c r="AD363">
        <v>1</v>
      </c>
      <c r="AE363" t="s">
        <v>228</v>
      </c>
      <c r="AI363">
        <v>2</v>
      </c>
      <c r="AJ363">
        <v>18</v>
      </c>
    </row>
    <row r="364" spans="1:36" x14ac:dyDescent="0.25">
      <c r="A364" t="s">
        <v>608</v>
      </c>
      <c r="B364">
        <v>362</v>
      </c>
      <c r="C364" t="s">
        <v>33</v>
      </c>
      <c r="D364">
        <v>1</v>
      </c>
      <c r="F364">
        <v>2</v>
      </c>
      <c r="G364" t="s">
        <v>46</v>
      </c>
      <c r="K364" t="s">
        <v>227</v>
      </c>
      <c r="L364">
        <v>2</v>
      </c>
      <c r="M364">
        <v>1</v>
      </c>
      <c r="N364">
        <v>1</v>
      </c>
      <c r="O364" t="s">
        <v>228</v>
      </c>
      <c r="S364" t="s">
        <v>63</v>
      </c>
      <c r="T364">
        <v>1</v>
      </c>
      <c r="V364">
        <v>1</v>
      </c>
      <c r="W364" t="s">
        <v>103</v>
      </c>
      <c r="AA364" t="s">
        <v>38</v>
      </c>
      <c r="AB364">
        <v>1</v>
      </c>
      <c r="AC364">
        <v>1</v>
      </c>
      <c r="AD364">
        <v>1</v>
      </c>
      <c r="AE364" t="s">
        <v>152</v>
      </c>
      <c r="AF364" t="s">
        <v>70</v>
      </c>
      <c r="AI364">
        <v>3</v>
      </c>
      <c r="AJ364">
        <v>23</v>
      </c>
    </row>
    <row r="365" spans="1:36" x14ac:dyDescent="0.25">
      <c r="A365" t="s">
        <v>609</v>
      </c>
      <c r="B365">
        <v>363</v>
      </c>
      <c r="C365" t="s">
        <v>63</v>
      </c>
      <c r="D365">
        <v>2</v>
      </c>
      <c r="F365">
        <v>2</v>
      </c>
      <c r="G365" t="s">
        <v>72</v>
      </c>
      <c r="H365" t="s">
        <v>146</v>
      </c>
      <c r="K365" t="s">
        <v>38</v>
      </c>
      <c r="L365">
        <v>1</v>
      </c>
      <c r="M365">
        <v>1</v>
      </c>
      <c r="N365">
        <v>2</v>
      </c>
      <c r="O365" t="s">
        <v>67</v>
      </c>
      <c r="S365" t="s">
        <v>43</v>
      </c>
      <c r="T365">
        <v>3</v>
      </c>
      <c r="V365">
        <v>1</v>
      </c>
      <c r="W365" t="s">
        <v>135</v>
      </c>
      <c r="X365" t="s">
        <v>74</v>
      </c>
      <c r="AA365" t="s">
        <v>45</v>
      </c>
      <c r="AB365">
        <v>3</v>
      </c>
      <c r="AD365">
        <v>2</v>
      </c>
      <c r="AE365" t="s">
        <v>47</v>
      </c>
      <c r="AF365" t="s">
        <v>76</v>
      </c>
      <c r="AG365" t="s">
        <v>142</v>
      </c>
      <c r="AI365">
        <v>12</v>
      </c>
      <c r="AJ365">
        <v>33</v>
      </c>
    </row>
    <row r="366" spans="1:36" x14ac:dyDescent="0.25">
      <c r="A366" s="36" t="s">
        <v>610</v>
      </c>
      <c r="B366">
        <v>364</v>
      </c>
      <c r="C366" t="s">
        <v>43</v>
      </c>
      <c r="D366">
        <v>1</v>
      </c>
      <c r="F366">
        <v>1</v>
      </c>
      <c r="G366" t="s">
        <v>73</v>
      </c>
      <c r="H366" t="s">
        <v>99</v>
      </c>
      <c r="K366" t="s">
        <v>45</v>
      </c>
      <c r="L366">
        <v>2</v>
      </c>
      <c r="N366">
        <v>1</v>
      </c>
      <c r="O366" t="s">
        <v>47</v>
      </c>
      <c r="S366" t="s">
        <v>63</v>
      </c>
      <c r="T366">
        <v>1</v>
      </c>
      <c r="V366">
        <v>1</v>
      </c>
      <c r="W366" t="s">
        <v>72</v>
      </c>
      <c r="X366" t="s">
        <v>91</v>
      </c>
      <c r="AA366" t="s">
        <v>227</v>
      </c>
      <c r="AB366">
        <v>1</v>
      </c>
      <c r="AC366">
        <v>1</v>
      </c>
      <c r="AD366">
        <v>2</v>
      </c>
      <c r="AE366" t="s">
        <v>228</v>
      </c>
      <c r="AF366" t="s">
        <v>231</v>
      </c>
      <c r="AG366" t="s">
        <v>235</v>
      </c>
      <c r="AI366">
        <v>6</v>
      </c>
      <c r="AJ366">
        <v>26</v>
      </c>
    </row>
    <row r="367" spans="1:36" x14ac:dyDescent="0.25">
      <c r="A367" t="s">
        <v>611</v>
      </c>
      <c r="B367">
        <v>365</v>
      </c>
      <c r="C367" t="s">
        <v>38</v>
      </c>
      <c r="D367">
        <v>1</v>
      </c>
      <c r="E367">
        <v>1</v>
      </c>
      <c r="F367">
        <v>3</v>
      </c>
      <c r="G367" t="s">
        <v>67</v>
      </c>
      <c r="H367" t="s">
        <v>70</v>
      </c>
      <c r="K367" t="s">
        <v>227</v>
      </c>
      <c r="L367">
        <v>1</v>
      </c>
      <c r="M367">
        <v>1</v>
      </c>
      <c r="N367">
        <v>1</v>
      </c>
      <c r="O367" t="s">
        <v>228</v>
      </c>
      <c r="S367" t="s">
        <v>43</v>
      </c>
      <c r="T367">
        <v>1</v>
      </c>
      <c r="V367">
        <v>1</v>
      </c>
      <c r="W367" t="s">
        <v>73</v>
      </c>
      <c r="X367" t="s">
        <v>99</v>
      </c>
      <c r="Y367" t="s">
        <v>75</v>
      </c>
      <c r="Z367" t="s">
        <v>101</v>
      </c>
      <c r="AA367" t="s">
        <v>45</v>
      </c>
      <c r="AB367">
        <v>1</v>
      </c>
      <c r="AD367">
        <v>1</v>
      </c>
      <c r="AE367" t="s">
        <v>140</v>
      </c>
      <c r="AI367">
        <v>6</v>
      </c>
      <c r="AJ367">
        <v>27</v>
      </c>
    </row>
    <row r="368" spans="1:36" x14ac:dyDescent="0.25">
      <c r="A368" t="s">
        <v>612</v>
      </c>
      <c r="B368">
        <v>366</v>
      </c>
      <c r="C368" t="s">
        <v>45</v>
      </c>
      <c r="D368">
        <v>3</v>
      </c>
      <c r="F368">
        <v>2</v>
      </c>
      <c r="G368" t="s">
        <v>86</v>
      </c>
      <c r="H368" t="s">
        <v>92</v>
      </c>
      <c r="I368" t="s">
        <v>142</v>
      </c>
      <c r="K368" t="s">
        <v>38</v>
      </c>
      <c r="L368">
        <v>1</v>
      </c>
      <c r="M368">
        <v>1</v>
      </c>
      <c r="N368">
        <v>1</v>
      </c>
      <c r="O368" t="s">
        <v>152</v>
      </c>
      <c r="P368" t="s">
        <v>70</v>
      </c>
      <c r="S368" t="s">
        <v>43</v>
      </c>
      <c r="T368">
        <v>2</v>
      </c>
      <c r="V368">
        <v>1</v>
      </c>
      <c r="W368" t="s">
        <v>135</v>
      </c>
      <c r="X368" t="s">
        <v>99</v>
      </c>
      <c r="AA368" t="s">
        <v>63</v>
      </c>
      <c r="AB368">
        <v>1</v>
      </c>
      <c r="AD368">
        <v>1</v>
      </c>
      <c r="AE368" t="s">
        <v>72</v>
      </c>
      <c r="AI368">
        <v>8</v>
      </c>
      <c r="AJ368">
        <v>23</v>
      </c>
    </row>
    <row r="369" spans="1:36" x14ac:dyDescent="0.25">
      <c r="A369" t="s">
        <v>613</v>
      </c>
      <c r="B369">
        <v>367</v>
      </c>
      <c r="C369" t="s">
        <v>43</v>
      </c>
      <c r="D369">
        <v>1</v>
      </c>
      <c r="F369">
        <v>1</v>
      </c>
      <c r="G369" t="s">
        <v>73</v>
      </c>
      <c r="H369" t="s">
        <v>136</v>
      </c>
      <c r="I369" t="s">
        <v>75</v>
      </c>
      <c r="K369" t="s">
        <v>63</v>
      </c>
      <c r="L369">
        <v>1</v>
      </c>
      <c r="N369">
        <v>1</v>
      </c>
      <c r="O369" t="s">
        <v>103</v>
      </c>
      <c r="S369" t="s">
        <v>45</v>
      </c>
      <c r="T369">
        <v>2</v>
      </c>
      <c r="V369">
        <v>1</v>
      </c>
      <c r="W369" t="s">
        <v>47</v>
      </c>
      <c r="AA369" t="s">
        <v>227</v>
      </c>
      <c r="AB369">
        <v>1</v>
      </c>
      <c r="AC369">
        <v>1</v>
      </c>
      <c r="AD369">
        <v>1</v>
      </c>
      <c r="AE369" t="s">
        <v>228</v>
      </c>
      <c r="AI369">
        <v>3</v>
      </c>
      <c r="AJ369">
        <v>19</v>
      </c>
    </row>
    <row r="370" spans="1:36" x14ac:dyDescent="0.25">
      <c r="A370" t="s">
        <v>614</v>
      </c>
      <c r="B370">
        <v>368</v>
      </c>
      <c r="C370" t="s">
        <v>38</v>
      </c>
      <c r="D370">
        <v>1</v>
      </c>
      <c r="E370">
        <v>2</v>
      </c>
      <c r="F370">
        <v>2</v>
      </c>
      <c r="G370" t="s">
        <v>152</v>
      </c>
      <c r="H370" t="s">
        <v>70</v>
      </c>
      <c r="K370" t="s">
        <v>227</v>
      </c>
      <c r="L370">
        <v>3</v>
      </c>
      <c r="M370">
        <v>1</v>
      </c>
      <c r="N370">
        <v>1</v>
      </c>
      <c r="O370" t="s">
        <v>228</v>
      </c>
      <c r="P370" t="s">
        <v>231</v>
      </c>
      <c r="S370" t="s">
        <v>43</v>
      </c>
      <c r="T370">
        <v>1</v>
      </c>
      <c r="V370">
        <v>2</v>
      </c>
      <c r="W370" t="s">
        <v>73</v>
      </c>
      <c r="X370" t="s">
        <v>99</v>
      </c>
      <c r="AA370" t="s">
        <v>63</v>
      </c>
      <c r="AB370">
        <v>1</v>
      </c>
      <c r="AD370">
        <v>1</v>
      </c>
      <c r="AE370" t="s">
        <v>103</v>
      </c>
      <c r="AF370" t="s">
        <v>95</v>
      </c>
      <c r="AI370">
        <v>9</v>
      </c>
      <c r="AJ370">
        <v>27</v>
      </c>
    </row>
    <row r="371" spans="1:36" x14ac:dyDescent="0.25">
      <c r="A371" t="s">
        <v>615</v>
      </c>
      <c r="B371">
        <v>369</v>
      </c>
      <c r="C371" t="s">
        <v>45</v>
      </c>
      <c r="D371">
        <v>1</v>
      </c>
      <c r="F371">
        <v>1</v>
      </c>
      <c r="G371" t="s">
        <v>47</v>
      </c>
      <c r="K371" t="s">
        <v>63</v>
      </c>
      <c r="L371">
        <v>2</v>
      </c>
      <c r="N371">
        <v>1</v>
      </c>
      <c r="O371" t="s">
        <v>145</v>
      </c>
      <c r="P371" t="s">
        <v>95</v>
      </c>
      <c r="S371" t="s">
        <v>43</v>
      </c>
      <c r="T371">
        <v>2</v>
      </c>
      <c r="V371">
        <v>3</v>
      </c>
      <c r="W371" t="s">
        <v>135</v>
      </c>
      <c r="X371" t="s">
        <v>74</v>
      </c>
      <c r="AA371" t="s">
        <v>38</v>
      </c>
      <c r="AB371">
        <v>3</v>
      </c>
      <c r="AC371">
        <v>1</v>
      </c>
      <c r="AD371">
        <v>2</v>
      </c>
      <c r="AE371" t="s">
        <v>152</v>
      </c>
      <c r="AI371">
        <v>9</v>
      </c>
      <c r="AJ371">
        <v>22</v>
      </c>
    </row>
    <row r="372" spans="1:36" x14ac:dyDescent="0.25">
      <c r="A372" t="s">
        <v>616</v>
      </c>
      <c r="B372">
        <v>370</v>
      </c>
      <c r="C372" t="s">
        <v>43</v>
      </c>
      <c r="D372">
        <v>1</v>
      </c>
      <c r="F372">
        <v>1</v>
      </c>
      <c r="G372" t="s">
        <v>73</v>
      </c>
      <c r="H372" t="s">
        <v>99</v>
      </c>
      <c r="K372" t="s">
        <v>38</v>
      </c>
      <c r="L372">
        <v>1</v>
      </c>
      <c r="M372">
        <v>1</v>
      </c>
      <c r="N372">
        <v>1</v>
      </c>
      <c r="O372" t="s">
        <v>152</v>
      </c>
      <c r="S372" t="s">
        <v>45</v>
      </c>
      <c r="T372">
        <v>2</v>
      </c>
      <c r="V372">
        <v>1</v>
      </c>
      <c r="W372" t="s">
        <v>47</v>
      </c>
      <c r="AA372" t="s">
        <v>227</v>
      </c>
      <c r="AB372">
        <v>1</v>
      </c>
      <c r="AC372">
        <v>1</v>
      </c>
      <c r="AD372">
        <v>1</v>
      </c>
      <c r="AE372" t="s">
        <v>228</v>
      </c>
      <c r="AI372">
        <v>2</v>
      </c>
      <c r="AJ372">
        <v>18</v>
      </c>
    </row>
    <row r="373" spans="1:36" x14ac:dyDescent="0.25">
      <c r="A373" t="s">
        <v>617</v>
      </c>
      <c r="B373">
        <v>371</v>
      </c>
      <c r="C373" t="s">
        <v>43</v>
      </c>
      <c r="D373">
        <v>1</v>
      </c>
      <c r="F373">
        <v>1</v>
      </c>
      <c r="G373" t="s">
        <v>73</v>
      </c>
      <c r="K373" t="s">
        <v>38</v>
      </c>
      <c r="L373">
        <v>1</v>
      </c>
      <c r="M373">
        <v>1</v>
      </c>
      <c r="N373">
        <v>1</v>
      </c>
      <c r="O373" t="s">
        <v>152</v>
      </c>
      <c r="P373" t="s">
        <v>70</v>
      </c>
      <c r="S373" t="s">
        <v>63</v>
      </c>
      <c r="T373">
        <v>1</v>
      </c>
      <c r="V373">
        <v>1</v>
      </c>
      <c r="W373" t="s">
        <v>72</v>
      </c>
      <c r="AA373" t="s">
        <v>227</v>
      </c>
      <c r="AB373">
        <v>1</v>
      </c>
      <c r="AC373">
        <v>1</v>
      </c>
      <c r="AD373">
        <v>1</v>
      </c>
      <c r="AE373" t="s">
        <v>228</v>
      </c>
      <c r="AI373">
        <v>1</v>
      </c>
      <c r="AJ373">
        <v>28</v>
      </c>
    </row>
    <row r="374" spans="1:36" x14ac:dyDescent="0.25">
      <c r="A374" t="s">
        <v>618</v>
      </c>
      <c r="B374">
        <v>372</v>
      </c>
      <c r="C374" t="s">
        <v>45</v>
      </c>
      <c r="D374">
        <v>3</v>
      </c>
      <c r="F374">
        <v>1</v>
      </c>
      <c r="G374" t="s">
        <v>47</v>
      </c>
      <c r="K374" t="s">
        <v>63</v>
      </c>
      <c r="L374">
        <v>1</v>
      </c>
      <c r="N374">
        <v>1</v>
      </c>
      <c r="O374" t="s">
        <v>103</v>
      </c>
      <c r="P374" t="s">
        <v>95</v>
      </c>
      <c r="Q374" t="s">
        <v>147</v>
      </c>
      <c r="S374" t="s">
        <v>43</v>
      </c>
      <c r="T374">
        <v>2</v>
      </c>
      <c r="V374">
        <v>1</v>
      </c>
      <c r="W374" t="s">
        <v>135</v>
      </c>
      <c r="X374" t="s">
        <v>74</v>
      </c>
      <c r="Y374" t="s">
        <v>137</v>
      </c>
      <c r="AA374" t="s">
        <v>227</v>
      </c>
      <c r="AB374">
        <v>2</v>
      </c>
      <c r="AC374">
        <v>1</v>
      </c>
      <c r="AD374">
        <v>1</v>
      </c>
      <c r="AE374" t="s">
        <v>228</v>
      </c>
      <c r="AI374">
        <v>8</v>
      </c>
      <c r="AJ374">
        <v>25</v>
      </c>
    </row>
    <row r="375" spans="1:36" x14ac:dyDescent="0.25">
      <c r="A375" t="s">
        <v>619</v>
      </c>
      <c r="B375">
        <v>373</v>
      </c>
      <c r="C375" t="s">
        <v>45</v>
      </c>
      <c r="D375">
        <v>3</v>
      </c>
      <c r="F375">
        <v>1</v>
      </c>
      <c r="G375" t="s">
        <v>47</v>
      </c>
      <c r="K375" t="s">
        <v>38</v>
      </c>
      <c r="L375">
        <v>1</v>
      </c>
      <c r="M375">
        <v>1</v>
      </c>
      <c r="N375">
        <v>1</v>
      </c>
      <c r="O375" t="s">
        <v>152</v>
      </c>
      <c r="P375" t="s">
        <v>70</v>
      </c>
      <c r="S375" t="s">
        <v>43</v>
      </c>
      <c r="T375">
        <v>1</v>
      </c>
      <c r="V375">
        <v>2</v>
      </c>
      <c r="W375" t="s">
        <v>135</v>
      </c>
      <c r="X375" t="s">
        <v>74</v>
      </c>
      <c r="Y375" t="s">
        <v>100</v>
      </c>
      <c r="AA375" t="s">
        <v>227</v>
      </c>
      <c r="AB375">
        <v>1</v>
      </c>
      <c r="AC375">
        <v>1</v>
      </c>
      <c r="AD375">
        <v>1</v>
      </c>
      <c r="AE375" t="s">
        <v>228</v>
      </c>
      <c r="AI375">
        <v>6</v>
      </c>
      <c r="AJ375">
        <v>25</v>
      </c>
    </row>
    <row r="376" spans="1:36" x14ac:dyDescent="0.25">
      <c r="A376" t="s">
        <v>620</v>
      </c>
      <c r="B376">
        <v>374</v>
      </c>
      <c r="C376" t="s">
        <v>63</v>
      </c>
      <c r="D376">
        <v>1</v>
      </c>
      <c r="F376">
        <v>1</v>
      </c>
      <c r="G376" t="s">
        <v>103</v>
      </c>
      <c r="H376" t="s">
        <v>91</v>
      </c>
      <c r="I376" t="s">
        <v>147</v>
      </c>
      <c r="K376" t="s">
        <v>38</v>
      </c>
      <c r="L376">
        <v>1</v>
      </c>
      <c r="M376">
        <v>1</v>
      </c>
      <c r="N376">
        <v>1</v>
      </c>
      <c r="O376" t="s">
        <v>152</v>
      </c>
      <c r="P376" t="s">
        <v>70</v>
      </c>
      <c r="Q376" t="s">
        <v>153</v>
      </c>
      <c r="S376" t="s">
        <v>43</v>
      </c>
      <c r="T376">
        <v>2</v>
      </c>
      <c r="V376">
        <v>1</v>
      </c>
      <c r="W376" t="s">
        <v>135</v>
      </c>
      <c r="AA376" t="s">
        <v>227</v>
      </c>
      <c r="AB376">
        <v>1</v>
      </c>
      <c r="AC376">
        <v>1</v>
      </c>
      <c r="AD376">
        <v>1</v>
      </c>
      <c r="AE376" t="s">
        <v>228</v>
      </c>
      <c r="AI376">
        <v>5</v>
      </c>
      <c r="AJ376">
        <v>36</v>
      </c>
    </row>
    <row r="377" spans="1:36" x14ac:dyDescent="0.25">
      <c r="A377" t="s">
        <v>621</v>
      </c>
      <c r="B377">
        <v>375</v>
      </c>
      <c r="C377" t="s">
        <v>38</v>
      </c>
      <c r="D377">
        <v>1</v>
      </c>
      <c r="E377">
        <v>2</v>
      </c>
      <c r="F377">
        <v>2</v>
      </c>
      <c r="G377" t="s">
        <v>152</v>
      </c>
      <c r="K377" t="s">
        <v>227</v>
      </c>
      <c r="L377">
        <v>1</v>
      </c>
      <c r="M377">
        <v>1</v>
      </c>
      <c r="N377">
        <v>1</v>
      </c>
      <c r="O377" t="s">
        <v>228</v>
      </c>
      <c r="P377" t="s">
        <v>231</v>
      </c>
      <c r="S377" t="s">
        <v>45</v>
      </c>
      <c r="T377">
        <v>2</v>
      </c>
      <c r="V377">
        <v>1</v>
      </c>
      <c r="W377" t="s">
        <v>47</v>
      </c>
      <c r="AA377" t="s">
        <v>63</v>
      </c>
      <c r="AB377">
        <v>1</v>
      </c>
      <c r="AD377">
        <v>1</v>
      </c>
      <c r="AE377" t="s">
        <v>103</v>
      </c>
      <c r="AF377" t="s">
        <v>95</v>
      </c>
      <c r="AI377">
        <v>5</v>
      </c>
      <c r="AJ377">
        <v>22</v>
      </c>
    </row>
    <row r="378" spans="1:36" x14ac:dyDescent="0.25">
      <c r="A378" t="s">
        <v>622</v>
      </c>
      <c r="B378">
        <v>376</v>
      </c>
      <c r="C378" t="s">
        <v>45</v>
      </c>
      <c r="D378">
        <v>3</v>
      </c>
      <c r="F378">
        <v>1</v>
      </c>
      <c r="G378" t="s">
        <v>47</v>
      </c>
      <c r="K378" t="s">
        <v>38</v>
      </c>
      <c r="L378">
        <v>1</v>
      </c>
      <c r="M378">
        <v>1</v>
      </c>
      <c r="N378">
        <v>1</v>
      </c>
      <c r="O378" t="s">
        <v>152</v>
      </c>
      <c r="P378" t="s">
        <v>70</v>
      </c>
      <c r="S378" t="s">
        <v>63</v>
      </c>
      <c r="T378">
        <v>1</v>
      </c>
      <c r="V378">
        <v>1</v>
      </c>
      <c r="W378" t="s">
        <v>72</v>
      </c>
      <c r="X378" t="s">
        <v>91</v>
      </c>
      <c r="AA378" t="s">
        <v>227</v>
      </c>
      <c r="AB378">
        <v>1</v>
      </c>
      <c r="AC378">
        <v>1</v>
      </c>
      <c r="AD378">
        <v>1</v>
      </c>
      <c r="AE378" t="s">
        <v>228</v>
      </c>
      <c r="AI378">
        <v>4</v>
      </c>
      <c r="AJ378">
        <v>17</v>
      </c>
    </row>
    <row r="379" spans="1:36" x14ac:dyDescent="0.25">
      <c r="A379" t="s">
        <v>623</v>
      </c>
      <c r="B379">
        <v>377</v>
      </c>
      <c r="C379" t="s">
        <v>63</v>
      </c>
      <c r="D379">
        <v>2</v>
      </c>
      <c r="F379">
        <v>1</v>
      </c>
      <c r="G379" t="s">
        <v>103</v>
      </c>
      <c r="H379" t="s">
        <v>91</v>
      </c>
      <c r="K379" t="s">
        <v>38</v>
      </c>
      <c r="L379">
        <v>1</v>
      </c>
      <c r="M379">
        <v>1</v>
      </c>
      <c r="N379">
        <v>2</v>
      </c>
      <c r="O379" t="s">
        <v>67</v>
      </c>
      <c r="P379" t="s">
        <v>70</v>
      </c>
      <c r="S379" t="s">
        <v>45</v>
      </c>
      <c r="T379">
        <v>3</v>
      </c>
      <c r="V379">
        <v>2</v>
      </c>
      <c r="W379" t="s">
        <v>47</v>
      </c>
      <c r="X379" t="s">
        <v>76</v>
      </c>
      <c r="AA379" t="s">
        <v>227</v>
      </c>
      <c r="AB379">
        <v>1</v>
      </c>
      <c r="AC379">
        <v>1</v>
      </c>
      <c r="AD379">
        <v>1</v>
      </c>
      <c r="AE379" t="s">
        <v>228</v>
      </c>
      <c r="AI379">
        <v>8</v>
      </c>
      <c r="AJ379">
        <v>30</v>
      </c>
    </row>
  </sheetData>
  <phoneticPr fontId="3" type="noConversion"/>
  <conditionalFormatting sqref="B1:B1048576">
    <cfRule type="duplicateValues" dxfId="2044" priority="1"/>
  </conditionalFormatting>
  <conditionalFormatting sqref="A2:B379">
    <cfRule type="duplicateValues" dxfId="2043" priority="283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128"/>
  <sheetViews>
    <sheetView workbookViewId="0">
      <selection activeCell="L13" sqref="L13"/>
    </sheetView>
  </sheetViews>
  <sheetFormatPr defaultRowHeight="15" x14ac:dyDescent="0.25"/>
  <cols>
    <col min="1" max="1" width="10.5703125" bestFit="1" customWidth="1"/>
    <col min="2" max="2" width="13.5703125" customWidth="1"/>
    <col min="3" max="3" width="11.42578125" bestFit="1" customWidth="1"/>
    <col min="4" max="4" width="13.5703125" customWidth="1"/>
    <col min="5" max="5" width="11.42578125" bestFit="1" customWidth="1"/>
    <col min="6" max="6" width="13.5703125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19</v>
      </c>
      <c r="N3" s="3">
        <f>IF(ScenarioTeams4[[#This Row],[battles]],ScenarioTeams4[[#This Row],[wins]]/ScenarioTeams4[[#This Row],[battles]],0)</f>
        <v>0.3392857142857143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4" s="3">
        <f>IF(ScenarioTeams4[[#This Row],[battles]],ScenarioTeams4[[#This Row],[wins]]/ScenarioTeams4[[#This Row],[battles]],0)</f>
        <v>0.21428571428571427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5" s="3">
        <f>IF(ScenarioTeams4[[#This Row],[battles]],ScenarioTeams4[[#This Row],[wins]]/ScenarioTeams4[[#This Row],[battles]],0)</f>
        <v>0.19642857142857142</v>
      </c>
      <c r="P5" s="4" t="s">
        <v>158</v>
      </c>
      <c r="Q5" s="30">
        <f>MIN(Scenario4[turns])</f>
        <v>17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22</v>
      </c>
      <c r="N6" s="3">
        <f>IF(ScenarioTeams4[[#This Row],[battles]],ScenarioTeams4[[#This Row],[wins]]/ScenarioTeams4[[#This Row],[battles]],0)</f>
        <v>0.39285714285714285</v>
      </c>
      <c r="P6" s="5" t="s">
        <v>108</v>
      </c>
      <c r="Q6" s="31">
        <f>AVERAGE(Scenario4[turns])</f>
        <v>42.650793650793652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7" s="3">
        <f>IF(ScenarioTeams4[[#This Row],[battles]],ScenarioTeams4[[#This Row],[wins]]/ScenarioTeams4[[#This Row],[battles]],0)</f>
        <v>0.10714285714285714</v>
      </c>
      <c r="P7" s="5" t="s">
        <v>160</v>
      </c>
      <c r="Q7" s="31">
        <f>MAX(Scenario4[turns])</f>
        <v>68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48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227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16</v>
      </c>
      <c r="N8" s="3">
        <f>IF(ScenarioTeams4[[#This Row],[battles]],ScenarioTeams4[[#This Row],[wins]]/ScenarioTeams4[[#This Row],[battles]],0)</f>
        <v>0.2857142857142857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43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18</v>
      </c>
      <c r="N9" s="3">
        <f>IF(ScenarioTeams4[[#This Row],[battles]],ScenarioTeams4[[#This Row],[wins]]/ScenarioTeams4[[#This Row],[battles]],0)</f>
        <v>0.32142857142857145</v>
      </c>
      <c r="P9" s="4" t="s">
        <v>185</v>
      </c>
      <c r="Q9" s="30">
        <f>120000*$Q$6/1000/60</f>
        <v>85.30158730158729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45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10" s="3">
        <f>IF(ScenarioTeams4[[#This Row],[battles]],ScenarioTeams4[[#This Row],[wins]]/ScenarioTeams4[[#This Row],[battles]],0)</f>
        <v>0.21428571428571427</v>
      </c>
      <c r="P10" s="5" t="s">
        <v>186</v>
      </c>
      <c r="Q10" s="6">
        <f>Q9*COUNTA(ScenarioStat4[hero-1])/60/24*2</f>
        <v>14.927777777777775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" t="s">
        <v>63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1</v>
      </c>
      <c r="K11" t="s">
        <v>227</v>
      </c>
      <c r="L11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56</v>
      </c>
      <c r="M11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11" s="3">
        <f>IF(ScenarioTeams4[[#This Row],[battles]],ScenarioTeams4[[#This Row],[wins]]/ScenarioTeams4[[#This Row],[battles]],0)</f>
        <v>0.17857142857142858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33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" t="s">
        <v>38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33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3" t="s">
        <v>227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45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43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43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7" t="s">
        <v>43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227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56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45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63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9" t="s">
        <v>56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45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38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56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45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227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1" t="s">
        <v>56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63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56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2" t="s">
        <v>63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227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3" t="s">
        <v>56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38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227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33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43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33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45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6" t="s">
        <v>33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63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33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48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33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8" t="s">
        <v>227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9" t="s">
        <v>48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45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48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63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48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43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38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48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43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227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3" t="s">
        <v>48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45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63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48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38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48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5" t="s">
        <v>227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6" t="s">
        <v>48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7" t="s">
        <v>48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227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53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38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227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53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33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43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53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33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43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53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33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1" t="s">
        <v>43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53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33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227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53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3" t="s">
        <v>33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45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53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4" t="s">
        <v>33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45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53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33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227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53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33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63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53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33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227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53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38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227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53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9" t="s">
        <v>43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45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53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0" t="s">
        <v>43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45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53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1" t="s">
        <v>43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227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53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43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63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53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43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227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53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38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227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53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45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63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53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45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227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53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38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227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53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63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38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227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56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48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33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43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56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0" t="s">
        <v>48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33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45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56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48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33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56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48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33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56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3" t="s">
        <v>48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33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227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56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48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43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4" t="s">
        <v>45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56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48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43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5" t="s">
        <v>63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56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6" t="s">
        <v>48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43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56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48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7" t="s">
        <v>43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227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56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48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56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48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56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48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0" t="s">
        <v>45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227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56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48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56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48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227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2">
        <f>ScenarioStat4[[#This Row],[team-1-win]]+ScenarioStat4[[#This Row],[team-2-win]]+ScenarioStat4[[#This Row],[team-3-win]]+ScenarioStat4[[#This Row],[team-4-win]]</f>
        <v>1</v>
      </c>
    </row>
    <row r="73" spans="1:9" x14ac:dyDescent="0.25">
      <c r="A73" t="s">
        <v>56</v>
      </c>
      <c r="B7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3" t="s">
        <v>48</v>
      </c>
      <c r="D7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3" t="s">
        <v>38</v>
      </c>
      <c r="F7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3" t="s">
        <v>227</v>
      </c>
      <c r="H7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3">
        <f>ScenarioStat4[[#This Row],[team-1-win]]+ScenarioStat4[[#This Row],[team-2-win]]+ScenarioStat4[[#This Row],[team-3-win]]+ScenarioStat4[[#This Row],[team-4-win]]</f>
        <v>1</v>
      </c>
    </row>
    <row r="74" spans="1:9" x14ac:dyDescent="0.25">
      <c r="A74" t="s">
        <v>56</v>
      </c>
      <c r="B7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4" t="s">
        <v>33</v>
      </c>
      <c r="D7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4" t="s">
        <v>43</v>
      </c>
      <c r="F7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4" t="s">
        <v>45</v>
      </c>
      <c r="H7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4">
        <f>ScenarioStat4[[#This Row],[team-1-win]]+ScenarioStat4[[#This Row],[team-2-win]]+ScenarioStat4[[#This Row],[team-3-win]]+ScenarioStat4[[#This Row],[team-4-win]]</f>
        <v>1</v>
      </c>
    </row>
    <row r="75" spans="1:9" x14ac:dyDescent="0.25">
      <c r="A75" t="s">
        <v>56</v>
      </c>
      <c r="B7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5" t="s">
        <v>33</v>
      </c>
      <c r="D7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5" t="s">
        <v>43</v>
      </c>
      <c r="F7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5" t="s">
        <v>63</v>
      </c>
      <c r="H7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5">
        <f>ScenarioStat4[[#This Row],[team-1-win]]+ScenarioStat4[[#This Row],[team-2-win]]+ScenarioStat4[[#This Row],[team-3-win]]+ScenarioStat4[[#This Row],[team-4-win]]</f>
        <v>1</v>
      </c>
    </row>
    <row r="76" spans="1:9" x14ac:dyDescent="0.25">
      <c r="A76" t="s">
        <v>56</v>
      </c>
      <c r="B7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6" t="s">
        <v>33</v>
      </c>
      <c r="D7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6" t="s">
        <v>43</v>
      </c>
      <c r="F7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6" t="s">
        <v>38</v>
      </c>
      <c r="H7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6">
        <f>ScenarioStat4[[#This Row],[team-1-win]]+ScenarioStat4[[#This Row],[team-2-win]]+ScenarioStat4[[#This Row],[team-3-win]]+ScenarioStat4[[#This Row],[team-4-win]]</f>
        <v>1</v>
      </c>
    </row>
    <row r="77" spans="1:9" x14ac:dyDescent="0.25">
      <c r="A77" t="s">
        <v>56</v>
      </c>
      <c r="B7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7" t="s">
        <v>33</v>
      </c>
      <c r="D7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7" t="s">
        <v>43</v>
      </c>
      <c r="F7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7" t="s">
        <v>227</v>
      </c>
      <c r="H7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7">
        <f>ScenarioStat4[[#This Row],[team-1-win]]+ScenarioStat4[[#This Row],[team-2-win]]+ScenarioStat4[[#This Row],[team-3-win]]+ScenarioStat4[[#This Row],[team-4-win]]</f>
        <v>1</v>
      </c>
    </row>
    <row r="78" spans="1:9" x14ac:dyDescent="0.25">
      <c r="A78" t="s">
        <v>56</v>
      </c>
      <c r="B7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8" t="s">
        <v>33</v>
      </c>
      <c r="D7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8" t="s">
        <v>45</v>
      </c>
      <c r="F7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8" t="s">
        <v>63</v>
      </c>
      <c r="H7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8">
        <f>ScenarioStat4[[#This Row],[team-1-win]]+ScenarioStat4[[#This Row],[team-2-win]]+ScenarioStat4[[#This Row],[team-3-win]]+ScenarioStat4[[#This Row],[team-4-win]]</f>
        <v>1</v>
      </c>
    </row>
    <row r="79" spans="1:9" x14ac:dyDescent="0.25">
      <c r="A79" t="s">
        <v>56</v>
      </c>
      <c r="B7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9" t="s">
        <v>33</v>
      </c>
      <c r="D7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9" t="s">
        <v>45</v>
      </c>
      <c r="F7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9" t="s">
        <v>38</v>
      </c>
      <c r="H7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9">
        <f>ScenarioStat4[[#This Row],[team-1-win]]+ScenarioStat4[[#This Row],[team-2-win]]+ScenarioStat4[[#This Row],[team-3-win]]+ScenarioStat4[[#This Row],[team-4-win]]</f>
        <v>1</v>
      </c>
    </row>
    <row r="80" spans="1:9" x14ac:dyDescent="0.25">
      <c r="A80" t="s">
        <v>56</v>
      </c>
      <c r="B8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0" t="s">
        <v>33</v>
      </c>
      <c r="D8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0" t="s">
        <v>45</v>
      </c>
      <c r="F8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0" t="s">
        <v>227</v>
      </c>
      <c r="H8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0">
        <f>ScenarioStat4[[#This Row],[team-1-win]]+ScenarioStat4[[#This Row],[team-2-win]]+ScenarioStat4[[#This Row],[team-3-win]]+ScenarioStat4[[#This Row],[team-4-win]]</f>
        <v>1</v>
      </c>
    </row>
    <row r="81" spans="1:9" x14ac:dyDescent="0.25">
      <c r="A81" t="s">
        <v>56</v>
      </c>
      <c r="B8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1" t="s">
        <v>33</v>
      </c>
      <c r="D8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1" t="s">
        <v>63</v>
      </c>
      <c r="F8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1" t="s">
        <v>38</v>
      </c>
      <c r="H8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1">
        <f>ScenarioStat4[[#This Row],[team-1-win]]+ScenarioStat4[[#This Row],[team-2-win]]+ScenarioStat4[[#This Row],[team-3-win]]+ScenarioStat4[[#This Row],[team-4-win]]</f>
        <v>1</v>
      </c>
    </row>
    <row r="82" spans="1:9" x14ac:dyDescent="0.25">
      <c r="A82" t="s">
        <v>56</v>
      </c>
      <c r="B8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2" t="s">
        <v>33</v>
      </c>
      <c r="D8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2" t="s">
        <v>63</v>
      </c>
      <c r="F8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2" t="s">
        <v>227</v>
      </c>
      <c r="H8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2">
        <f>ScenarioStat4[[#This Row],[team-1-win]]+ScenarioStat4[[#This Row],[team-2-win]]+ScenarioStat4[[#This Row],[team-3-win]]+ScenarioStat4[[#This Row],[team-4-win]]</f>
        <v>1</v>
      </c>
    </row>
    <row r="83" spans="1:9" x14ac:dyDescent="0.25">
      <c r="A83" t="s">
        <v>56</v>
      </c>
      <c r="B8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83" t="s">
        <v>33</v>
      </c>
      <c r="D8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3" t="s">
        <v>38</v>
      </c>
      <c r="F8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3" t="s">
        <v>227</v>
      </c>
      <c r="H8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3">
        <f>ScenarioStat4[[#This Row],[team-1-win]]+ScenarioStat4[[#This Row],[team-2-win]]+ScenarioStat4[[#This Row],[team-3-win]]+ScenarioStat4[[#This Row],[team-4-win]]</f>
        <v>1</v>
      </c>
    </row>
    <row r="84" spans="1:9" x14ac:dyDescent="0.25">
      <c r="A84" t="s">
        <v>56</v>
      </c>
      <c r="B8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4" t="s">
        <v>43</v>
      </c>
      <c r="D8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4" t="s">
        <v>45</v>
      </c>
      <c r="F8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4" t="s">
        <v>63</v>
      </c>
      <c r="H8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4">
        <f>ScenarioStat4[[#This Row],[team-1-win]]+ScenarioStat4[[#This Row],[team-2-win]]+ScenarioStat4[[#This Row],[team-3-win]]+ScenarioStat4[[#This Row],[team-4-win]]</f>
        <v>1</v>
      </c>
    </row>
    <row r="85" spans="1:9" x14ac:dyDescent="0.25">
      <c r="A85" t="s">
        <v>56</v>
      </c>
      <c r="B8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5" t="s">
        <v>43</v>
      </c>
      <c r="D8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5" t="s">
        <v>45</v>
      </c>
      <c r="F8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5" t="s">
        <v>38</v>
      </c>
      <c r="H8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5">
        <f>ScenarioStat4[[#This Row],[team-1-win]]+ScenarioStat4[[#This Row],[team-2-win]]+ScenarioStat4[[#This Row],[team-3-win]]+ScenarioStat4[[#This Row],[team-4-win]]</f>
        <v>1</v>
      </c>
    </row>
    <row r="86" spans="1:9" x14ac:dyDescent="0.25">
      <c r="A86" t="s">
        <v>56</v>
      </c>
      <c r="B8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6" t="s">
        <v>43</v>
      </c>
      <c r="D8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6" t="s">
        <v>45</v>
      </c>
      <c r="F8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6" t="s">
        <v>227</v>
      </c>
      <c r="H8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6">
        <f>ScenarioStat4[[#This Row],[team-1-win]]+ScenarioStat4[[#This Row],[team-2-win]]+ScenarioStat4[[#This Row],[team-3-win]]+ScenarioStat4[[#This Row],[team-4-win]]</f>
        <v>1</v>
      </c>
    </row>
    <row r="87" spans="1:9" x14ac:dyDescent="0.25">
      <c r="A87" t="s">
        <v>56</v>
      </c>
      <c r="B8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7" t="s">
        <v>43</v>
      </c>
      <c r="D8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7" t="s">
        <v>63</v>
      </c>
      <c r="F8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7" t="s">
        <v>38</v>
      </c>
      <c r="H8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7">
        <f>ScenarioStat4[[#This Row],[team-1-win]]+ScenarioStat4[[#This Row],[team-2-win]]+ScenarioStat4[[#This Row],[team-3-win]]+ScenarioStat4[[#This Row],[team-4-win]]</f>
        <v>1</v>
      </c>
    </row>
    <row r="88" spans="1:9" x14ac:dyDescent="0.25">
      <c r="A88" t="s">
        <v>56</v>
      </c>
      <c r="B8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8" t="s">
        <v>43</v>
      </c>
      <c r="D8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8" t="s">
        <v>63</v>
      </c>
      <c r="F8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8" t="s">
        <v>227</v>
      </c>
      <c r="H8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8">
        <f>ScenarioStat4[[#This Row],[team-1-win]]+ScenarioStat4[[#This Row],[team-2-win]]+ScenarioStat4[[#This Row],[team-3-win]]+ScenarioStat4[[#This Row],[team-4-win]]</f>
        <v>1</v>
      </c>
    </row>
    <row r="89" spans="1:9" x14ac:dyDescent="0.25">
      <c r="A89" t="s">
        <v>56</v>
      </c>
      <c r="B8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89" t="s">
        <v>43</v>
      </c>
      <c r="D8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9" t="s">
        <v>38</v>
      </c>
      <c r="F8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9" t="s">
        <v>227</v>
      </c>
      <c r="H8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9">
        <f>ScenarioStat4[[#This Row],[team-1-win]]+ScenarioStat4[[#This Row],[team-2-win]]+ScenarioStat4[[#This Row],[team-3-win]]+ScenarioStat4[[#This Row],[team-4-win]]</f>
        <v>1</v>
      </c>
    </row>
    <row r="90" spans="1:9" x14ac:dyDescent="0.25">
      <c r="A90" t="s">
        <v>56</v>
      </c>
      <c r="B9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90" t="s">
        <v>45</v>
      </c>
      <c r="D9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0" t="s">
        <v>63</v>
      </c>
      <c r="F9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0" t="s">
        <v>38</v>
      </c>
      <c r="H9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0">
        <f>ScenarioStat4[[#This Row],[team-1-win]]+ScenarioStat4[[#This Row],[team-2-win]]+ScenarioStat4[[#This Row],[team-3-win]]+ScenarioStat4[[#This Row],[team-4-win]]</f>
        <v>1</v>
      </c>
    </row>
    <row r="91" spans="1:9" x14ac:dyDescent="0.25">
      <c r="A91" t="s">
        <v>56</v>
      </c>
      <c r="B9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1" t="s">
        <v>45</v>
      </c>
      <c r="D9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1" t="s">
        <v>63</v>
      </c>
      <c r="F9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91" t="s">
        <v>227</v>
      </c>
      <c r="H9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1">
        <f>ScenarioStat4[[#This Row],[team-1-win]]+ScenarioStat4[[#This Row],[team-2-win]]+ScenarioStat4[[#This Row],[team-3-win]]+ScenarioStat4[[#This Row],[team-4-win]]</f>
        <v>1</v>
      </c>
    </row>
    <row r="92" spans="1:9" x14ac:dyDescent="0.25">
      <c r="A92" t="s">
        <v>56</v>
      </c>
      <c r="B9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2" t="s">
        <v>45</v>
      </c>
      <c r="D9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92" t="s">
        <v>38</v>
      </c>
      <c r="F9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2" t="s">
        <v>227</v>
      </c>
      <c r="H9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2">
        <f>ScenarioStat4[[#This Row],[team-1-win]]+ScenarioStat4[[#This Row],[team-2-win]]+ScenarioStat4[[#This Row],[team-3-win]]+ScenarioStat4[[#This Row],[team-4-win]]</f>
        <v>1</v>
      </c>
    </row>
    <row r="93" spans="1:9" x14ac:dyDescent="0.25">
      <c r="A93" t="s">
        <v>56</v>
      </c>
      <c r="B9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3" t="s">
        <v>63</v>
      </c>
      <c r="D9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3" t="s">
        <v>38</v>
      </c>
      <c r="F9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93" t="s">
        <v>227</v>
      </c>
      <c r="H9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3">
        <f>ScenarioStat4[[#This Row],[team-1-win]]+ScenarioStat4[[#This Row],[team-2-win]]+ScenarioStat4[[#This Row],[team-3-win]]+ScenarioStat4[[#This Row],[team-4-win]]</f>
        <v>1</v>
      </c>
    </row>
    <row r="94" spans="1:9" x14ac:dyDescent="0.25">
      <c r="A94" t="s">
        <v>48</v>
      </c>
      <c r="B9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4" t="s">
        <v>33</v>
      </c>
      <c r="D9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4" t="s">
        <v>43</v>
      </c>
      <c r="F9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4" t="s">
        <v>45</v>
      </c>
      <c r="H9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4">
        <f>ScenarioStat4[[#This Row],[team-1-win]]+ScenarioStat4[[#This Row],[team-2-win]]+ScenarioStat4[[#This Row],[team-3-win]]+ScenarioStat4[[#This Row],[team-4-win]]</f>
        <v>1</v>
      </c>
    </row>
    <row r="95" spans="1:9" x14ac:dyDescent="0.25">
      <c r="A95" t="s">
        <v>48</v>
      </c>
      <c r="B9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95" t="s">
        <v>33</v>
      </c>
      <c r="D9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5" t="s">
        <v>43</v>
      </c>
      <c r="F9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5" t="s">
        <v>63</v>
      </c>
      <c r="H9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5">
        <f>ScenarioStat4[[#This Row],[team-1-win]]+ScenarioStat4[[#This Row],[team-2-win]]+ScenarioStat4[[#This Row],[team-3-win]]+ScenarioStat4[[#This Row],[team-4-win]]</f>
        <v>1</v>
      </c>
    </row>
    <row r="96" spans="1:9" x14ac:dyDescent="0.25">
      <c r="A96" t="s">
        <v>48</v>
      </c>
      <c r="B9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6" t="s">
        <v>33</v>
      </c>
      <c r="D9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96" t="s">
        <v>43</v>
      </c>
      <c r="F9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6" t="s">
        <v>38</v>
      </c>
      <c r="H9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6">
        <f>ScenarioStat4[[#This Row],[team-1-win]]+ScenarioStat4[[#This Row],[team-2-win]]+ScenarioStat4[[#This Row],[team-3-win]]+ScenarioStat4[[#This Row],[team-4-win]]</f>
        <v>1</v>
      </c>
    </row>
    <row r="97" spans="1:9" x14ac:dyDescent="0.25">
      <c r="A97" t="s">
        <v>48</v>
      </c>
      <c r="B9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7" t="s">
        <v>33</v>
      </c>
      <c r="D9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97" t="s">
        <v>43</v>
      </c>
      <c r="F9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7" t="s">
        <v>227</v>
      </c>
      <c r="H9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7">
        <f>ScenarioStat4[[#This Row],[team-1-win]]+ScenarioStat4[[#This Row],[team-2-win]]+ScenarioStat4[[#This Row],[team-3-win]]+ScenarioStat4[[#This Row],[team-4-win]]</f>
        <v>1</v>
      </c>
    </row>
    <row r="98" spans="1:9" x14ac:dyDescent="0.25">
      <c r="A98" t="s">
        <v>48</v>
      </c>
      <c r="B9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8" t="s">
        <v>33</v>
      </c>
      <c r="D9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8" t="s">
        <v>45</v>
      </c>
      <c r="F9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8" t="s">
        <v>63</v>
      </c>
      <c r="H9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8">
        <f>ScenarioStat4[[#This Row],[team-1-win]]+ScenarioStat4[[#This Row],[team-2-win]]+ScenarioStat4[[#This Row],[team-3-win]]+ScenarioStat4[[#This Row],[team-4-win]]</f>
        <v>1</v>
      </c>
    </row>
    <row r="99" spans="1:9" x14ac:dyDescent="0.25">
      <c r="A99" t="s">
        <v>48</v>
      </c>
      <c r="B9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9" t="s">
        <v>33</v>
      </c>
      <c r="D9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9" t="s">
        <v>45</v>
      </c>
      <c r="F9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99" t="s">
        <v>38</v>
      </c>
      <c r="H9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9">
        <f>ScenarioStat4[[#This Row],[team-1-win]]+ScenarioStat4[[#This Row],[team-2-win]]+ScenarioStat4[[#This Row],[team-3-win]]+ScenarioStat4[[#This Row],[team-4-win]]</f>
        <v>1</v>
      </c>
    </row>
    <row r="100" spans="1:9" x14ac:dyDescent="0.25">
      <c r="A100" t="s">
        <v>48</v>
      </c>
      <c r="B10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0" t="s">
        <v>33</v>
      </c>
      <c r="D10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0" t="s">
        <v>45</v>
      </c>
      <c r="F10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0" t="s">
        <v>227</v>
      </c>
      <c r="H10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0">
        <f>ScenarioStat4[[#This Row],[team-1-win]]+ScenarioStat4[[#This Row],[team-2-win]]+ScenarioStat4[[#This Row],[team-3-win]]+ScenarioStat4[[#This Row],[team-4-win]]</f>
        <v>1</v>
      </c>
    </row>
    <row r="101" spans="1:9" x14ac:dyDescent="0.25">
      <c r="A101" t="s">
        <v>48</v>
      </c>
      <c r="B10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1" t="s">
        <v>33</v>
      </c>
      <c r="D10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01" t="s">
        <v>63</v>
      </c>
      <c r="F10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1" t="s">
        <v>38</v>
      </c>
      <c r="H10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1">
        <f>ScenarioStat4[[#This Row],[team-1-win]]+ScenarioStat4[[#This Row],[team-2-win]]+ScenarioStat4[[#This Row],[team-3-win]]+ScenarioStat4[[#This Row],[team-4-win]]</f>
        <v>1</v>
      </c>
    </row>
    <row r="102" spans="1:9" x14ac:dyDescent="0.25">
      <c r="A102" t="s">
        <v>48</v>
      </c>
      <c r="B10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2" t="s">
        <v>33</v>
      </c>
      <c r="D10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02" t="s">
        <v>63</v>
      </c>
      <c r="F10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2" t="s">
        <v>227</v>
      </c>
      <c r="H10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2">
        <f>ScenarioStat4[[#This Row],[team-1-win]]+ScenarioStat4[[#This Row],[team-2-win]]+ScenarioStat4[[#This Row],[team-3-win]]+ScenarioStat4[[#This Row],[team-4-win]]</f>
        <v>1</v>
      </c>
    </row>
    <row r="103" spans="1:9" x14ac:dyDescent="0.25">
      <c r="A103" t="s">
        <v>48</v>
      </c>
      <c r="B10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3" t="s">
        <v>33</v>
      </c>
      <c r="D10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03" t="s">
        <v>38</v>
      </c>
      <c r="F10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3" t="s">
        <v>227</v>
      </c>
      <c r="H10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3">
        <f>ScenarioStat4[[#This Row],[team-1-win]]+ScenarioStat4[[#This Row],[team-2-win]]+ScenarioStat4[[#This Row],[team-3-win]]+ScenarioStat4[[#This Row],[team-4-win]]</f>
        <v>1</v>
      </c>
    </row>
    <row r="104" spans="1:9" x14ac:dyDescent="0.25">
      <c r="A104" t="s">
        <v>48</v>
      </c>
      <c r="B10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4" t="s">
        <v>43</v>
      </c>
      <c r="D10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4" t="s">
        <v>45</v>
      </c>
      <c r="F10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4" t="s">
        <v>63</v>
      </c>
      <c r="H10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4">
        <f>ScenarioStat4[[#This Row],[team-1-win]]+ScenarioStat4[[#This Row],[team-2-win]]+ScenarioStat4[[#This Row],[team-3-win]]+ScenarioStat4[[#This Row],[team-4-win]]</f>
        <v>1</v>
      </c>
    </row>
    <row r="105" spans="1:9" x14ac:dyDescent="0.25">
      <c r="A105" t="s">
        <v>48</v>
      </c>
      <c r="B10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05" t="s">
        <v>43</v>
      </c>
      <c r="D10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5" t="s">
        <v>45</v>
      </c>
      <c r="F10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5" t="s">
        <v>38</v>
      </c>
      <c r="H10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5">
        <f>ScenarioStat4[[#This Row],[team-1-win]]+ScenarioStat4[[#This Row],[team-2-win]]+ScenarioStat4[[#This Row],[team-3-win]]+ScenarioStat4[[#This Row],[team-4-win]]</f>
        <v>1</v>
      </c>
    </row>
    <row r="106" spans="1:9" x14ac:dyDescent="0.25">
      <c r="A106" t="s">
        <v>48</v>
      </c>
      <c r="B10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6" t="s">
        <v>43</v>
      </c>
      <c r="D10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6" t="s">
        <v>45</v>
      </c>
      <c r="F10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6" t="s">
        <v>227</v>
      </c>
      <c r="H10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6">
        <f>ScenarioStat4[[#This Row],[team-1-win]]+ScenarioStat4[[#This Row],[team-2-win]]+ScenarioStat4[[#This Row],[team-3-win]]+ScenarioStat4[[#This Row],[team-4-win]]</f>
        <v>1</v>
      </c>
    </row>
    <row r="107" spans="1:9" x14ac:dyDescent="0.25">
      <c r="A107" t="s">
        <v>48</v>
      </c>
      <c r="B10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7" t="s">
        <v>43</v>
      </c>
      <c r="D10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7" t="s">
        <v>63</v>
      </c>
      <c r="F10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7" t="s">
        <v>38</v>
      </c>
      <c r="H10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7">
        <f>ScenarioStat4[[#This Row],[team-1-win]]+ScenarioStat4[[#This Row],[team-2-win]]+ScenarioStat4[[#This Row],[team-3-win]]+ScenarioStat4[[#This Row],[team-4-win]]</f>
        <v>1</v>
      </c>
    </row>
    <row r="108" spans="1:9" x14ac:dyDescent="0.25">
      <c r="A108" t="s">
        <v>48</v>
      </c>
      <c r="B10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8" t="s">
        <v>43</v>
      </c>
      <c r="D10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8" t="s">
        <v>63</v>
      </c>
      <c r="F10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8" t="s">
        <v>227</v>
      </c>
      <c r="H10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8">
        <f>ScenarioStat4[[#This Row],[team-1-win]]+ScenarioStat4[[#This Row],[team-2-win]]+ScenarioStat4[[#This Row],[team-3-win]]+ScenarioStat4[[#This Row],[team-4-win]]</f>
        <v>1</v>
      </c>
    </row>
    <row r="109" spans="1:9" x14ac:dyDescent="0.25">
      <c r="A109" t="s">
        <v>48</v>
      </c>
      <c r="B10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9" t="s">
        <v>43</v>
      </c>
      <c r="D10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9" t="s">
        <v>38</v>
      </c>
      <c r="F10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9" t="s">
        <v>227</v>
      </c>
      <c r="H10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9">
        <f>ScenarioStat4[[#This Row],[team-1-win]]+ScenarioStat4[[#This Row],[team-2-win]]+ScenarioStat4[[#This Row],[team-3-win]]+ScenarioStat4[[#This Row],[team-4-win]]</f>
        <v>1</v>
      </c>
    </row>
    <row r="110" spans="1:9" x14ac:dyDescent="0.25">
      <c r="A110" t="s">
        <v>48</v>
      </c>
      <c r="B1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0" t="s">
        <v>45</v>
      </c>
      <c r="D1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0" t="s">
        <v>63</v>
      </c>
      <c r="F1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0" t="s">
        <v>38</v>
      </c>
      <c r="H11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0">
        <f>ScenarioStat4[[#This Row],[team-1-win]]+ScenarioStat4[[#This Row],[team-2-win]]+ScenarioStat4[[#This Row],[team-3-win]]+ScenarioStat4[[#This Row],[team-4-win]]</f>
        <v>1</v>
      </c>
    </row>
    <row r="111" spans="1:9" x14ac:dyDescent="0.25">
      <c r="A111" t="s">
        <v>48</v>
      </c>
      <c r="B11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11" t="s">
        <v>45</v>
      </c>
      <c r="D1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1" t="s">
        <v>63</v>
      </c>
      <c r="F1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1" t="s">
        <v>227</v>
      </c>
      <c r="H1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1">
        <f>ScenarioStat4[[#This Row],[team-1-win]]+ScenarioStat4[[#This Row],[team-2-win]]+ScenarioStat4[[#This Row],[team-3-win]]+ScenarioStat4[[#This Row],[team-4-win]]</f>
        <v>1</v>
      </c>
    </row>
    <row r="112" spans="1:9" x14ac:dyDescent="0.25">
      <c r="A112" t="s">
        <v>48</v>
      </c>
      <c r="B11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12" t="s">
        <v>45</v>
      </c>
      <c r="D1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2" t="s">
        <v>38</v>
      </c>
      <c r="F1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2" t="s">
        <v>227</v>
      </c>
      <c r="H1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2">
        <f>ScenarioStat4[[#This Row],[team-1-win]]+ScenarioStat4[[#This Row],[team-2-win]]+ScenarioStat4[[#This Row],[team-3-win]]+ScenarioStat4[[#This Row],[team-4-win]]</f>
        <v>1</v>
      </c>
    </row>
    <row r="113" spans="1:9" x14ac:dyDescent="0.25">
      <c r="A113" t="s">
        <v>48</v>
      </c>
      <c r="B1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3" t="s">
        <v>63</v>
      </c>
      <c r="D1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3" t="s">
        <v>38</v>
      </c>
      <c r="F11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13" t="s">
        <v>227</v>
      </c>
      <c r="H1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3">
        <f>ScenarioStat4[[#This Row],[team-1-win]]+ScenarioStat4[[#This Row],[team-2-win]]+ScenarioStat4[[#This Row],[team-3-win]]+ScenarioStat4[[#This Row],[team-4-win]]</f>
        <v>1</v>
      </c>
    </row>
    <row r="114" spans="1:9" x14ac:dyDescent="0.25">
      <c r="A114" t="s">
        <v>33</v>
      </c>
      <c r="B1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4" t="s">
        <v>43</v>
      </c>
      <c r="D1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4" t="s">
        <v>45</v>
      </c>
      <c r="F1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4" t="s">
        <v>63</v>
      </c>
      <c r="H1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4">
        <f>ScenarioStat4[[#This Row],[team-1-win]]+ScenarioStat4[[#This Row],[team-2-win]]+ScenarioStat4[[#This Row],[team-3-win]]+ScenarioStat4[[#This Row],[team-4-win]]</f>
        <v>1</v>
      </c>
    </row>
    <row r="115" spans="1:9" x14ac:dyDescent="0.25">
      <c r="A115" t="s">
        <v>33</v>
      </c>
      <c r="B1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5" t="s">
        <v>43</v>
      </c>
      <c r="D1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5" t="s">
        <v>45</v>
      </c>
      <c r="F1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5" t="s">
        <v>38</v>
      </c>
      <c r="H11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5">
        <f>ScenarioStat4[[#This Row],[team-1-win]]+ScenarioStat4[[#This Row],[team-2-win]]+ScenarioStat4[[#This Row],[team-3-win]]+ScenarioStat4[[#This Row],[team-4-win]]</f>
        <v>1</v>
      </c>
    </row>
    <row r="116" spans="1:9" x14ac:dyDescent="0.25">
      <c r="A116" t="s">
        <v>33</v>
      </c>
      <c r="B11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16" t="s">
        <v>43</v>
      </c>
      <c r="D1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6" t="s">
        <v>45</v>
      </c>
      <c r="F1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6" t="s">
        <v>227</v>
      </c>
      <c r="H1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6">
        <f>ScenarioStat4[[#This Row],[team-1-win]]+ScenarioStat4[[#This Row],[team-2-win]]+ScenarioStat4[[#This Row],[team-3-win]]+ScenarioStat4[[#This Row],[team-4-win]]</f>
        <v>1</v>
      </c>
    </row>
    <row r="117" spans="1:9" x14ac:dyDescent="0.25">
      <c r="A117" t="s">
        <v>33</v>
      </c>
      <c r="B1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7" t="s">
        <v>43</v>
      </c>
      <c r="D11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17" t="s">
        <v>63</v>
      </c>
      <c r="F1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7" t="s">
        <v>38</v>
      </c>
      <c r="H1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7">
        <f>ScenarioStat4[[#This Row],[team-1-win]]+ScenarioStat4[[#This Row],[team-2-win]]+ScenarioStat4[[#This Row],[team-3-win]]+ScenarioStat4[[#This Row],[team-4-win]]</f>
        <v>1</v>
      </c>
    </row>
    <row r="118" spans="1:9" x14ac:dyDescent="0.25">
      <c r="A118" t="s">
        <v>33</v>
      </c>
      <c r="B11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18" t="s">
        <v>43</v>
      </c>
      <c r="D1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8" t="s">
        <v>63</v>
      </c>
      <c r="F1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8" t="s">
        <v>227</v>
      </c>
      <c r="H1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8">
        <f>ScenarioStat4[[#This Row],[team-1-win]]+ScenarioStat4[[#This Row],[team-2-win]]+ScenarioStat4[[#This Row],[team-3-win]]+ScenarioStat4[[#This Row],[team-4-win]]</f>
        <v>1</v>
      </c>
    </row>
    <row r="119" spans="1:9" x14ac:dyDescent="0.25">
      <c r="A119" t="s">
        <v>33</v>
      </c>
      <c r="B1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9" t="s">
        <v>43</v>
      </c>
      <c r="D1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9" t="s">
        <v>38</v>
      </c>
      <c r="F1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9" t="s">
        <v>227</v>
      </c>
      <c r="H1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9">
        <f>ScenarioStat4[[#This Row],[team-1-win]]+ScenarioStat4[[#This Row],[team-2-win]]+ScenarioStat4[[#This Row],[team-3-win]]+ScenarioStat4[[#This Row],[team-4-win]]</f>
        <v>1</v>
      </c>
    </row>
    <row r="120" spans="1:9" x14ac:dyDescent="0.25">
      <c r="A120" t="s">
        <v>33</v>
      </c>
      <c r="B1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0" t="s">
        <v>45</v>
      </c>
      <c r="D1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0" t="s">
        <v>63</v>
      </c>
      <c r="F1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0" t="s">
        <v>38</v>
      </c>
      <c r="H1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0">
        <f>ScenarioStat4[[#This Row],[team-1-win]]+ScenarioStat4[[#This Row],[team-2-win]]+ScenarioStat4[[#This Row],[team-3-win]]+ScenarioStat4[[#This Row],[team-4-win]]</f>
        <v>1</v>
      </c>
    </row>
    <row r="121" spans="1:9" x14ac:dyDescent="0.25">
      <c r="A121" t="s">
        <v>33</v>
      </c>
      <c r="B12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21" t="s">
        <v>45</v>
      </c>
      <c r="D1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1" t="s">
        <v>63</v>
      </c>
      <c r="F1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1" t="s">
        <v>227</v>
      </c>
      <c r="H1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1">
        <f>ScenarioStat4[[#This Row],[team-1-win]]+ScenarioStat4[[#This Row],[team-2-win]]+ScenarioStat4[[#This Row],[team-3-win]]+ScenarioStat4[[#This Row],[team-4-win]]</f>
        <v>1</v>
      </c>
    </row>
    <row r="122" spans="1:9" x14ac:dyDescent="0.25">
      <c r="A122" t="s">
        <v>33</v>
      </c>
      <c r="B1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2" t="s">
        <v>45</v>
      </c>
      <c r="D12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2" t="s">
        <v>38</v>
      </c>
      <c r="F1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2" t="s">
        <v>227</v>
      </c>
      <c r="H1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2">
        <f>ScenarioStat4[[#This Row],[team-1-win]]+ScenarioStat4[[#This Row],[team-2-win]]+ScenarioStat4[[#This Row],[team-3-win]]+ScenarioStat4[[#This Row],[team-4-win]]</f>
        <v>1</v>
      </c>
    </row>
    <row r="123" spans="1:9" x14ac:dyDescent="0.25">
      <c r="A123" t="s">
        <v>33</v>
      </c>
      <c r="B1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3" t="s">
        <v>63</v>
      </c>
      <c r="D12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3" t="s">
        <v>38</v>
      </c>
      <c r="F1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3" t="s">
        <v>227</v>
      </c>
      <c r="H1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3">
        <f>ScenarioStat4[[#This Row],[team-1-win]]+ScenarioStat4[[#This Row],[team-2-win]]+ScenarioStat4[[#This Row],[team-3-win]]+ScenarioStat4[[#This Row],[team-4-win]]</f>
        <v>1</v>
      </c>
    </row>
    <row r="124" spans="1:9" x14ac:dyDescent="0.25">
      <c r="A124" t="s">
        <v>43</v>
      </c>
      <c r="B1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4" t="s">
        <v>45</v>
      </c>
      <c r="D1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4" t="s">
        <v>63</v>
      </c>
      <c r="F1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4" t="s">
        <v>38</v>
      </c>
      <c r="H1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4">
        <f>ScenarioStat4[[#This Row],[team-1-win]]+ScenarioStat4[[#This Row],[team-2-win]]+ScenarioStat4[[#This Row],[team-3-win]]+ScenarioStat4[[#This Row],[team-4-win]]</f>
        <v>1</v>
      </c>
    </row>
    <row r="125" spans="1:9" x14ac:dyDescent="0.25">
      <c r="A125" t="s">
        <v>43</v>
      </c>
      <c r="B1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5" t="s">
        <v>45</v>
      </c>
      <c r="D1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5" t="s">
        <v>63</v>
      </c>
      <c r="F12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5" t="s">
        <v>227</v>
      </c>
      <c r="H1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5">
        <f>ScenarioStat4[[#This Row],[team-1-win]]+ScenarioStat4[[#This Row],[team-2-win]]+ScenarioStat4[[#This Row],[team-3-win]]+ScenarioStat4[[#This Row],[team-4-win]]</f>
        <v>1</v>
      </c>
    </row>
    <row r="126" spans="1:9" x14ac:dyDescent="0.25">
      <c r="A126" t="s">
        <v>43</v>
      </c>
      <c r="B1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6" t="s">
        <v>45</v>
      </c>
      <c r="D12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6" t="s">
        <v>38</v>
      </c>
      <c r="F1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6" t="s">
        <v>227</v>
      </c>
      <c r="H1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6">
        <f>ScenarioStat4[[#This Row],[team-1-win]]+ScenarioStat4[[#This Row],[team-2-win]]+ScenarioStat4[[#This Row],[team-3-win]]+ScenarioStat4[[#This Row],[team-4-win]]</f>
        <v>1</v>
      </c>
    </row>
    <row r="127" spans="1:9" x14ac:dyDescent="0.25">
      <c r="A127" t="s">
        <v>43</v>
      </c>
      <c r="B1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7" t="s">
        <v>63</v>
      </c>
      <c r="D12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7" t="s">
        <v>38</v>
      </c>
      <c r="F1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7" t="s">
        <v>227</v>
      </c>
      <c r="H1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7">
        <f>ScenarioStat4[[#This Row],[team-1-win]]+ScenarioStat4[[#This Row],[team-2-win]]+ScenarioStat4[[#This Row],[team-3-win]]+ScenarioStat4[[#This Row],[team-4-win]]</f>
        <v>1</v>
      </c>
    </row>
    <row r="128" spans="1:9" x14ac:dyDescent="0.25">
      <c r="A128" t="s">
        <v>45</v>
      </c>
      <c r="B1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8" t="s">
        <v>63</v>
      </c>
      <c r="D1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8" t="s">
        <v>38</v>
      </c>
      <c r="F12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28" t="s">
        <v>227</v>
      </c>
      <c r="H1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8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379"/>
  <sheetViews>
    <sheetView workbookViewId="0">
      <selection activeCell="AL8" sqref="AL8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1567</v>
      </c>
      <c r="B2">
        <v>0</v>
      </c>
      <c r="C2" t="s">
        <v>53</v>
      </c>
      <c r="D2">
        <v>3</v>
      </c>
      <c r="E2">
        <v>3</v>
      </c>
      <c r="F2">
        <v>2</v>
      </c>
      <c r="G2" t="s">
        <v>112</v>
      </c>
      <c r="H2" t="s">
        <v>55</v>
      </c>
      <c r="I2" t="s">
        <v>114</v>
      </c>
      <c r="K2" t="s">
        <v>56</v>
      </c>
      <c r="L2">
        <v>3</v>
      </c>
      <c r="N2">
        <v>1</v>
      </c>
      <c r="O2" t="s">
        <v>120</v>
      </c>
      <c r="S2" t="s">
        <v>48</v>
      </c>
      <c r="T2">
        <v>3</v>
      </c>
      <c r="V2">
        <v>2</v>
      </c>
      <c r="W2" t="s">
        <v>49</v>
      </c>
      <c r="X2" t="s">
        <v>84</v>
      </c>
      <c r="Y2" t="s">
        <v>127</v>
      </c>
      <c r="Z2" t="s">
        <v>52</v>
      </c>
      <c r="AA2" t="s">
        <v>33</v>
      </c>
      <c r="AB2">
        <v>1</v>
      </c>
      <c r="AD2">
        <v>2</v>
      </c>
      <c r="AE2" t="s">
        <v>65</v>
      </c>
      <c r="AF2" t="s">
        <v>130</v>
      </c>
      <c r="AG2" t="s">
        <v>36</v>
      </c>
      <c r="AI2">
        <v>0</v>
      </c>
      <c r="AJ2">
        <v>22</v>
      </c>
    </row>
    <row r="3" spans="1:36" x14ac:dyDescent="0.25">
      <c r="A3" t="s">
        <v>1283</v>
      </c>
      <c r="B3">
        <v>1</v>
      </c>
      <c r="C3" t="s">
        <v>48</v>
      </c>
      <c r="D3">
        <v>3</v>
      </c>
      <c r="F3">
        <v>3</v>
      </c>
      <c r="G3" t="s">
        <v>49</v>
      </c>
      <c r="H3" t="s">
        <v>84</v>
      </c>
      <c r="I3" t="s">
        <v>90</v>
      </c>
      <c r="J3" t="s">
        <v>129</v>
      </c>
      <c r="K3" t="s">
        <v>43</v>
      </c>
      <c r="L3">
        <v>1</v>
      </c>
      <c r="N3">
        <v>2</v>
      </c>
      <c r="O3" t="s">
        <v>73</v>
      </c>
      <c r="P3" t="s">
        <v>99</v>
      </c>
      <c r="Q3" t="s">
        <v>75</v>
      </c>
      <c r="R3" t="s">
        <v>101</v>
      </c>
      <c r="S3" t="s">
        <v>53</v>
      </c>
      <c r="T3">
        <v>3</v>
      </c>
      <c r="U3">
        <v>3</v>
      </c>
      <c r="V3">
        <v>3</v>
      </c>
      <c r="W3" t="s">
        <v>112</v>
      </c>
      <c r="X3" t="s">
        <v>83</v>
      </c>
      <c r="Y3" t="s">
        <v>97</v>
      </c>
      <c r="Z3" t="s">
        <v>98</v>
      </c>
      <c r="AA3" t="s">
        <v>56</v>
      </c>
      <c r="AB3">
        <v>3</v>
      </c>
      <c r="AD3">
        <v>1</v>
      </c>
      <c r="AE3" t="s">
        <v>120</v>
      </c>
      <c r="AF3" t="s">
        <v>122</v>
      </c>
      <c r="AI3">
        <v>0</v>
      </c>
      <c r="AJ3">
        <v>42</v>
      </c>
    </row>
    <row r="4" spans="1:36" x14ac:dyDescent="0.25">
      <c r="A4" t="s">
        <v>1284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83</v>
      </c>
      <c r="I4" t="s">
        <v>114</v>
      </c>
      <c r="J4" t="s">
        <v>115</v>
      </c>
      <c r="K4" t="s">
        <v>56</v>
      </c>
      <c r="L4">
        <v>1</v>
      </c>
      <c r="N4">
        <v>3</v>
      </c>
      <c r="O4" t="s">
        <v>120</v>
      </c>
      <c r="P4" t="s">
        <v>121</v>
      </c>
      <c r="Q4" t="s">
        <v>123</v>
      </c>
      <c r="S4" t="s">
        <v>48</v>
      </c>
      <c r="T4">
        <v>3</v>
      </c>
      <c r="V4">
        <v>3</v>
      </c>
      <c r="W4" t="s">
        <v>49</v>
      </c>
      <c r="X4" t="s">
        <v>84</v>
      </c>
      <c r="Y4" t="s">
        <v>90</v>
      </c>
      <c r="Z4" t="s">
        <v>52</v>
      </c>
      <c r="AA4" t="s">
        <v>45</v>
      </c>
      <c r="AB4">
        <v>3</v>
      </c>
      <c r="AD4">
        <v>1</v>
      </c>
      <c r="AE4" t="s">
        <v>140</v>
      </c>
      <c r="AF4" t="s">
        <v>141</v>
      </c>
      <c r="AG4" t="s">
        <v>93</v>
      </c>
      <c r="AI4">
        <v>0</v>
      </c>
      <c r="AJ4">
        <v>43</v>
      </c>
    </row>
    <row r="5" spans="1:36" x14ac:dyDescent="0.25">
      <c r="A5" t="s">
        <v>1568</v>
      </c>
      <c r="B5">
        <v>3</v>
      </c>
      <c r="C5" t="s">
        <v>48</v>
      </c>
      <c r="D5">
        <v>1</v>
      </c>
      <c r="F5">
        <v>1</v>
      </c>
      <c r="G5" t="s">
        <v>49</v>
      </c>
      <c r="H5" t="s">
        <v>84</v>
      </c>
      <c r="I5" t="s">
        <v>127</v>
      </c>
      <c r="K5" t="s">
        <v>63</v>
      </c>
      <c r="L5">
        <v>3</v>
      </c>
      <c r="N5">
        <v>1</v>
      </c>
      <c r="O5" t="s">
        <v>103</v>
      </c>
      <c r="P5" t="s">
        <v>91</v>
      </c>
      <c r="Q5" t="s">
        <v>147</v>
      </c>
      <c r="R5" t="s">
        <v>151</v>
      </c>
      <c r="S5" t="s">
        <v>53</v>
      </c>
      <c r="T5">
        <v>3</v>
      </c>
      <c r="U5">
        <v>1</v>
      </c>
      <c r="V5">
        <v>2</v>
      </c>
      <c r="W5" t="s">
        <v>112</v>
      </c>
      <c r="X5" t="s">
        <v>55</v>
      </c>
      <c r="Y5" t="s">
        <v>114</v>
      </c>
      <c r="Z5" t="s">
        <v>98</v>
      </c>
      <c r="AA5" t="s">
        <v>56</v>
      </c>
      <c r="AB5">
        <v>3</v>
      </c>
      <c r="AD5">
        <v>1</v>
      </c>
      <c r="AE5" t="s">
        <v>57</v>
      </c>
      <c r="AF5" t="s">
        <v>122</v>
      </c>
      <c r="AI5">
        <v>0</v>
      </c>
      <c r="AJ5">
        <v>21</v>
      </c>
    </row>
    <row r="6" spans="1:36" x14ac:dyDescent="0.25">
      <c r="A6" t="s">
        <v>1285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114</v>
      </c>
      <c r="J6" t="s">
        <v>98</v>
      </c>
      <c r="K6" t="s">
        <v>56</v>
      </c>
      <c r="L6">
        <v>3</v>
      </c>
      <c r="N6">
        <v>1</v>
      </c>
      <c r="O6" t="s">
        <v>57</v>
      </c>
      <c r="P6" t="s">
        <v>122</v>
      </c>
      <c r="Q6" t="s">
        <v>87</v>
      </c>
      <c r="R6" t="s">
        <v>125</v>
      </c>
      <c r="S6" t="s">
        <v>48</v>
      </c>
      <c r="T6">
        <v>3</v>
      </c>
      <c r="V6">
        <v>3</v>
      </c>
      <c r="W6" t="s">
        <v>49</v>
      </c>
      <c r="X6" t="s">
        <v>84</v>
      </c>
      <c r="Y6" t="s">
        <v>90</v>
      </c>
      <c r="Z6" t="s">
        <v>52</v>
      </c>
      <c r="AA6" t="s">
        <v>38</v>
      </c>
      <c r="AB6">
        <v>1</v>
      </c>
      <c r="AC6">
        <v>1</v>
      </c>
      <c r="AD6">
        <v>3</v>
      </c>
      <c r="AE6" t="s">
        <v>152</v>
      </c>
      <c r="AI6">
        <v>0</v>
      </c>
      <c r="AJ6">
        <v>38</v>
      </c>
    </row>
    <row r="7" spans="1:36" x14ac:dyDescent="0.25">
      <c r="A7" s="36" t="s">
        <v>1286</v>
      </c>
      <c r="B7">
        <v>5</v>
      </c>
      <c r="C7" t="s">
        <v>53</v>
      </c>
      <c r="D7">
        <v>3</v>
      </c>
      <c r="E7">
        <v>3</v>
      </c>
      <c r="F7">
        <v>3</v>
      </c>
      <c r="G7" t="s">
        <v>112</v>
      </c>
      <c r="H7" t="s">
        <v>83</v>
      </c>
      <c r="I7" t="s">
        <v>114</v>
      </c>
      <c r="J7" t="s">
        <v>98</v>
      </c>
      <c r="K7" t="s">
        <v>56</v>
      </c>
      <c r="L7">
        <v>3</v>
      </c>
      <c r="N7">
        <v>2</v>
      </c>
      <c r="O7" t="s">
        <v>57</v>
      </c>
      <c r="P7" t="s">
        <v>122</v>
      </c>
      <c r="Q7" t="s">
        <v>85</v>
      </c>
      <c r="R7" t="s">
        <v>125</v>
      </c>
      <c r="S7" t="s">
        <v>48</v>
      </c>
      <c r="T7">
        <v>3</v>
      </c>
      <c r="V7">
        <v>3</v>
      </c>
      <c r="W7" t="s">
        <v>49</v>
      </c>
      <c r="X7" t="s">
        <v>84</v>
      </c>
      <c r="Y7" t="s">
        <v>90</v>
      </c>
      <c r="Z7" t="s">
        <v>52</v>
      </c>
      <c r="AA7" t="s">
        <v>227</v>
      </c>
      <c r="AB7">
        <v>2</v>
      </c>
      <c r="AC7">
        <v>1</v>
      </c>
      <c r="AD7">
        <v>3</v>
      </c>
      <c r="AE7" t="s">
        <v>228</v>
      </c>
      <c r="AF7" t="s">
        <v>231</v>
      </c>
      <c r="AI7">
        <v>0</v>
      </c>
      <c r="AJ7">
        <v>43</v>
      </c>
    </row>
    <row r="8" spans="1:36" x14ac:dyDescent="0.25">
      <c r="A8" t="s">
        <v>1287</v>
      </c>
      <c r="B8">
        <v>6</v>
      </c>
      <c r="C8" t="s">
        <v>33</v>
      </c>
      <c r="D8">
        <v>2</v>
      </c>
      <c r="F8">
        <v>2</v>
      </c>
      <c r="G8" t="s">
        <v>34</v>
      </c>
      <c r="H8" t="s">
        <v>130</v>
      </c>
      <c r="I8" t="s">
        <v>132</v>
      </c>
      <c r="K8" t="s">
        <v>43</v>
      </c>
      <c r="L8">
        <v>2</v>
      </c>
      <c r="N8">
        <v>1</v>
      </c>
      <c r="O8" t="s">
        <v>135</v>
      </c>
      <c r="P8" t="s">
        <v>99</v>
      </c>
      <c r="Q8" t="s">
        <v>75</v>
      </c>
      <c r="S8" t="s">
        <v>53</v>
      </c>
      <c r="T8">
        <v>1</v>
      </c>
      <c r="U8">
        <v>1</v>
      </c>
      <c r="V8">
        <v>2</v>
      </c>
      <c r="W8" t="s">
        <v>112</v>
      </c>
      <c r="AA8" t="s">
        <v>56</v>
      </c>
      <c r="AB8">
        <v>3</v>
      </c>
      <c r="AD8">
        <v>2</v>
      </c>
      <c r="AE8" t="s">
        <v>120</v>
      </c>
      <c r="AI8">
        <v>0</v>
      </c>
      <c r="AJ8">
        <v>15</v>
      </c>
    </row>
    <row r="9" spans="1:36" x14ac:dyDescent="0.25">
      <c r="A9" t="s">
        <v>1569</v>
      </c>
      <c r="B9">
        <v>7</v>
      </c>
      <c r="C9" t="s">
        <v>33</v>
      </c>
      <c r="D9">
        <v>3</v>
      </c>
      <c r="F9">
        <v>1</v>
      </c>
      <c r="G9" t="s">
        <v>65</v>
      </c>
      <c r="H9" t="s">
        <v>130</v>
      </c>
      <c r="I9" t="s">
        <v>36</v>
      </c>
      <c r="J9" t="s">
        <v>37</v>
      </c>
      <c r="K9" t="s">
        <v>45</v>
      </c>
      <c r="L9">
        <v>3</v>
      </c>
      <c r="N9">
        <v>1</v>
      </c>
      <c r="O9" t="s">
        <v>140</v>
      </c>
      <c r="S9" t="s">
        <v>53</v>
      </c>
      <c r="T9">
        <v>1</v>
      </c>
      <c r="U9">
        <v>1</v>
      </c>
      <c r="V9">
        <v>2</v>
      </c>
      <c r="W9" t="s">
        <v>112</v>
      </c>
      <c r="X9" t="s">
        <v>113</v>
      </c>
      <c r="Y9" t="s">
        <v>97</v>
      </c>
      <c r="Z9" t="s">
        <v>116</v>
      </c>
      <c r="AA9" t="s">
        <v>56</v>
      </c>
      <c r="AB9">
        <v>3</v>
      </c>
      <c r="AD9">
        <v>1</v>
      </c>
      <c r="AE9" t="s">
        <v>120</v>
      </c>
      <c r="AF9" t="s">
        <v>122</v>
      </c>
      <c r="AG9" t="s">
        <v>87</v>
      </c>
      <c r="AH9" t="s">
        <v>88</v>
      </c>
      <c r="AI9">
        <v>0</v>
      </c>
      <c r="AJ9">
        <v>21</v>
      </c>
    </row>
    <row r="10" spans="1:36" x14ac:dyDescent="0.25">
      <c r="A10" t="s">
        <v>1570</v>
      </c>
      <c r="B10">
        <v>8</v>
      </c>
      <c r="C10" t="s">
        <v>33</v>
      </c>
      <c r="D10">
        <v>3</v>
      </c>
      <c r="F10">
        <v>2</v>
      </c>
      <c r="G10" t="s">
        <v>65</v>
      </c>
      <c r="H10" t="s">
        <v>66</v>
      </c>
      <c r="I10" t="s">
        <v>132</v>
      </c>
      <c r="K10" t="s">
        <v>63</v>
      </c>
      <c r="L10">
        <v>3</v>
      </c>
      <c r="N10">
        <v>1</v>
      </c>
      <c r="O10" t="s">
        <v>103</v>
      </c>
      <c r="P10" t="s">
        <v>91</v>
      </c>
      <c r="Q10" t="s">
        <v>148</v>
      </c>
      <c r="R10" t="s">
        <v>150</v>
      </c>
      <c r="S10" t="s">
        <v>53</v>
      </c>
      <c r="T10">
        <v>1</v>
      </c>
      <c r="U10">
        <v>3</v>
      </c>
      <c r="V10">
        <v>3</v>
      </c>
      <c r="W10" t="s">
        <v>112</v>
      </c>
      <c r="AA10" t="s">
        <v>56</v>
      </c>
      <c r="AB10">
        <v>3</v>
      </c>
      <c r="AD10">
        <v>1</v>
      </c>
      <c r="AE10" t="s">
        <v>120</v>
      </c>
      <c r="AI10">
        <v>0</v>
      </c>
      <c r="AJ10">
        <v>21</v>
      </c>
    </row>
    <row r="11" spans="1:36" x14ac:dyDescent="0.25">
      <c r="A11" t="s">
        <v>1288</v>
      </c>
      <c r="B11">
        <v>9</v>
      </c>
      <c r="C11" t="s">
        <v>53</v>
      </c>
      <c r="D11">
        <v>1</v>
      </c>
      <c r="E11">
        <v>3</v>
      </c>
      <c r="F11">
        <v>2</v>
      </c>
      <c r="G11" t="s">
        <v>112</v>
      </c>
      <c r="H11" t="s">
        <v>83</v>
      </c>
      <c r="K11" t="s">
        <v>56</v>
      </c>
      <c r="L11">
        <v>3</v>
      </c>
      <c r="N11">
        <v>1</v>
      </c>
      <c r="O11" t="s">
        <v>120</v>
      </c>
      <c r="P11" t="s">
        <v>122</v>
      </c>
      <c r="S11" t="s">
        <v>33</v>
      </c>
      <c r="T11">
        <v>3</v>
      </c>
      <c r="V11">
        <v>1</v>
      </c>
      <c r="W11" t="s">
        <v>65</v>
      </c>
      <c r="AA11" t="s">
        <v>38</v>
      </c>
      <c r="AB11">
        <v>3</v>
      </c>
      <c r="AC11">
        <v>2</v>
      </c>
      <c r="AD11">
        <v>1</v>
      </c>
      <c r="AE11" t="s">
        <v>152</v>
      </c>
      <c r="AF11" t="s">
        <v>40</v>
      </c>
      <c r="AG11" t="s">
        <v>41</v>
      </c>
      <c r="AI11">
        <v>0</v>
      </c>
      <c r="AJ11">
        <v>19</v>
      </c>
    </row>
    <row r="12" spans="1:36" x14ac:dyDescent="0.25">
      <c r="A12" s="36" t="s">
        <v>1289</v>
      </c>
      <c r="B12">
        <v>10</v>
      </c>
      <c r="C12" t="s">
        <v>33</v>
      </c>
      <c r="D12">
        <v>1</v>
      </c>
      <c r="F12">
        <v>2</v>
      </c>
      <c r="G12" t="s">
        <v>65</v>
      </c>
      <c r="H12" t="s">
        <v>130</v>
      </c>
      <c r="I12" t="s">
        <v>132</v>
      </c>
      <c r="J12" t="s">
        <v>134</v>
      </c>
      <c r="K12" t="s">
        <v>227</v>
      </c>
      <c r="L12">
        <v>3</v>
      </c>
      <c r="M12">
        <v>1</v>
      </c>
      <c r="N12">
        <v>2</v>
      </c>
      <c r="O12" t="s">
        <v>228</v>
      </c>
      <c r="P12" t="s">
        <v>231</v>
      </c>
      <c r="S12" t="s">
        <v>53</v>
      </c>
      <c r="T12">
        <v>1</v>
      </c>
      <c r="U12">
        <v>2</v>
      </c>
      <c r="V12">
        <v>1</v>
      </c>
      <c r="W12" t="s">
        <v>112</v>
      </c>
      <c r="X12" t="s">
        <v>113</v>
      </c>
      <c r="AA12" t="s">
        <v>56</v>
      </c>
      <c r="AB12">
        <v>3</v>
      </c>
      <c r="AD12">
        <v>1</v>
      </c>
      <c r="AE12" t="s">
        <v>120</v>
      </c>
      <c r="AF12" t="s">
        <v>69</v>
      </c>
      <c r="AI12">
        <v>0</v>
      </c>
      <c r="AJ12">
        <v>17</v>
      </c>
    </row>
    <row r="13" spans="1:36" x14ac:dyDescent="0.25">
      <c r="A13" t="s">
        <v>1290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97</v>
      </c>
      <c r="J13" t="s">
        <v>115</v>
      </c>
      <c r="K13" t="s">
        <v>56</v>
      </c>
      <c r="L13">
        <v>2</v>
      </c>
      <c r="N13">
        <v>3</v>
      </c>
      <c r="O13" t="s">
        <v>120</v>
      </c>
      <c r="P13" t="s">
        <v>69</v>
      </c>
      <c r="Q13" t="s">
        <v>87</v>
      </c>
      <c r="R13" t="s">
        <v>88</v>
      </c>
      <c r="S13" t="s">
        <v>43</v>
      </c>
      <c r="T13">
        <v>3</v>
      </c>
      <c r="V13">
        <v>3</v>
      </c>
      <c r="W13" t="s">
        <v>135</v>
      </c>
      <c r="X13" t="s">
        <v>136</v>
      </c>
      <c r="Y13" t="s">
        <v>137</v>
      </c>
      <c r="Z13" t="s">
        <v>138</v>
      </c>
      <c r="AA13" t="s">
        <v>45</v>
      </c>
      <c r="AB13">
        <v>3</v>
      </c>
      <c r="AD13">
        <v>1</v>
      </c>
      <c r="AE13" t="s">
        <v>47</v>
      </c>
      <c r="AF13" t="s">
        <v>141</v>
      </c>
      <c r="AI13">
        <v>0</v>
      </c>
      <c r="AJ13">
        <v>39</v>
      </c>
    </row>
    <row r="14" spans="1:36" x14ac:dyDescent="0.25">
      <c r="A14" t="s">
        <v>1571</v>
      </c>
      <c r="B14">
        <v>12</v>
      </c>
      <c r="C14" t="s">
        <v>43</v>
      </c>
      <c r="D14">
        <v>3</v>
      </c>
      <c r="F14">
        <v>2</v>
      </c>
      <c r="G14" t="s">
        <v>135</v>
      </c>
      <c r="H14" t="s">
        <v>74</v>
      </c>
      <c r="I14" t="s">
        <v>75</v>
      </c>
      <c r="J14" t="s">
        <v>101</v>
      </c>
      <c r="K14" t="s">
        <v>63</v>
      </c>
      <c r="L14">
        <v>2</v>
      </c>
      <c r="N14">
        <v>2</v>
      </c>
      <c r="O14" t="s">
        <v>103</v>
      </c>
      <c r="P14" t="s">
        <v>91</v>
      </c>
      <c r="Q14" t="s">
        <v>148</v>
      </c>
      <c r="R14" t="s">
        <v>149</v>
      </c>
      <c r="S14" t="s">
        <v>53</v>
      </c>
      <c r="T14">
        <v>2</v>
      </c>
      <c r="U14">
        <v>3</v>
      </c>
      <c r="V14">
        <v>3</v>
      </c>
      <c r="W14" t="s">
        <v>112</v>
      </c>
      <c r="AA14" t="s">
        <v>56</v>
      </c>
      <c r="AB14">
        <v>3</v>
      </c>
      <c r="AD14">
        <v>1</v>
      </c>
      <c r="AE14" t="s">
        <v>120</v>
      </c>
      <c r="AF14" t="s">
        <v>122</v>
      </c>
      <c r="AI14">
        <v>0</v>
      </c>
      <c r="AJ14">
        <v>23</v>
      </c>
    </row>
    <row r="15" spans="1:36" x14ac:dyDescent="0.25">
      <c r="A15" t="s">
        <v>1291</v>
      </c>
      <c r="B15">
        <v>13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83</v>
      </c>
      <c r="I15" t="s">
        <v>97</v>
      </c>
      <c r="J15" t="s">
        <v>98</v>
      </c>
      <c r="K15" t="s">
        <v>56</v>
      </c>
      <c r="L15">
        <v>2</v>
      </c>
      <c r="N15">
        <v>1</v>
      </c>
      <c r="O15" t="s">
        <v>57</v>
      </c>
      <c r="P15" t="s">
        <v>122</v>
      </c>
      <c r="S15" t="s">
        <v>43</v>
      </c>
      <c r="T15">
        <v>3</v>
      </c>
      <c r="V15">
        <v>3</v>
      </c>
      <c r="W15" t="s">
        <v>73</v>
      </c>
      <c r="X15" t="s">
        <v>99</v>
      </c>
      <c r="Y15" t="s">
        <v>75</v>
      </c>
      <c r="Z15" t="s">
        <v>101</v>
      </c>
      <c r="AA15" t="s">
        <v>38</v>
      </c>
      <c r="AB15">
        <v>1</v>
      </c>
      <c r="AC15">
        <v>1</v>
      </c>
      <c r="AD15">
        <v>2</v>
      </c>
      <c r="AE15" t="s">
        <v>152</v>
      </c>
      <c r="AF15" t="s">
        <v>96</v>
      </c>
      <c r="AI15">
        <v>0</v>
      </c>
      <c r="AJ15">
        <v>30</v>
      </c>
    </row>
    <row r="16" spans="1:36" x14ac:dyDescent="0.25">
      <c r="A16" s="36" t="s">
        <v>1572</v>
      </c>
      <c r="B16">
        <v>14</v>
      </c>
      <c r="C16" t="s">
        <v>43</v>
      </c>
      <c r="D16">
        <v>1</v>
      </c>
      <c r="F16">
        <v>1</v>
      </c>
      <c r="G16" t="s">
        <v>73</v>
      </c>
      <c r="H16" t="s">
        <v>99</v>
      </c>
      <c r="I16" t="s">
        <v>75</v>
      </c>
      <c r="K16" t="s">
        <v>227</v>
      </c>
      <c r="L16">
        <v>3</v>
      </c>
      <c r="M16">
        <v>3</v>
      </c>
      <c r="N16">
        <v>3</v>
      </c>
      <c r="O16" t="s">
        <v>228</v>
      </c>
      <c r="P16" t="s">
        <v>231</v>
      </c>
      <c r="Q16" t="s">
        <v>235</v>
      </c>
      <c r="R16" t="s">
        <v>238</v>
      </c>
      <c r="S16" t="s">
        <v>53</v>
      </c>
      <c r="T16">
        <v>3</v>
      </c>
      <c r="U16">
        <v>3</v>
      </c>
      <c r="V16">
        <v>3</v>
      </c>
      <c r="W16" t="s">
        <v>112</v>
      </c>
      <c r="X16" t="s">
        <v>83</v>
      </c>
      <c r="Y16" t="s">
        <v>97</v>
      </c>
      <c r="Z16" t="s">
        <v>98</v>
      </c>
      <c r="AA16" t="s">
        <v>56</v>
      </c>
      <c r="AB16">
        <v>3</v>
      </c>
      <c r="AD16">
        <v>1</v>
      </c>
      <c r="AE16" t="s">
        <v>120</v>
      </c>
      <c r="AF16" t="s">
        <v>69</v>
      </c>
      <c r="AI16">
        <v>0</v>
      </c>
      <c r="AJ16">
        <v>28</v>
      </c>
    </row>
    <row r="17" spans="1:36" x14ac:dyDescent="0.25">
      <c r="A17" t="s">
        <v>1573</v>
      </c>
      <c r="B17">
        <v>15</v>
      </c>
      <c r="C17" t="s">
        <v>53</v>
      </c>
      <c r="D17">
        <v>2</v>
      </c>
      <c r="E17">
        <v>2</v>
      </c>
      <c r="F17">
        <v>3</v>
      </c>
      <c r="G17" t="s">
        <v>112</v>
      </c>
      <c r="H17" t="s">
        <v>55</v>
      </c>
      <c r="I17" t="s">
        <v>97</v>
      </c>
      <c r="J17" t="s">
        <v>115</v>
      </c>
      <c r="K17" t="s">
        <v>56</v>
      </c>
      <c r="L17">
        <v>2</v>
      </c>
      <c r="N17">
        <v>1</v>
      </c>
      <c r="O17" t="s">
        <v>57</v>
      </c>
      <c r="P17" t="s">
        <v>122</v>
      </c>
      <c r="S17" t="s">
        <v>45</v>
      </c>
      <c r="T17">
        <v>3</v>
      </c>
      <c r="V17">
        <v>1</v>
      </c>
      <c r="W17" t="s">
        <v>86</v>
      </c>
      <c r="X17" t="s">
        <v>76</v>
      </c>
      <c r="AA17" t="s">
        <v>63</v>
      </c>
      <c r="AB17">
        <v>3</v>
      </c>
      <c r="AD17">
        <v>1</v>
      </c>
      <c r="AE17" t="s">
        <v>103</v>
      </c>
      <c r="AF17" t="s">
        <v>95</v>
      </c>
      <c r="AG17" t="s">
        <v>104</v>
      </c>
      <c r="AH17" t="s">
        <v>151</v>
      </c>
      <c r="AI17">
        <v>0</v>
      </c>
      <c r="AJ17">
        <v>22</v>
      </c>
    </row>
    <row r="18" spans="1:36" x14ac:dyDescent="0.25">
      <c r="A18" t="s">
        <v>1292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83</v>
      </c>
      <c r="I18" t="s">
        <v>114</v>
      </c>
      <c r="J18" t="s">
        <v>115</v>
      </c>
      <c r="K18" t="s">
        <v>56</v>
      </c>
      <c r="L18">
        <v>1</v>
      </c>
      <c r="N18">
        <v>1</v>
      </c>
      <c r="O18" t="s">
        <v>57</v>
      </c>
      <c r="P18" t="s">
        <v>122</v>
      </c>
      <c r="Q18" t="s">
        <v>85</v>
      </c>
      <c r="S18" t="s">
        <v>45</v>
      </c>
      <c r="T18">
        <v>3</v>
      </c>
      <c r="V18">
        <v>3</v>
      </c>
      <c r="W18" t="s">
        <v>86</v>
      </c>
      <c r="X18" t="s">
        <v>141</v>
      </c>
      <c r="Y18" t="s">
        <v>93</v>
      </c>
      <c r="Z18" t="s">
        <v>94</v>
      </c>
      <c r="AA18" t="s">
        <v>38</v>
      </c>
      <c r="AB18">
        <v>3</v>
      </c>
      <c r="AC18">
        <v>3</v>
      </c>
      <c r="AD18">
        <v>3</v>
      </c>
      <c r="AE18" t="s">
        <v>39</v>
      </c>
      <c r="AF18" t="s">
        <v>96</v>
      </c>
      <c r="AG18" t="s">
        <v>153</v>
      </c>
      <c r="AH18" t="s">
        <v>42</v>
      </c>
      <c r="AI18">
        <v>0</v>
      </c>
      <c r="AJ18">
        <v>45</v>
      </c>
    </row>
    <row r="19" spans="1:36" x14ac:dyDescent="0.25">
      <c r="A19" s="36" t="s">
        <v>1293</v>
      </c>
      <c r="B19">
        <v>17</v>
      </c>
      <c r="C19" t="s">
        <v>53</v>
      </c>
      <c r="D19">
        <v>3</v>
      </c>
      <c r="E19">
        <v>1</v>
      </c>
      <c r="F19">
        <v>1</v>
      </c>
      <c r="G19" t="s">
        <v>112</v>
      </c>
      <c r="H19" t="s">
        <v>83</v>
      </c>
      <c r="I19" t="s">
        <v>114</v>
      </c>
      <c r="J19" t="s">
        <v>98</v>
      </c>
      <c r="K19" t="s">
        <v>56</v>
      </c>
      <c r="L19">
        <v>2</v>
      </c>
      <c r="N19">
        <v>1</v>
      </c>
      <c r="O19" t="s">
        <v>57</v>
      </c>
      <c r="P19" t="s">
        <v>122</v>
      </c>
      <c r="S19" t="s">
        <v>45</v>
      </c>
      <c r="T19">
        <v>3</v>
      </c>
      <c r="V19">
        <v>1</v>
      </c>
      <c r="W19" t="s">
        <v>86</v>
      </c>
      <c r="AA19" t="s">
        <v>227</v>
      </c>
      <c r="AB19">
        <v>3</v>
      </c>
      <c r="AC19">
        <v>1</v>
      </c>
      <c r="AD19">
        <v>2</v>
      </c>
      <c r="AE19" t="s">
        <v>228</v>
      </c>
      <c r="AF19" t="s">
        <v>231</v>
      </c>
      <c r="AG19" t="s">
        <v>235</v>
      </c>
      <c r="AH19" t="s">
        <v>238</v>
      </c>
      <c r="AI19">
        <v>0</v>
      </c>
      <c r="AJ19">
        <v>20</v>
      </c>
    </row>
    <row r="20" spans="1:36" x14ac:dyDescent="0.25">
      <c r="A20" t="s">
        <v>1294</v>
      </c>
      <c r="B20">
        <v>18</v>
      </c>
      <c r="C20" t="s">
        <v>53</v>
      </c>
      <c r="D20">
        <v>2</v>
      </c>
      <c r="E20">
        <v>3</v>
      </c>
      <c r="F20">
        <v>1</v>
      </c>
      <c r="G20" t="s">
        <v>112</v>
      </c>
      <c r="H20" t="s">
        <v>83</v>
      </c>
      <c r="I20" t="s">
        <v>114</v>
      </c>
      <c r="J20" t="s">
        <v>115</v>
      </c>
      <c r="K20" t="s">
        <v>56</v>
      </c>
      <c r="L20">
        <v>1</v>
      </c>
      <c r="N20">
        <v>1</v>
      </c>
      <c r="O20" t="s">
        <v>57</v>
      </c>
      <c r="P20" t="s">
        <v>122</v>
      </c>
      <c r="Q20" t="s">
        <v>85</v>
      </c>
      <c r="R20" t="s">
        <v>125</v>
      </c>
      <c r="S20" t="s">
        <v>63</v>
      </c>
      <c r="T20">
        <v>3</v>
      </c>
      <c r="V20">
        <v>1</v>
      </c>
      <c r="W20" t="s">
        <v>103</v>
      </c>
      <c r="X20" t="s">
        <v>91</v>
      </c>
      <c r="Y20" t="s">
        <v>147</v>
      </c>
      <c r="Z20" t="s">
        <v>151</v>
      </c>
      <c r="AA20" t="s">
        <v>38</v>
      </c>
      <c r="AB20">
        <v>1</v>
      </c>
      <c r="AC20">
        <v>2</v>
      </c>
      <c r="AD20">
        <v>1</v>
      </c>
      <c r="AE20" t="s">
        <v>152</v>
      </c>
      <c r="AF20" t="s">
        <v>96</v>
      </c>
      <c r="AI20">
        <v>0</v>
      </c>
      <c r="AJ20">
        <v>20</v>
      </c>
    </row>
    <row r="21" spans="1:36" x14ac:dyDescent="0.25">
      <c r="A21" s="36" t="s">
        <v>1574</v>
      </c>
      <c r="B21">
        <v>19</v>
      </c>
      <c r="C21" t="s">
        <v>53</v>
      </c>
      <c r="D21">
        <v>3</v>
      </c>
      <c r="E21">
        <v>3</v>
      </c>
      <c r="F21">
        <v>1</v>
      </c>
      <c r="G21" t="s">
        <v>112</v>
      </c>
      <c r="H21" t="s">
        <v>83</v>
      </c>
      <c r="I21" t="s">
        <v>97</v>
      </c>
      <c r="J21" t="s">
        <v>98</v>
      </c>
      <c r="K21" t="s">
        <v>56</v>
      </c>
      <c r="L21">
        <v>3</v>
      </c>
      <c r="N21">
        <v>3</v>
      </c>
      <c r="O21" t="s">
        <v>57</v>
      </c>
      <c r="P21" t="s">
        <v>122</v>
      </c>
      <c r="Q21" t="s">
        <v>85</v>
      </c>
      <c r="R21" t="s">
        <v>124</v>
      </c>
      <c r="S21" t="s">
        <v>63</v>
      </c>
      <c r="T21">
        <v>1</v>
      </c>
      <c r="V21">
        <v>1</v>
      </c>
      <c r="W21" t="s">
        <v>103</v>
      </c>
      <c r="X21" t="s">
        <v>91</v>
      </c>
      <c r="AA21" t="s">
        <v>227</v>
      </c>
      <c r="AB21">
        <v>3</v>
      </c>
      <c r="AC21">
        <v>1</v>
      </c>
      <c r="AD21">
        <v>3</v>
      </c>
      <c r="AE21" t="s">
        <v>229</v>
      </c>
      <c r="AF21" t="s">
        <v>231</v>
      </c>
      <c r="AG21" t="s">
        <v>236</v>
      </c>
      <c r="AH21" t="s">
        <v>239</v>
      </c>
      <c r="AI21">
        <v>0</v>
      </c>
      <c r="AJ21">
        <v>26</v>
      </c>
    </row>
    <row r="22" spans="1:36" x14ac:dyDescent="0.25">
      <c r="A22" s="36" t="s">
        <v>1575</v>
      </c>
      <c r="B22">
        <v>20</v>
      </c>
      <c r="C22" t="s">
        <v>53</v>
      </c>
      <c r="D22">
        <v>3</v>
      </c>
      <c r="E22">
        <v>1</v>
      </c>
      <c r="F22">
        <v>2</v>
      </c>
      <c r="G22" t="s">
        <v>112</v>
      </c>
      <c r="H22" t="s">
        <v>83</v>
      </c>
      <c r="I22" t="s">
        <v>114</v>
      </c>
      <c r="J22" t="s">
        <v>98</v>
      </c>
      <c r="K22" t="s">
        <v>56</v>
      </c>
      <c r="L22">
        <v>2</v>
      </c>
      <c r="N22">
        <v>1</v>
      </c>
      <c r="O22" t="s">
        <v>57</v>
      </c>
      <c r="P22" t="s">
        <v>122</v>
      </c>
      <c r="Q22" t="s">
        <v>85</v>
      </c>
      <c r="S22" t="s">
        <v>38</v>
      </c>
      <c r="T22">
        <v>3</v>
      </c>
      <c r="U22">
        <v>1</v>
      </c>
      <c r="V22">
        <v>2</v>
      </c>
      <c r="W22" t="s">
        <v>152</v>
      </c>
      <c r="AA22" t="s">
        <v>227</v>
      </c>
      <c r="AB22">
        <v>3</v>
      </c>
      <c r="AC22">
        <v>1</v>
      </c>
      <c r="AD22">
        <v>3</v>
      </c>
      <c r="AE22" t="s">
        <v>228</v>
      </c>
      <c r="AF22" t="s">
        <v>231</v>
      </c>
      <c r="AG22" t="s">
        <v>235</v>
      </c>
      <c r="AH22" t="s">
        <v>238</v>
      </c>
      <c r="AI22">
        <v>0</v>
      </c>
      <c r="AJ22">
        <v>24</v>
      </c>
    </row>
    <row r="23" spans="1:36" x14ac:dyDescent="0.25">
      <c r="A23" t="s">
        <v>1576</v>
      </c>
      <c r="B23">
        <v>21</v>
      </c>
      <c r="C23" t="s">
        <v>56</v>
      </c>
      <c r="D23">
        <v>3</v>
      </c>
      <c r="F23">
        <v>1</v>
      </c>
      <c r="G23" t="s">
        <v>57</v>
      </c>
      <c r="H23" t="s">
        <v>122</v>
      </c>
      <c r="I23" t="s">
        <v>87</v>
      </c>
      <c r="J23" t="s">
        <v>125</v>
      </c>
      <c r="K23" t="s">
        <v>33</v>
      </c>
      <c r="L23">
        <v>2</v>
      </c>
      <c r="N23">
        <v>2</v>
      </c>
      <c r="O23" t="s">
        <v>65</v>
      </c>
      <c r="P23" t="s">
        <v>130</v>
      </c>
      <c r="Q23" t="s">
        <v>36</v>
      </c>
      <c r="R23" t="s">
        <v>133</v>
      </c>
      <c r="S23" t="s">
        <v>53</v>
      </c>
      <c r="T23">
        <v>1</v>
      </c>
      <c r="U23">
        <v>3</v>
      </c>
      <c r="V23">
        <v>2</v>
      </c>
      <c r="W23" t="s">
        <v>112</v>
      </c>
      <c r="X23" t="s">
        <v>113</v>
      </c>
      <c r="Y23" t="s">
        <v>97</v>
      </c>
      <c r="AA23" t="s">
        <v>48</v>
      </c>
      <c r="AB23">
        <v>1</v>
      </c>
      <c r="AD23">
        <v>1</v>
      </c>
      <c r="AE23" t="s">
        <v>126</v>
      </c>
      <c r="AF23" t="s">
        <v>84</v>
      </c>
      <c r="AG23" t="s">
        <v>127</v>
      </c>
      <c r="AH23" t="s">
        <v>129</v>
      </c>
      <c r="AI23">
        <v>0</v>
      </c>
      <c r="AJ23">
        <v>23</v>
      </c>
    </row>
    <row r="24" spans="1:36" x14ac:dyDescent="0.25">
      <c r="A24" t="s">
        <v>1295</v>
      </c>
      <c r="B24">
        <v>22</v>
      </c>
      <c r="C24" t="s">
        <v>56</v>
      </c>
      <c r="D24">
        <v>3</v>
      </c>
      <c r="F24">
        <v>1</v>
      </c>
      <c r="G24" t="s">
        <v>57</v>
      </c>
      <c r="H24" t="s">
        <v>121</v>
      </c>
      <c r="I24" t="s">
        <v>123</v>
      </c>
      <c r="J24" t="s">
        <v>88</v>
      </c>
      <c r="K24" t="s">
        <v>43</v>
      </c>
      <c r="L24">
        <v>3</v>
      </c>
      <c r="N24">
        <v>3</v>
      </c>
      <c r="O24" t="s">
        <v>135</v>
      </c>
      <c r="P24" t="s">
        <v>99</v>
      </c>
      <c r="Q24" t="s">
        <v>137</v>
      </c>
      <c r="S24" t="s">
        <v>53</v>
      </c>
      <c r="T24">
        <v>1</v>
      </c>
      <c r="U24">
        <v>3</v>
      </c>
      <c r="V24">
        <v>3</v>
      </c>
      <c r="W24" t="s">
        <v>112</v>
      </c>
      <c r="AA24" t="s">
        <v>48</v>
      </c>
      <c r="AB24">
        <v>1</v>
      </c>
      <c r="AD24">
        <v>1</v>
      </c>
      <c r="AE24" t="s">
        <v>126</v>
      </c>
      <c r="AF24" t="s">
        <v>84</v>
      </c>
      <c r="AI24">
        <v>0</v>
      </c>
      <c r="AJ24">
        <v>21</v>
      </c>
    </row>
    <row r="25" spans="1:36" x14ac:dyDescent="0.25">
      <c r="A25" t="s">
        <v>1296</v>
      </c>
      <c r="B25">
        <v>23</v>
      </c>
      <c r="C25" t="s">
        <v>56</v>
      </c>
      <c r="D25">
        <v>3</v>
      </c>
      <c r="F25">
        <v>3</v>
      </c>
      <c r="G25" t="s">
        <v>57</v>
      </c>
      <c r="H25" t="s">
        <v>122</v>
      </c>
      <c r="I25" t="s">
        <v>85</v>
      </c>
      <c r="J25" t="s">
        <v>124</v>
      </c>
      <c r="K25" t="s">
        <v>45</v>
      </c>
      <c r="L25">
        <v>3</v>
      </c>
      <c r="N25">
        <v>3</v>
      </c>
      <c r="O25" t="s">
        <v>86</v>
      </c>
      <c r="P25" t="s">
        <v>141</v>
      </c>
      <c r="Q25" t="s">
        <v>93</v>
      </c>
      <c r="R25" t="s">
        <v>94</v>
      </c>
      <c r="S25" t="s">
        <v>53</v>
      </c>
      <c r="T25">
        <v>3</v>
      </c>
      <c r="U25">
        <v>3</v>
      </c>
      <c r="V25">
        <v>3</v>
      </c>
      <c r="W25" t="s">
        <v>112</v>
      </c>
      <c r="X25" t="s">
        <v>55</v>
      </c>
      <c r="Y25" t="s">
        <v>114</v>
      </c>
      <c r="AA25" t="s">
        <v>48</v>
      </c>
      <c r="AB25">
        <v>1</v>
      </c>
      <c r="AD25">
        <v>2</v>
      </c>
      <c r="AE25" t="s">
        <v>126</v>
      </c>
      <c r="AI25">
        <v>0</v>
      </c>
      <c r="AJ25">
        <v>29</v>
      </c>
    </row>
    <row r="26" spans="1:36" x14ac:dyDescent="0.25">
      <c r="A26" t="s">
        <v>1577</v>
      </c>
      <c r="B26">
        <v>24</v>
      </c>
      <c r="C26" t="s">
        <v>56</v>
      </c>
      <c r="D26">
        <v>3</v>
      </c>
      <c r="F26">
        <v>3</v>
      </c>
      <c r="G26" t="s">
        <v>57</v>
      </c>
      <c r="H26" t="s">
        <v>122</v>
      </c>
      <c r="I26" t="s">
        <v>85</v>
      </c>
      <c r="J26" t="s">
        <v>125</v>
      </c>
      <c r="K26" t="s">
        <v>63</v>
      </c>
      <c r="L26">
        <v>3</v>
      </c>
      <c r="N26">
        <v>3</v>
      </c>
      <c r="O26" t="s">
        <v>103</v>
      </c>
      <c r="P26" t="s">
        <v>91</v>
      </c>
      <c r="Q26" t="s">
        <v>148</v>
      </c>
      <c r="R26" t="s">
        <v>150</v>
      </c>
      <c r="S26" t="s">
        <v>53</v>
      </c>
      <c r="T26">
        <v>3</v>
      </c>
      <c r="U26">
        <v>3</v>
      </c>
      <c r="V26">
        <v>3</v>
      </c>
      <c r="W26" t="s">
        <v>112</v>
      </c>
      <c r="X26" t="s">
        <v>55</v>
      </c>
      <c r="Y26" t="s">
        <v>97</v>
      </c>
      <c r="Z26" t="s">
        <v>115</v>
      </c>
      <c r="AA26" t="s">
        <v>48</v>
      </c>
      <c r="AB26">
        <v>1</v>
      </c>
      <c r="AD26">
        <v>1</v>
      </c>
      <c r="AE26" t="s">
        <v>49</v>
      </c>
      <c r="AF26" t="s">
        <v>84</v>
      </c>
      <c r="AG26" t="s">
        <v>127</v>
      </c>
      <c r="AI26">
        <v>0</v>
      </c>
      <c r="AJ26">
        <v>32</v>
      </c>
    </row>
    <row r="27" spans="1:36" x14ac:dyDescent="0.25">
      <c r="A27" t="s">
        <v>1297</v>
      </c>
      <c r="B27">
        <v>25</v>
      </c>
      <c r="C27" t="s">
        <v>56</v>
      </c>
      <c r="D27">
        <v>3</v>
      </c>
      <c r="F27">
        <v>2</v>
      </c>
      <c r="G27" t="s">
        <v>57</v>
      </c>
      <c r="H27" t="s">
        <v>122</v>
      </c>
      <c r="I27" t="s">
        <v>123</v>
      </c>
      <c r="J27" t="s">
        <v>88</v>
      </c>
      <c r="K27" t="s">
        <v>38</v>
      </c>
      <c r="L27">
        <v>3</v>
      </c>
      <c r="M27">
        <v>2</v>
      </c>
      <c r="N27">
        <v>2</v>
      </c>
      <c r="O27" t="s">
        <v>39</v>
      </c>
      <c r="P27" t="s">
        <v>40</v>
      </c>
      <c r="Q27" t="s">
        <v>154</v>
      </c>
      <c r="R27" t="s">
        <v>42</v>
      </c>
      <c r="S27" t="s">
        <v>53</v>
      </c>
      <c r="T27">
        <v>1</v>
      </c>
      <c r="U27">
        <v>3</v>
      </c>
      <c r="V27">
        <v>3</v>
      </c>
      <c r="W27" t="s">
        <v>112</v>
      </c>
      <c r="X27" t="s">
        <v>83</v>
      </c>
      <c r="Y27" t="s">
        <v>97</v>
      </c>
      <c r="AA27" t="s">
        <v>48</v>
      </c>
      <c r="AB27">
        <v>1</v>
      </c>
      <c r="AD27">
        <v>1</v>
      </c>
      <c r="AE27" t="s">
        <v>49</v>
      </c>
      <c r="AF27" t="s">
        <v>84</v>
      </c>
      <c r="AI27">
        <v>0</v>
      </c>
      <c r="AJ27">
        <v>24</v>
      </c>
    </row>
    <row r="28" spans="1:36" x14ac:dyDescent="0.25">
      <c r="A28" s="36" t="s">
        <v>1578</v>
      </c>
      <c r="B28">
        <v>26</v>
      </c>
      <c r="C28" t="s">
        <v>56</v>
      </c>
      <c r="D28">
        <v>3</v>
      </c>
      <c r="F28">
        <v>1</v>
      </c>
      <c r="G28" t="s">
        <v>57</v>
      </c>
      <c r="K28" t="s">
        <v>227</v>
      </c>
      <c r="L28">
        <v>3</v>
      </c>
      <c r="M28">
        <v>1</v>
      </c>
      <c r="N28">
        <v>2</v>
      </c>
      <c r="O28" t="s">
        <v>228</v>
      </c>
      <c r="P28" t="s">
        <v>231</v>
      </c>
      <c r="Q28" t="s">
        <v>234</v>
      </c>
      <c r="R28" t="s">
        <v>238</v>
      </c>
      <c r="S28" t="s">
        <v>53</v>
      </c>
      <c r="T28">
        <v>2</v>
      </c>
      <c r="U28">
        <v>1</v>
      </c>
      <c r="V28">
        <v>3</v>
      </c>
      <c r="W28" t="s">
        <v>112</v>
      </c>
      <c r="X28" t="s">
        <v>83</v>
      </c>
      <c r="Y28" t="s">
        <v>97</v>
      </c>
      <c r="Z28" t="s">
        <v>98</v>
      </c>
      <c r="AA28" t="s">
        <v>48</v>
      </c>
      <c r="AB28">
        <v>1</v>
      </c>
      <c r="AD28">
        <v>1</v>
      </c>
      <c r="AE28" t="s">
        <v>89</v>
      </c>
      <c r="AF28" t="s">
        <v>50</v>
      </c>
      <c r="AG28" t="s">
        <v>127</v>
      </c>
      <c r="AH28" t="s">
        <v>129</v>
      </c>
      <c r="AI28">
        <v>0</v>
      </c>
      <c r="AJ28">
        <v>22</v>
      </c>
    </row>
    <row r="29" spans="1:36" x14ac:dyDescent="0.25">
      <c r="A29" t="s">
        <v>1298</v>
      </c>
      <c r="B29">
        <v>27</v>
      </c>
      <c r="C29" t="s">
        <v>33</v>
      </c>
      <c r="D29">
        <v>3</v>
      </c>
      <c r="F29">
        <v>3</v>
      </c>
      <c r="G29" t="s">
        <v>34</v>
      </c>
      <c r="H29" t="s">
        <v>130</v>
      </c>
      <c r="I29" t="s">
        <v>132</v>
      </c>
      <c r="J29" t="s">
        <v>37</v>
      </c>
      <c r="K29" t="s">
        <v>43</v>
      </c>
      <c r="L29">
        <v>3</v>
      </c>
      <c r="N29">
        <v>2</v>
      </c>
      <c r="O29" t="s">
        <v>135</v>
      </c>
      <c r="P29" t="s">
        <v>74</v>
      </c>
      <c r="Q29" t="s">
        <v>137</v>
      </c>
      <c r="R29" t="s">
        <v>139</v>
      </c>
      <c r="S29" t="s">
        <v>53</v>
      </c>
      <c r="T29">
        <v>1</v>
      </c>
      <c r="U29">
        <v>3</v>
      </c>
      <c r="V29">
        <v>3</v>
      </c>
      <c r="W29" t="s">
        <v>112</v>
      </c>
      <c r="X29" t="s">
        <v>113</v>
      </c>
      <c r="Y29" t="s">
        <v>97</v>
      </c>
      <c r="AA29" t="s">
        <v>48</v>
      </c>
      <c r="AB29">
        <v>1</v>
      </c>
      <c r="AD29">
        <v>1</v>
      </c>
      <c r="AE29" t="s">
        <v>126</v>
      </c>
      <c r="AF29" t="s">
        <v>50</v>
      </c>
      <c r="AG29" t="s">
        <v>127</v>
      </c>
      <c r="AH29" t="s">
        <v>129</v>
      </c>
      <c r="AI29">
        <v>0</v>
      </c>
      <c r="AJ29">
        <v>27</v>
      </c>
    </row>
    <row r="30" spans="1:36" x14ac:dyDescent="0.25">
      <c r="A30" t="s">
        <v>1299</v>
      </c>
      <c r="B30">
        <v>28</v>
      </c>
      <c r="C30" t="s">
        <v>53</v>
      </c>
      <c r="D30">
        <v>1</v>
      </c>
      <c r="E30">
        <v>2</v>
      </c>
      <c r="F30">
        <v>1</v>
      </c>
      <c r="G30" t="s">
        <v>112</v>
      </c>
      <c r="H30" t="s">
        <v>113</v>
      </c>
      <c r="I30" t="s">
        <v>114</v>
      </c>
      <c r="J30" t="s">
        <v>116</v>
      </c>
      <c r="K30" t="s">
        <v>48</v>
      </c>
      <c r="L30">
        <v>2</v>
      </c>
      <c r="N30">
        <v>1</v>
      </c>
      <c r="O30" t="s">
        <v>126</v>
      </c>
      <c r="P30" t="s">
        <v>50</v>
      </c>
      <c r="Q30" t="s">
        <v>127</v>
      </c>
      <c r="S30" t="s">
        <v>33</v>
      </c>
      <c r="T30">
        <v>2</v>
      </c>
      <c r="V30">
        <v>2</v>
      </c>
      <c r="W30" t="s">
        <v>34</v>
      </c>
      <c r="X30" t="s">
        <v>130</v>
      </c>
      <c r="AA30" t="s">
        <v>45</v>
      </c>
      <c r="AB30">
        <v>3</v>
      </c>
      <c r="AD30">
        <v>1</v>
      </c>
      <c r="AE30" t="s">
        <v>140</v>
      </c>
      <c r="AF30" t="s">
        <v>141</v>
      </c>
      <c r="AG30" t="s">
        <v>102</v>
      </c>
      <c r="AI30">
        <v>0</v>
      </c>
      <c r="AJ30">
        <v>18</v>
      </c>
    </row>
    <row r="31" spans="1:36" x14ac:dyDescent="0.25">
      <c r="A31" t="s">
        <v>1300</v>
      </c>
      <c r="B31">
        <v>29</v>
      </c>
      <c r="C31" t="s">
        <v>33</v>
      </c>
      <c r="D31">
        <v>2</v>
      </c>
      <c r="F31">
        <v>3</v>
      </c>
      <c r="G31" t="s">
        <v>65</v>
      </c>
      <c r="H31" t="s">
        <v>66</v>
      </c>
      <c r="I31" t="s">
        <v>36</v>
      </c>
      <c r="K31" t="s">
        <v>63</v>
      </c>
      <c r="L31">
        <v>1</v>
      </c>
      <c r="N31">
        <v>2</v>
      </c>
      <c r="O31" t="s">
        <v>145</v>
      </c>
      <c r="P31" t="s">
        <v>91</v>
      </c>
      <c r="Q31" t="s">
        <v>147</v>
      </c>
      <c r="R31" t="s">
        <v>150</v>
      </c>
      <c r="S31" t="s">
        <v>53</v>
      </c>
      <c r="T31">
        <v>1</v>
      </c>
      <c r="U31">
        <v>2</v>
      </c>
      <c r="V31">
        <v>3</v>
      </c>
      <c r="W31" t="s">
        <v>112</v>
      </c>
      <c r="X31" t="s">
        <v>113</v>
      </c>
      <c r="AA31" t="s">
        <v>48</v>
      </c>
      <c r="AB31">
        <v>3</v>
      </c>
      <c r="AD31">
        <v>1</v>
      </c>
      <c r="AE31" t="s">
        <v>89</v>
      </c>
      <c r="AF31" t="s">
        <v>84</v>
      </c>
      <c r="AG31" t="s">
        <v>127</v>
      </c>
      <c r="AI31">
        <v>0</v>
      </c>
      <c r="AJ31">
        <v>21</v>
      </c>
    </row>
    <row r="32" spans="1:36" x14ac:dyDescent="0.25">
      <c r="A32" t="s">
        <v>1579</v>
      </c>
      <c r="B32">
        <v>30</v>
      </c>
      <c r="C32" t="s">
        <v>53</v>
      </c>
      <c r="D32">
        <v>3</v>
      </c>
      <c r="E32">
        <v>3</v>
      </c>
      <c r="F32">
        <v>3</v>
      </c>
      <c r="G32" t="s">
        <v>112</v>
      </c>
      <c r="H32" t="s">
        <v>113</v>
      </c>
      <c r="I32" t="s">
        <v>97</v>
      </c>
      <c r="J32" t="s">
        <v>116</v>
      </c>
      <c r="K32" t="s">
        <v>48</v>
      </c>
      <c r="L32">
        <v>3</v>
      </c>
      <c r="N32">
        <v>3</v>
      </c>
      <c r="O32" t="s">
        <v>126</v>
      </c>
      <c r="P32" t="s">
        <v>84</v>
      </c>
      <c r="Q32" t="s">
        <v>127</v>
      </c>
      <c r="R32" t="s">
        <v>129</v>
      </c>
      <c r="S32" t="s">
        <v>33</v>
      </c>
      <c r="T32">
        <v>3</v>
      </c>
      <c r="V32">
        <v>1</v>
      </c>
      <c r="W32" t="s">
        <v>65</v>
      </c>
      <c r="X32" t="s">
        <v>130</v>
      </c>
      <c r="Y32" t="s">
        <v>36</v>
      </c>
      <c r="AA32" t="s">
        <v>38</v>
      </c>
      <c r="AB32">
        <v>3</v>
      </c>
      <c r="AC32">
        <v>3</v>
      </c>
      <c r="AD32">
        <v>3</v>
      </c>
      <c r="AE32" t="s">
        <v>152</v>
      </c>
      <c r="AF32" t="s">
        <v>40</v>
      </c>
      <c r="AG32" t="s">
        <v>153</v>
      </c>
      <c r="AH32" t="s">
        <v>42</v>
      </c>
      <c r="AI32">
        <v>0</v>
      </c>
      <c r="AJ32">
        <v>39</v>
      </c>
    </row>
    <row r="33" spans="1:36" x14ac:dyDescent="0.25">
      <c r="A33" s="36" t="s">
        <v>1580</v>
      </c>
      <c r="B33">
        <v>31</v>
      </c>
      <c r="C33" t="s">
        <v>33</v>
      </c>
      <c r="D33">
        <v>3</v>
      </c>
      <c r="F33">
        <v>3</v>
      </c>
      <c r="G33" t="s">
        <v>65</v>
      </c>
      <c r="H33" t="s">
        <v>130</v>
      </c>
      <c r="I33" t="s">
        <v>36</v>
      </c>
      <c r="J33" t="s">
        <v>133</v>
      </c>
      <c r="K33" t="s">
        <v>227</v>
      </c>
      <c r="L33">
        <v>2</v>
      </c>
      <c r="M33">
        <v>1</v>
      </c>
      <c r="N33">
        <v>1</v>
      </c>
      <c r="O33" t="s">
        <v>228</v>
      </c>
      <c r="P33" t="s">
        <v>231</v>
      </c>
      <c r="S33" t="s">
        <v>53</v>
      </c>
      <c r="T33">
        <v>1</v>
      </c>
      <c r="U33">
        <v>1</v>
      </c>
      <c r="V33">
        <v>2</v>
      </c>
      <c r="W33" t="s">
        <v>112</v>
      </c>
      <c r="X33" t="s">
        <v>113</v>
      </c>
      <c r="Y33" t="s">
        <v>97</v>
      </c>
      <c r="Z33" t="s">
        <v>116</v>
      </c>
      <c r="AA33" t="s">
        <v>48</v>
      </c>
      <c r="AB33">
        <v>3</v>
      </c>
      <c r="AD33">
        <v>3</v>
      </c>
      <c r="AE33" t="s">
        <v>89</v>
      </c>
      <c r="AF33" t="s">
        <v>50</v>
      </c>
      <c r="AG33" t="s">
        <v>90</v>
      </c>
      <c r="AH33" t="s">
        <v>129</v>
      </c>
      <c r="AI33">
        <v>0</v>
      </c>
      <c r="AJ33">
        <v>31</v>
      </c>
    </row>
    <row r="34" spans="1:36" x14ac:dyDescent="0.25">
      <c r="A34" t="s">
        <v>1581</v>
      </c>
      <c r="B34">
        <v>32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114</v>
      </c>
      <c r="J34" t="s">
        <v>98</v>
      </c>
      <c r="K34" t="s">
        <v>48</v>
      </c>
      <c r="L34">
        <v>1</v>
      </c>
      <c r="N34">
        <v>1</v>
      </c>
      <c r="O34" t="s">
        <v>126</v>
      </c>
      <c r="P34" t="s">
        <v>50</v>
      </c>
      <c r="S34" t="s">
        <v>43</v>
      </c>
      <c r="T34">
        <v>3</v>
      </c>
      <c r="V34">
        <v>3</v>
      </c>
      <c r="W34" t="s">
        <v>73</v>
      </c>
      <c r="X34" t="s">
        <v>99</v>
      </c>
      <c r="Y34" t="s">
        <v>75</v>
      </c>
      <c r="Z34" t="s">
        <v>101</v>
      </c>
      <c r="AA34" t="s">
        <v>45</v>
      </c>
      <c r="AB34">
        <v>3</v>
      </c>
      <c r="AD34">
        <v>3</v>
      </c>
      <c r="AE34" t="s">
        <v>140</v>
      </c>
      <c r="AF34" t="s">
        <v>141</v>
      </c>
      <c r="AG34" t="s">
        <v>93</v>
      </c>
      <c r="AH34" t="s">
        <v>94</v>
      </c>
      <c r="AI34">
        <v>0</v>
      </c>
      <c r="AJ34">
        <v>33</v>
      </c>
    </row>
    <row r="35" spans="1:36" x14ac:dyDescent="0.25">
      <c r="A35" t="s">
        <v>1301</v>
      </c>
      <c r="B35">
        <v>33</v>
      </c>
      <c r="C35" t="s">
        <v>43</v>
      </c>
      <c r="D35">
        <v>3</v>
      </c>
      <c r="F35">
        <v>2</v>
      </c>
      <c r="G35" t="s">
        <v>135</v>
      </c>
      <c r="H35" t="s">
        <v>74</v>
      </c>
      <c r="I35" t="s">
        <v>75</v>
      </c>
      <c r="J35" t="s">
        <v>138</v>
      </c>
      <c r="K35" t="s">
        <v>63</v>
      </c>
      <c r="L35">
        <v>3</v>
      </c>
      <c r="N35">
        <v>1</v>
      </c>
      <c r="O35" t="s">
        <v>103</v>
      </c>
      <c r="P35" t="s">
        <v>91</v>
      </c>
      <c r="Q35" t="s">
        <v>148</v>
      </c>
      <c r="R35" t="s">
        <v>150</v>
      </c>
      <c r="S35" t="s">
        <v>53</v>
      </c>
      <c r="T35">
        <v>1</v>
      </c>
      <c r="U35">
        <v>3</v>
      </c>
      <c r="V35">
        <v>3</v>
      </c>
      <c r="W35" t="s">
        <v>112</v>
      </c>
      <c r="X35" t="s">
        <v>83</v>
      </c>
      <c r="AA35" t="s">
        <v>48</v>
      </c>
      <c r="AB35">
        <v>1</v>
      </c>
      <c r="AD35">
        <v>1</v>
      </c>
      <c r="AE35" t="s">
        <v>126</v>
      </c>
      <c r="AF35" t="s">
        <v>84</v>
      </c>
      <c r="AI35">
        <v>0</v>
      </c>
      <c r="AJ35">
        <v>21</v>
      </c>
    </row>
    <row r="36" spans="1:36" x14ac:dyDescent="0.25">
      <c r="A36" t="s">
        <v>1582</v>
      </c>
      <c r="B36">
        <v>34</v>
      </c>
      <c r="C36" t="s">
        <v>53</v>
      </c>
      <c r="D36">
        <v>1</v>
      </c>
      <c r="E36">
        <v>1</v>
      </c>
      <c r="F36">
        <v>3</v>
      </c>
      <c r="G36" t="s">
        <v>112</v>
      </c>
      <c r="H36" t="s">
        <v>113</v>
      </c>
      <c r="I36" t="s">
        <v>114</v>
      </c>
      <c r="J36" t="s">
        <v>116</v>
      </c>
      <c r="K36" t="s">
        <v>48</v>
      </c>
      <c r="L36">
        <v>2</v>
      </c>
      <c r="N36">
        <v>1</v>
      </c>
      <c r="O36" t="s">
        <v>126</v>
      </c>
      <c r="P36" t="s">
        <v>84</v>
      </c>
      <c r="Q36" t="s">
        <v>127</v>
      </c>
      <c r="R36" t="s">
        <v>129</v>
      </c>
      <c r="S36" t="s">
        <v>43</v>
      </c>
      <c r="T36">
        <v>3</v>
      </c>
      <c r="V36">
        <v>1</v>
      </c>
      <c r="W36" t="s">
        <v>135</v>
      </c>
      <c r="X36" t="s">
        <v>74</v>
      </c>
      <c r="Y36" t="s">
        <v>75</v>
      </c>
      <c r="AA36" t="s">
        <v>38</v>
      </c>
      <c r="AB36">
        <v>1</v>
      </c>
      <c r="AC36">
        <v>1</v>
      </c>
      <c r="AD36">
        <v>3</v>
      </c>
      <c r="AE36" t="s">
        <v>39</v>
      </c>
      <c r="AF36" t="s">
        <v>40</v>
      </c>
      <c r="AG36" t="s">
        <v>153</v>
      </c>
      <c r="AH36" t="s">
        <v>42</v>
      </c>
      <c r="AI36">
        <v>0</v>
      </c>
      <c r="AJ36">
        <v>23</v>
      </c>
    </row>
    <row r="37" spans="1:36" x14ac:dyDescent="0.25">
      <c r="A37" s="36" t="s">
        <v>1302</v>
      </c>
      <c r="B37">
        <v>35</v>
      </c>
      <c r="C37" t="s">
        <v>53</v>
      </c>
      <c r="D37">
        <v>3</v>
      </c>
      <c r="E37">
        <v>3</v>
      </c>
      <c r="F37">
        <v>1</v>
      </c>
      <c r="G37" t="s">
        <v>112</v>
      </c>
      <c r="H37" t="s">
        <v>83</v>
      </c>
      <c r="I37" t="s">
        <v>97</v>
      </c>
      <c r="J37" t="s">
        <v>116</v>
      </c>
      <c r="K37" t="s">
        <v>48</v>
      </c>
      <c r="L37">
        <v>3</v>
      </c>
      <c r="N37">
        <v>3</v>
      </c>
      <c r="O37" t="s">
        <v>126</v>
      </c>
      <c r="P37" t="s">
        <v>50</v>
      </c>
      <c r="Q37" t="s">
        <v>51</v>
      </c>
      <c r="R37" t="s">
        <v>129</v>
      </c>
      <c r="S37" t="s">
        <v>43</v>
      </c>
      <c r="T37">
        <v>2</v>
      </c>
      <c r="V37">
        <v>1</v>
      </c>
      <c r="W37" t="s">
        <v>135</v>
      </c>
      <c r="X37" t="s">
        <v>74</v>
      </c>
      <c r="AA37" t="s">
        <v>227</v>
      </c>
      <c r="AB37">
        <v>3</v>
      </c>
      <c r="AC37">
        <v>2</v>
      </c>
      <c r="AD37">
        <v>3</v>
      </c>
      <c r="AE37" t="s">
        <v>228</v>
      </c>
      <c r="AF37" t="s">
        <v>231</v>
      </c>
      <c r="AG37" t="s">
        <v>234</v>
      </c>
      <c r="AI37">
        <v>0</v>
      </c>
      <c r="AJ37">
        <v>29</v>
      </c>
    </row>
    <row r="38" spans="1:36" x14ac:dyDescent="0.25">
      <c r="A38" t="s">
        <v>1303</v>
      </c>
      <c r="B38">
        <v>36</v>
      </c>
      <c r="C38" t="s">
        <v>45</v>
      </c>
      <c r="D38">
        <v>3</v>
      </c>
      <c r="F38">
        <v>1</v>
      </c>
      <c r="G38" t="s">
        <v>86</v>
      </c>
      <c r="H38" t="s">
        <v>76</v>
      </c>
      <c r="I38" t="s">
        <v>93</v>
      </c>
      <c r="J38" t="s">
        <v>144</v>
      </c>
      <c r="K38" t="s">
        <v>63</v>
      </c>
      <c r="L38">
        <v>1</v>
      </c>
      <c r="N38">
        <v>2</v>
      </c>
      <c r="O38" t="s">
        <v>103</v>
      </c>
      <c r="P38" t="s">
        <v>95</v>
      </c>
      <c r="Q38" t="s">
        <v>148</v>
      </c>
      <c r="R38" t="s">
        <v>150</v>
      </c>
      <c r="S38" t="s">
        <v>53</v>
      </c>
      <c r="T38">
        <v>1</v>
      </c>
      <c r="U38">
        <v>3</v>
      </c>
      <c r="V38">
        <v>3</v>
      </c>
      <c r="W38" t="s">
        <v>112</v>
      </c>
      <c r="X38" t="s">
        <v>55</v>
      </c>
      <c r="AA38" t="s">
        <v>48</v>
      </c>
      <c r="AB38">
        <v>1</v>
      </c>
      <c r="AD38">
        <v>1</v>
      </c>
      <c r="AE38" t="s">
        <v>126</v>
      </c>
      <c r="AF38" t="s">
        <v>50</v>
      </c>
      <c r="AI38">
        <v>0</v>
      </c>
      <c r="AJ38">
        <v>20</v>
      </c>
    </row>
    <row r="39" spans="1:36" x14ac:dyDescent="0.25">
      <c r="A39" t="s">
        <v>1304</v>
      </c>
      <c r="B39">
        <v>37</v>
      </c>
      <c r="C39" t="s">
        <v>45</v>
      </c>
      <c r="D39">
        <v>3</v>
      </c>
      <c r="F39">
        <v>2</v>
      </c>
      <c r="G39" t="s">
        <v>86</v>
      </c>
      <c r="H39" t="s">
        <v>92</v>
      </c>
      <c r="I39" t="s">
        <v>93</v>
      </c>
      <c r="J39" t="s">
        <v>94</v>
      </c>
      <c r="K39" t="s">
        <v>38</v>
      </c>
      <c r="L39">
        <v>3</v>
      </c>
      <c r="M39">
        <v>3</v>
      </c>
      <c r="N39">
        <v>3</v>
      </c>
      <c r="O39" t="s">
        <v>39</v>
      </c>
      <c r="P39" t="s">
        <v>40</v>
      </c>
      <c r="Q39" t="s">
        <v>153</v>
      </c>
      <c r="R39" t="s">
        <v>42</v>
      </c>
      <c r="S39" t="s">
        <v>53</v>
      </c>
      <c r="T39">
        <v>3</v>
      </c>
      <c r="U39">
        <v>3</v>
      </c>
      <c r="V39">
        <v>2</v>
      </c>
      <c r="W39" t="s">
        <v>112</v>
      </c>
      <c r="X39" t="s">
        <v>83</v>
      </c>
      <c r="Y39" t="s">
        <v>97</v>
      </c>
      <c r="Z39" t="s">
        <v>98</v>
      </c>
      <c r="AA39" t="s">
        <v>48</v>
      </c>
      <c r="AB39">
        <v>3</v>
      </c>
      <c r="AD39">
        <v>1</v>
      </c>
      <c r="AE39" t="s">
        <v>126</v>
      </c>
      <c r="AF39" t="s">
        <v>84</v>
      </c>
      <c r="AG39" t="s">
        <v>127</v>
      </c>
      <c r="AH39" t="s">
        <v>129</v>
      </c>
      <c r="AI39">
        <v>0</v>
      </c>
      <c r="AJ39">
        <v>32</v>
      </c>
    </row>
    <row r="40" spans="1:36" x14ac:dyDescent="0.25">
      <c r="A40" s="36" t="s">
        <v>1583</v>
      </c>
      <c r="B40">
        <v>38</v>
      </c>
      <c r="C40" t="s">
        <v>45</v>
      </c>
      <c r="D40">
        <v>3</v>
      </c>
      <c r="F40">
        <v>3</v>
      </c>
      <c r="G40" t="s">
        <v>86</v>
      </c>
      <c r="H40" t="s">
        <v>76</v>
      </c>
      <c r="I40" t="s">
        <v>93</v>
      </c>
      <c r="J40" t="s">
        <v>94</v>
      </c>
      <c r="K40" t="s">
        <v>227</v>
      </c>
      <c r="L40">
        <v>3</v>
      </c>
      <c r="M40">
        <v>3</v>
      </c>
      <c r="N40">
        <v>2</v>
      </c>
      <c r="O40" t="s">
        <v>228</v>
      </c>
      <c r="P40" t="s">
        <v>231</v>
      </c>
      <c r="Q40" t="s">
        <v>236</v>
      </c>
      <c r="R40" t="s">
        <v>238</v>
      </c>
      <c r="S40" t="s">
        <v>53</v>
      </c>
      <c r="T40">
        <v>1</v>
      </c>
      <c r="U40">
        <v>3</v>
      </c>
      <c r="V40">
        <v>3</v>
      </c>
      <c r="W40" t="s">
        <v>112</v>
      </c>
      <c r="X40" t="s">
        <v>83</v>
      </c>
      <c r="Y40" t="s">
        <v>97</v>
      </c>
      <c r="Z40" t="s">
        <v>98</v>
      </c>
      <c r="AA40" t="s">
        <v>48</v>
      </c>
      <c r="AB40">
        <v>1</v>
      </c>
      <c r="AD40">
        <v>1</v>
      </c>
      <c r="AE40" t="s">
        <v>126</v>
      </c>
      <c r="AF40" t="s">
        <v>50</v>
      </c>
      <c r="AI40">
        <v>0</v>
      </c>
      <c r="AJ40">
        <v>27</v>
      </c>
    </row>
    <row r="41" spans="1:36" x14ac:dyDescent="0.25">
      <c r="A41" t="s">
        <v>1584</v>
      </c>
      <c r="B41">
        <v>39</v>
      </c>
      <c r="C41" t="s">
        <v>53</v>
      </c>
      <c r="D41">
        <v>3</v>
      </c>
      <c r="E41">
        <v>3</v>
      </c>
      <c r="F41">
        <v>3</v>
      </c>
      <c r="G41" t="s">
        <v>112</v>
      </c>
      <c r="H41" t="s">
        <v>83</v>
      </c>
      <c r="I41" t="s">
        <v>114</v>
      </c>
      <c r="J41" t="s">
        <v>116</v>
      </c>
      <c r="K41" t="s">
        <v>48</v>
      </c>
      <c r="L41">
        <v>3</v>
      </c>
      <c r="N41">
        <v>3</v>
      </c>
      <c r="O41" t="s">
        <v>49</v>
      </c>
      <c r="P41" t="s">
        <v>71</v>
      </c>
      <c r="Q41" t="s">
        <v>90</v>
      </c>
      <c r="R41" t="s">
        <v>129</v>
      </c>
      <c r="S41" t="s">
        <v>63</v>
      </c>
      <c r="T41">
        <v>2</v>
      </c>
      <c r="V41">
        <v>1</v>
      </c>
      <c r="W41" t="s">
        <v>145</v>
      </c>
      <c r="X41" t="s">
        <v>91</v>
      </c>
      <c r="Y41" t="s">
        <v>147</v>
      </c>
      <c r="AA41" t="s">
        <v>38</v>
      </c>
      <c r="AB41">
        <v>3</v>
      </c>
      <c r="AC41">
        <v>3</v>
      </c>
      <c r="AD41">
        <v>3</v>
      </c>
      <c r="AE41" t="s">
        <v>39</v>
      </c>
      <c r="AF41" t="s">
        <v>96</v>
      </c>
      <c r="AG41" t="s">
        <v>153</v>
      </c>
      <c r="AH41" t="s">
        <v>42</v>
      </c>
      <c r="AI41">
        <v>0</v>
      </c>
      <c r="AJ41">
        <v>33</v>
      </c>
    </row>
    <row r="42" spans="1:36" x14ac:dyDescent="0.25">
      <c r="A42" s="36" t="s">
        <v>1585</v>
      </c>
      <c r="B42">
        <v>40</v>
      </c>
      <c r="C42" t="s">
        <v>63</v>
      </c>
      <c r="D42">
        <v>3</v>
      </c>
      <c r="F42">
        <v>3</v>
      </c>
      <c r="G42" t="s">
        <v>103</v>
      </c>
      <c r="H42" t="s">
        <v>95</v>
      </c>
      <c r="I42" t="s">
        <v>147</v>
      </c>
      <c r="J42" t="s">
        <v>151</v>
      </c>
      <c r="K42" t="s">
        <v>227</v>
      </c>
      <c r="L42">
        <v>3</v>
      </c>
      <c r="M42">
        <v>3</v>
      </c>
      <c r="N42">
        <v>3</v>
      </c>
      <c r="O42" t="s">
        <v>229</v>
      </c>
      <c r="P42" t="s">
        <v>231</v>
      </c>
      <c r="Q42" t="s">
        <v>236</v>
      </c>
      <c r="R42" t="s">
        <v>239</v>
      </c>
      <c r="S42" t="s">
        <v>53</v>
      </c>
      <c r="T42">
        <v>3</v>
      </c>
      <c r="U42">
        <v>3</v>
      </c>
      <c r="V42">
        <v>3</v>
      </c>
      <c r="W42" t="s">
        <v>112</v>
      </c>
      <c r="X42" t="s">
        <v>83</v>
      </c>
      <c r="Y42" t="s">
        <v>97</v>
      </c>
      <c r="Z42" t="s">
        <v>115</v>
      </c>
      <c r="AA42" t="s">
        <v>48</v>
      </c>
      <c r="AB42">
        <v>1</v>
      </c>
      <c r="AD42">
        <v>1</v>
      </c>
      <c r="AE42" t="s">
        <v>126</v>
      </c>
      <c r="AF42" t="s">
        <v>71</v>
      </c>
      <c r="AI42">
        <v>0</v>
      </c>
      <c r="AJ42">
        <v>43</v>
      </c>
    </row>
    <row r="43" spans="1:36" x14ac:dyDescent="0.25">
      <c r="A43" s="36" t="s">
        <v>1586</v>
      </c>
      <c r="B43">
        <v>41</v>
      </c>
      <c r="C43" t="s">
        <v>53</v>
      </c>
      <c r="D43">
        <v>3</v>
      </c>
      <c r="E43">
        <v>3</v>
      </c>
      <c r="F43">
        <v>3</v>
      </c>
      <c r="G43" t="s">
        <v>112</v>
      </c>
      <c r="H43" t="s">
        <v>83</v>
      </c>
      <c r="I43" t="s">
        <v>97</v>
      </c>
      <c r="J43" t="s">
        <v>98</v>
      </c>
      <c r="K43" t="s">
        <v>48</v>
      </c>
      <c r="L43">
        <v>3</v>
      </c>
      <c r="N43">
        <v>3</v>
      </c>
      <c r="O43" t="s">
        <v>89</v>
      </c>
      <c r="P43" t="s">
        <v>84</v>
      </c>
      <c r="Q43" t="s">
        <v>127</v>
      </c>
      <c r="R43" t="s">
        <v>129</v>
      </c>
      <c r="S43" t="s">
        <v>38</v>
      </c>
      <c r="T43">
        <v>3</v>
      </c>
      <c r="U43">
        <v>3</v>
      </c>
      <c r="V43">
        <v>3</v>
      </c>
      <c r="W43" t="s">
        <v>39</v>
      </c>
      <c r="X43" t="s">
        <v>40</v>
      </c>
      <c r="Y43" t="s">
        <v>41</v>
      </c>
      <c r="Z43" t="s">
        <v>156</v>
      </c>
      <c r="AA43" t="s">
        <v>227</v>
      </c>
      <c r="AB43">
        <v>2</v>
      </c>
      <c r="AC43">
        <v>1</v>
      </c>
      <c r="AD43">
        <v>1</v>
      </c>
      <c r="AE43" t="s">
        <v>228</v>
      </c>
      <c r="AF43" t="s">
        <v>231</v>
      </c>
      <c r="AG43" t="s">
        <v>234</v>
      </c>
      <c r="AI43">
        <v>0</v>
      </c>
      <c r="AJ43">
        <v>56</v>
      </c>
    </row>
    <row r="44" spans="1:36" x14ac:dyDescent="0.25">
      <c r="A44" t="s">
        <v>1587</v>
      </c>
      <c r="B44">
        <v>42</v>
      </c>
      <c r="C44" t="s">
        <v>53</v>
      </c>
      <c r="D44">
        <v>3</v>
      </c>
      <c r="E44">
        <v>1</v>
      </c>
      <c r="F44">
        <v>2</v>
      </c>
      <c r="G44" t="s">
        <v>112</v>
      </c>
      <c r="H44" t="s">
        <v>55</v>
      </c>
      <c r="I44" t="s">
        <v>114</v>
      </c>
      <c r="J44" t="s">
        <v>116</v>
      </c>
      <c r="K44" t="s">
        <v>33</v>
      </c>
      <c r="L44">
        <v>3</v>
      </c>
      <c r="N44">
        <v>3</v>
      </c>
      <c r="O44" t="s">
        <v>65</v>
      </c>
      <c r="P44" t="s">
        <v>130</v>
      </c>
      <c r="Q44" t="s">
        <v>36</v>
      </c>
      <c r="R44" t="s">
        <v>133</v>
      </c>
      <c r="S44" t="s">
        <v>56</v>
      </c>
      <c r="T44">
        <v>3</v>
      </c>
      <c r="V44">
        <v>2</v>
      </c>
      <c r="W44" t="s">
        <v>120</v>
      </c>
      <c r="X44" t="s">
        <v>121</v>
      </c>
      <c r="Y44" t="s">
        <v>123</v>
      </c>
      <c r="Z44" t="s">
        <v>124</v>
      </c>
      <c r="AA44" t="s">
        <v>48</v>
      </c>
      <c r="AB44">
        <v>1</v>
      </c>
      <c r="AD44">
        <v>1</v>
      </c>
      <c r="AE44" t="s">
        <v>126</v>
      </c>
      <c r="AF44" t="s">
        <v>84</v>
      </c>
      <c r="AI44">
        <v>0</v>
      </c>
      <c r="AJ44">
        <v>24</v>
      </c>
    </row>
    <row r="45" spans="1:36" x14ac:dyDescent="0.25">
      <c r="A45" t="s">
        <v>1588</v>
      </c>
      <c r="B45">
        <v>43</v>
      </c>
      <c r="C45" t="s">
        <v>53</v>
      </c>
      <c r="D45">
        <v>1</v>
      </c>
      <c r="E45">
        <v>1</v>
      </c>
      <c r="F45">
        <v>3</v>
      </c>
      <c r="G45" t="s">
        <v>112</v>
      </c>
      <c r="H45" t="s">
        <v>55</v>
      </c>
      <c r="K45" t="s">
        <v>33</v>
      </c>
      <c r="L45">
        <v>2</v>
      </c>
      <c r="N45">
        <v>2</v>
      </c>
      <c r="O45" t="s">
        <v>65</v>
      </c>
      <c r="P45" t="s">
        <v>66</v>
      </c>
      <c r="Q45" t="s">
        <v>36</v>
      </c>
      <c r="S45" t="s">
        <v>56</v>
      </c>
      <c r="T45">
        <v>3</v>
      </c>
      <c r="V45">
        <v>1</v>
      </c>
      <c r="W45" t="s">
        <v>120</v>
      </c>
      <c r="X45" t="s">
        <v>69</v>
      </c>
      <c r="AA45" t="s">
        <v>43</v>
      </c>
      <c r="AB45">
        <v>1</v>
      </c>
      <c r="AD45">
        <v>2</v>
      </c>
      <c r="AE45" t="s">
        <v>73</v>
      </c>
      <c r="AF45" t="s">
        <v>136</v>
      </c>
      <c r="AG45" t="s">
        <v>75</v>
      </c>
      <c r="AI45">
        <v>0</v>
      </c>
      <c r="AJ45">
        <v>17</v>
      </c>
    </row>
    <row r="46" spans="1:36" x14ac:dyDescent="0.25">
      <c r="A46" t="s">
        <v>1589</v>
      </c>
      <c r="B46">
        <v>44</v>
      </c>
      <c r="C46" t="s">
        <v>56</v>
      </c>
      <c r="D46">
        <v>3</v>
      </c>
      <c r="F46">
        <v>1</v>
      </c>
      <c r="G46" t="s">
        <v>57</v>
      </c>
      <c r="H46" t="s">
        <v>122</v>
      </c>
      <c r="I46" t="s">
        <v>85</v>
      </c>
      <c r="J46" t="s">
        <v>124</v>
      </c>
      <c r="K46" t="s">
        <v>45</v>
      </c>
      <c r="L46">
        <v>3</v>
      </c>
      <c r="N46">
        <v>2</v>
      </c>
      <c r="O46" t="s">
        <v>140</v>
      </c>
      <c r="P46" t="s">
        <v>141</v>
      </c>
      <c r="Q46" t="s">
        <v>93</v>
      </c>
      <c r="R46" t="s">
        <v>94</v>
      </c>
      <c r="S46" t="s">
        <v>53</v>
      </c>
      <c r="T46">
        <v>3</v>
      </c>
      <c r="U46">
        <v>3</v>
      </c>
      <c r="V46">
        <v>3</v>
      </c>
      <c r="W46" t="s">
        <v>112</v>
      </c>
      <c r="AA46" t="s">
        <v>33</v>
      </c>
      <c r="AB46">
        <v>1</v>
      </c>
      <c r="AD46">
        <v>3</v>
      </c>
      <c r="AE46" t="s">
        <v>65</v>
      </c>
      <c r="AI46">
        <v>0</v>
      </c>
      <c r="AJ46">
        <v>24</v>
      </c>
    </row>
    <row r="47" spans="1:36" x14ac:dyDescent="0.25">
      <c r="A47" t="s">
        <v>1305</v>
      </c>
      <c r="B47">
        <v>45</v>
      </c>
      <c r="C47" t="s">
        <v>53</v>
      </c>
      <c r="D47">
        <v>1</v>
      </c>
      <c r="E47">
        <v>2</v>
      </c>
      <c r="F47">
        <v>2</v>
      </c>
      <c r="G47" t="s">
        <v>112</v>
      </c>
      <c r="H47" t="s">
        <v>113</v>
      </c>
      <c r="I47" t="s">
        <v>97</v>
      </c>
      <c r="J47" t="s">
        <v>98</v>
      </c>
      <c r="K47" t="s">
        <v>33</v>
      </c>
      <c r="L47">
        <v>3</v>
      </c>
      <c r="N47">
        <v>2</v>
      </c>
      <c r="O47" t="s">
        <v>34</v>
      </c>
      <c r="P47" t="s">
        <v>66</v>
      </c>
      <c r="Q47" t="s">
        <v>132</v>
      </c>
      <c r="R47" t="s">
        <v>37</v>
      </c>
      <c r="S47" t="s">
        <v>56</v>
      </c>
      <c r="T47">
        <v>3</v>
      </c>
      <c r="V47">
        <v>1</v>
      </c>
      <c r="W47" t="s">
        <v>57</v>
      </c>
      <c r="X47" t="s">
        <v>122</v>
      </c>
      <c r="Y47" t="s">
        <v>123</v>
      </c>
      <c r="Z47" t="s">
        <v>124</v>
      </c>
      <c r="AA47" t="s">
        <v>63</v>
      </c>
      <c r="AB47">
        <v>1</v>
      </c>
      <c r="AD47">
        <v>1</v>
      </c>
      <c r="AE47" t="s">
        <v>103</v>
      </c>
      <c r="AF47" t="s">
        <v>91</v>
      </c>
      <c r="AG47" t="s">
        <v>148</v>
      </c>
      <c r="AH47" t="s">
        <v>151</v>
      </c>
      <c r="AI47">
        <v>0</v>
      </c>
      <c r="AJ47">
        <v>23</v>
      </c>
    </row>
    <row r="48" spans="1:36" x14ac:dyDescent="0.25">
      <c r="A48" t="s">
        <v>1306</v>
      </c>
      <c r="B48">
        <v>46</v>
      </c>
      <c r="C48" t="s">
        <v>56</v>
      </c>
      <c r="D48">
        <v>3</v>
      </c>
      <c r="F48">
        <v>2</v>
      </c>
      <c r="G48" t="s">
        <v>120</v>
      </c>
      <c r="K48" t="s">
        <v>38</v>
      </c>
      <c r="L48">
        <v>1</v>
      </c>
      <c r="M48">
        <v>1</v>
      </c>
      <c r="N48">
        <v>2</v>
      </c>
      <c r="O48" t="s">
        <v>67</v>
      </c>
      <c r="P48" t="s">
        <v>40</v>
      </c>
      <c r="Q48" t="s">
        <v>154</v>
      </c>
      <c r="R48" t="s">
        <v>42</v>
      </c>
      <c r="S48" t="s">
        <v>53</v>
      </c>
      <c r="T48">
        <v>3</v>
      </c>
      <c r="U48">
        <v>1</v>
      </c>
      <c r="V48">
        <v>1</v>
      </c>
      <c r="W48" t="s">
        <v>112</v>
      </c>
      <c r="X48" t="s">
        <v>83</v>
      </c>
      <c r="Y48" t="s">
        <v>97</v>
      </c>
      <c r="AA48" t="s">
        <v>33</v>
      </c>
      <c r="AB48">
        <v>1</v>
      </c>
      <c r="AD48">
        <v>3</v>
      </c>
      <c r="AE48" t="s">
        <v>65</v>
      </c>
      <c r="AI48">
        <v>0</v>
      </c>
      <c r="AJ48">
        <v>18</v>
      </c>
    </row>
    <row r="49" spans="1:36" x14ac:dyDescent="0.25">
      <c r="A49" s="36" t="s">
        <v>1307</v>
      </c>
      <c r="B49">
        <v>47</v>
      </c>
      <c r="C49" t="s">
        <v>56</v>
      </c>
      <c r="D49">
        <v>3</v>
      </c>
      <c r="F49">
        <v>3</v>
      </c>
      <c r="G49" t="s">
        <v>57</v>
      </c>
      <c r="H49" t="s">
        <v>122</v>
      </c>
      <c r="I49" t="s">
        <v>85</v>
      </c>
      <c r="J49" t="s">
        <v>125</v>
      </c>
      <c r="K49" t="s">
        <v>227</v>
      </c>
      <c r="L49">
        <v>2</v>
      </c>
      <c r="M49">
        <v>3</v>
      </c>
      <c r="N49">
        <v>2</v>
      </c>
      <c r="O49" t="s">
        <v>228</v>
      </c>
      <c r="P49" t="s">
        <v>232</v>
      </c>
      <c r="Q49" t="s">
        <v>235</v>
      </c>
      <c r="R49" t="s">
        <v>238</v>
      </c>
      <c r="S49" t="s">
        <v>53</v>
      </c>
      <c r="T49">
        <v>1</v>
      </c>
      <c r="U49">
        <v>3</v>
      </c>
      <c r="V49">
        <v>3</v>
      </c>
      <c r="W49" t="s">
        <v>112</v>
      </c>
      <c r="X49" t="s">
        <v>83</v>
      </c>
      <c r="Y49" t="s">
        <v>97</v>
      </c>
      <c r="Z49" t="s">
        <v>98</v>
      </c>
      <c r="AA49" t="s">
        <v>33</v>
      </c>
      <c r="AB49">
        <v>2</v>
      </c>
      <c r="AD49">
        <v>2</v>
      </c>
      <c r="AE49" t="s">
        <v>65</v>
      </c>
      <c r="AI49">
        <v>0</v>
      </c>
      <c r="AJ49">
        <v>28</v>
      </c>
    </row>
    <row r="50" spans="1:36" x14ac:dyDescent="0.25">
      <c r="A50" t="s">
        <v>1590</v>
      </c>
      <c r="B50">
        <v>48</v>
      </c>
      <c r="C50" t="s">
        <v>53</v>
      </c>
      <c r="D50">
        <v>1</v>
      </c>
      <c r="E50">
        <v>3</v>
      </c>
      <c r="F50">
        <v>3</v>
      </c>
      <c r="G50" t="s">
        <v>112</v>
      </c>
      <c r="H50" t="s">
        <v>83</v>
      </c>
      <c r="I50" t="s">
        <v>97</v>
      </c>
      <c r="K50" t="s">
        <v>33</v>
      </c>
      <c r="L50">
        <v>3</v>
      </c>
      <c r="N50">
        <v>3</v>
      </c>
      <c r="O50" t="s">
        <v>65</v>
      </c>
      <c r="P50" t="s">
        <v>66</v>
      </c>
      <c r="Q50" t="s">
        <v>131</v>
      </c>
      <c r="R50" t="s">
        <v>37</v>
      </c>
      <c r="S50" t="s">
        <v>48</v>
      </c>
      <c r="T50">
        <v>3</v>
      </c>
      <c r="V50">
        <v>2</v>
      </c>
      <c r="W50" t="s">
        <v>49</v>
      </c>
      <c r="X50" t="s">
        <v>84</v>
      </c>
      <c r="Y50" t="s">
        <v>90</v>
      </c>
      <c r="Z50" t="s">
        <v>128</v>
      </c>
      <c r="AA50" t="s">
        <v>43</v>
      </c>
      <c r="AB50">
        <v>2</v>
      </c>
      <c r="AD50">
        <v>1</v>
      </c>
      <c r="AE50" t="s">
        <v>73</v>
      </c>
      <c r="AF50" t="s">
        <v>136</v>
      </c>
      <c r="AI50">
        <v>0</v>
      </c>
      <c r="AJ50">
        <v>25</v>
      </c>
    </row>
    <row r="51" spans="1:36" x14ac:dyDescent="0.25">
      <c r="A51" t="s">
        <v>1591</v>
      </c>
      <c r="B51">
        <v>49</v>
      </c>
      <c r="C51" t="s">
        <v>53</v>
      </c>
      <c r="D51">
        <v>3</v>
      </c>
      <c r="E51">
        <v>3</v>
      </c>
      <c r="F51">
        <v>3</v>
      </c>
      <c r="G51" t="s">
        <v>112</v>
      </c>
      <c r="H51" t="s">
        <v>83</v>
      </c>
      <c r="I51" t="s">
        <v>114</v>
      </c>
      <c r="J51" t="s">
        <v>98</v>
      </c>
      <c r="K51" t="s">
        <v>33</v>
      </c>
      <c r="L51">
        <v>2</v>
      </c>
      <c r="N51">
        <v>2</v>
      </c>
      <c r="O51" t="s">
        <v>65</v>
      </c>
      <c r="P51" t="s">
        <v>35</v>
      </c>
      <c r="Q51" t="s">
        <v>132</v>
      </c>
      <c r="R51" t="s">
        <v>37</v>
      </c>
      <c r="S51" t="s">
        <v>48</v>
      </c>
      <c r="T51">
        <v>1</v>
      </c>
      <c r="V51">
        <v>1</v>
      </c>
      <c r="W51" t="s">
        <v>126</v>
      </c>
      <c r="X51" t="s">
        <v>84</v>
      </c>
      <c r="AA51" t="s">
        <v>45</v>
      </c>
      <c r="AB51">
        <v>3</v>
      </c>
      <c r="AD51">
        <v>3</v>
      </c>
      <c r="AE51" t="s">
        <v>140</v>
      </c>
      <c r="AF51" t="s">
        <v>92</v>
      </c>
      <c r="AG51" t="s">
        <v>102</v>
      </c>
      <c r="AH51" t="s">
        <v>144</v>
      </c>
      <c r="AI51">
        <v>0</v>
      </c>
      <c r="AJ51">
        <v>28</v>
      </c>
    </row>
    <row r="52" spans="1:36" x14ac:dyDescent="0.25">
      <c r="A52" t="s">
        <v>1592</v>
      </c>
      <c r="B52">
        <v>50</v>
      </c>
      <c r="C52" t="s">
        <v>53</v>
      </c>
      <c r="D52">
        <v>2</v>
      </c>
      <c r="E52">
        <v>1</v>
      </c>
      <c r="F52">
        <v>1</v>
      </c>
      <c r="G52" t="s">
        <v>112</v>
      </c>
      <c r="H52" t="s">
        <v>113</v>
      </c>
      <c r="I52" t="s">
        <v>114</v>
      </c>
      <c r="J52" t="s">
        <v>116</v>
      </c>
      <c r="K52" t="s">
        <v>33</v>
      </c>
      <c r="L52">
        <v>3</v>
      </c>
      <c r="N52">
        <v>3</v>
      </c>
      <c r="O52" t="s">
        <v>34</v>
      </c>
      <c r="P52" t="s">
        <v>66</v>
      </c>
      <c r="S52" t="s">
        <v>48</v>
      </c>
      <c r="T52">
        <v>2</v>
      </c>
      <c r="V52">
        <v>1</v>
      </c>
      <c r="W52" t="s">
        <v>126</v>
      </c>
      <c r="X52" t="s">
        <v>50</v>
      </c>
      <c r="Y52" t="s">
        <v>127</v>
      </c>
      <c r="Z52" t="s">
        <v>129</v>
      </c>
      <c r="AA52" t="s">
        <v>63</v>
      </c>
      <c r="AB52">
        <v>1</v>
      </c>
      <c r="AD52">
        <v>1</v>
      </c>
      <c r="AE52" t="s">
        <v>145</v>
      </c>
      <c r="AF52" t="s">
        <v>91</v>
      </c>
      <c r="AG52" t="s">
        <v>147</v>
      </c>
      <c r="AI52">
        <v>0</v>
      </c>
      <c r="AJ52">
        <v>19</v>
      </c>
    </row>
    <row r="53" spans="1:36" x14ac:dyDescent="0.25">
      <c r="A53" t="s">
        <v>1308</v>
      </c>
      <c r="B53">
        <v>51</v>
      </c>
      <c r="C53" t="s">
        <v>53</v>
      </c>
      <c r="D53">
        <v>1</v>
      </c>
      <c r="E53">
        <v>3</v>
      </c>
      <c r="F53">
        <v>2</v>
      </c>
      <c r="G53" t="s">
        <v>112</v>
      </c>
      <c r="H53" t="s">
        <v>83</v>
      </c>
      <c r="I53" t="s">
        <v>114</v>
      </c>
      <c r="K53" t="s">
        <v>33</v>
      </c>
      <c r="L53">
        <v>2</v>
      </c>
      <c r="N53">
        <v>2</v>
      </c>
      <c r="O53" t="s">
        <v>65</v>
      </c>
      <c r="P53" t="s">
        <v>66</v>
      </c>
      <c r="Q53" t="s">
        <v>131</v>
      </c>
      <c r="R53" t="s">
        <v>133</v>
      </c>
      <c r="S53" t="s">
        <v>48</v>
      </c>
      <c r="T53">
        <v>1</v>
      </c>
      <c r="V53">
        <v>1</v>
      </c>
      <c r="W53" t="s">
        <v>49</v>
      </c>
      <c r="X53" t="s">
        <v>84</v>
      </c>
      <c r="Y53" t="s">
        <v>90</v>
      </c>
      <c r="AA53" t="s">
        <v>38</v>
      </c>
      <c r="AB53">
        <v>1</v>
      </c>
      <c r="AC53">
        <v>2</v>
      </c>
      <c r="AD53">
        <v>2</v>
      </c>
      <c r="AE53" t="s">
        <v>67</v>
      </c>
      <c r="AF53" t="s">
        <v>40</v>
      </c>
      <c r="AG53" t="s">
        <v>153</v>
      </c>
      <c r="AH53" t="s">
        <v>42</v>
      </c>
      <c r="AI53">
        <v>0</v>
      </c>
      <c r="AJ53">
        <v>21</v>
      </c>
    </row>
    <row r="54" spans="1:36" x14ac:dyDescent="0.25">
      <c r="A54" s="36" t="s">
        <v>1309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112</v>
      </c>
      <c r="H54" t="s">
        <v>83</v>
      </c>
      <c r="I54" t="s">
        <v>114</v>
      </c>
      <c r="J54" t="s">
        <v>116</v>
      </c>
      <c r="K54" t="s">
        <v>33</v>
      </c>
      <c r="L54">
        <v>2</v>
      </c>
      <c r="N54">
        <v>2</v>
      </c>
      <c r="O54" t="s">
        <v>65</v>
      </c>
      <c r="P54" t="s">
        <v>130</v>
      </c>
      <c r="Q54" t="s">
        <v>36</v>
      </c>
      <c r="R54" t="s">
        <v>133</v>
      </c>
      <c r="S54" t="s">
        <v>48</v>
      </c>
      <c r="T54">
        <v>1</v>
      </c>
      <c r="V54">
        <v>1</v>
      </c>
      <c r="W54" t="s">
        <v>126</v>
      </c>
      <c r="X54" t="s">
        <v>84</v>
      </c>
      <c r="AA54" t="s">
        <v>227</v>
      </c>
      <c r="AB54">
        <v>2</v>
      </c>
      <c r="AC54">
        <v>1</v>
      </c>
      <c r="AD54">
        <v>3</v>
      </c>
      <c r="AE54" t="s">
        <v>228</v>
      </c>
      <c r="AF54" t="s">
        <v>231</v>
      </c>
      <c r="AI54">
        <v>0</v>
      </c>
      <c r="AJ54">
        <v>18</v>
      </c>
    </row>
    <row r="55" spans="1:36" x14ac:dyDescent="0.25">
      <c r="A55" t="s">
        <v>1310</v>
      </c>
      <c r="B55">
        <v>53</v>
      </c>
      <c r="C55" t="s">
        <v>53</v>
      </c>
      <c r="D55">
        <v>3</v>
      </c>
      <c r="E55">
        <v>3</v>
      </c>
      <c r="F55">
        <v>3</v>
      </c>
      <c r="G55" t="s">
        <v>112</v>
      </c>
      <c r="H55" t="s">
        <v>55</v>
      </c>
      <c r="I55" t="s">
        <v>114</v>
      </c>
      <c r="J55" t="s">
        <v>98</v>
      </c>
      <c r="K55" t="s">
        <v>33</v>
      </c>
      <c r="L55">
        <v>1</v>
      </c>
      <c r="N55">
        <v>3</v>
      </c>
      <c r="O55" t="s">
        <v>65</v>
      </c>
      <c r="S55" t="s">
        <v>43</v>
      </c>
      <c r="T55">
        <v>3</v>
      </c>
      <c r="V55">
        <v>3</v>
      </c>
      <c r="W55" t="s">
        <v>135</v>
      </c>
      <c r="X55" t="s">
        <v>99</v>
      </c>
      <c r="Y55" t="s">
        <v>137</v>
      </c>
      <c r="AA55" t="s">
        <v>45</v>
      </c>
      <c r="AB55">
        <v>3</v>
      </c>
      <c r="AD55">
        <v>3</v>
      </c>
      <c r="AE55" t="s">
        <v>140</v>
      </c>
      <c r="AF55" t="s">
        <v>141</v>
      </c>
      <c r="AG55" t="s">
        <v>93</v>
      </c>
      <c r="AH55" t="s">
        <v>94</v>
      </c>
      <c r="AI55">
        <v>0</v>
      </c>
      <c r="AJ55">
        <v>30</v>
      </c>
    </row>
    <row r="56" spans="1:36" x14ac:dyDescent="0.25">
      <c r="A56" t="s">
        <v>1311</v>
      </c>
      <c r="B56">
        <v>54</v>
      </c>
      <c r="C56" t="s">
        <v>43</v>
      </c>
      <c r="D56">
        <v>2</v>
      </c>
      <c r="F56">
        <v>2</v>
      </c>
      <c r="G56" t="s">
        <v>135</v>
      </c>
      <c r="K56" t="s">
        <v>63</v>
      </c>
      <c r="L56">
        <v>1</v>
      </c>
      <c r="N56">
        <v>2</v>
      </c>
      <c r="O56" t="s">
        <v>145</v>
      </c>
      <c r="P56" t="s">
        <v>95</v>
      </c>
      <c r="Q56" t="s">
        <v>147</v>
      </c>
      <c r="S56" t="s">
        <v>53</v>
      </c>
      <c r="T56">
        <v>2</v>
      </c>
      <c r="U56">
        <v>1</v>
      </c>
      <c r="V56">
        <v>1</v>
      </c>
      <c r="W56" t="s">
        <v>112</v>
      </c>
      <c r="X56" t="s">
        <v>83</v>
      </c>
      <c r="Y56" t="s">
        <v>97</v>
      </c>
      <c r="AA56" t="s">
        <v>33</v>
      </c>
      <c r="AB56">
        <v>2</v>
      </c>
      <c r="AD56">
        <v>2</v>
      </c>
      <c r="AE56" t="s">
        <v>34</v>
      </c>
      <c r="AI56">
        <v>0</v>
      </c>
      <c r="AJ56">
        <v>14</v>
      </c>
    </row>
    <row r="57" spans="1:36" x14ac:dyDescent="0.25">
      <c r="A57" t="s">
        <v>1593</v>
      </c>
      <c r="B57">
        <v>55</v>
      </c>
      <c r="C57" t="s">
        <v>53</v>
      </c>
      <c r="D57">
        <v>3</v>
      </c>
      <c r="E57">
        <v>3</v>
      </c>
      <c r="F57">
        <v>3</v>
      </c>
      <c r="G57" t="s">
        <v>112</v>
      </c>
      <c r="H57" t="s">
        <v>55</v>
      </c>
      <c r="I57" t="s">
        <v>97</v>
      </c>
      <c r="J57" t="s">
        <v>98</v>
      </c>
      <c r="K57" t="s">
        <v>33</v>
      </c>
      <c r="L57">
        <v>1</v>
      </c>
      <c r="N57">
        <v>1</v>
      </c>
      <c r="O57" t="s">
        <v>65</v>
      </c>
      <c r="S57" t="s">
        <v>43</v>
      </c>
      <c r="T57">
        <v>3</v>
      </c>
      <c r="V57">
        <v>3</v>
      </c>
      <c r="W57" t="s">
        <v>135</v>
      </c>
      <c r="X57" t="s">
        <v>99</v>
      </c>
      <c r="Y57" t="s">
        <v>137</v>
      </c>
      <c r="Z57" t="s">
        <v>101</v>
      </c>
      <c r="AA57" t="s">
        <v>38</v>
      </c>
      <c r="AB57">
        <v>2</v>
      </c>
      <c r="AC57">
        <v>3</v>
      </c>
      <c r="AD57">
        <v>3</v>
      </c>
      <c r="AE57" t="s">
        <v>67</v>
      </c>
      <c r="AF57" t="s">
        <v>40</v>
      </c>
      <c r="AG57" t="s">
        <v>154</v>
      </c>
      <c r="AH57" t="s">
        <v>42</v>
      </c>
      <c r="AI57">
        <v>0</v>
      </c>
      <c r="AJ57">
        <v>40</v>
      </c>
    </row>
    <row r="58" spans="1:36" x14ac:dyDescent="0.25">
      <c r="A58" s="36" t="s">
        <v>1312</v>
      </c>
      <c r="B58">
        <v>56</v>
      </c>
      <c r="C58" t="s">
        <v>43</v>
      </c>
      <c r="D58">
        <v>3</v>
      </c>
      <c r="F58">
        <v>1</v>
      </c>
      <c r="G58" t="s">
        <v>135</v>
      </c>
      <c r="K58" t="s">
        <v>227</v>
      </c>
      <c r="L58">
        <v>3</v>
      </c>
      <c r="M58">
        <v>1</v>
      </c>
      <c r="N58">
        <v>3</v>
      </c>
      <c r="O58" t="s">
        <v>228</v>
      </c>
      <c r="P58" t="s">
        <v>231</v>
      </c>
      <c r="Q58" t="s">
        <v>234</v>
      </c>
      <c r="R58" t="s">
        <v>238</v>
      </c>
      <c r="S58" t="s">
        <v>53</v>
      </c>
      <c r="T58">
        <v>1</v>
      </c>
      <c r="U58">
        <v>3</v>
      </c>
      <c r="V58">
        <v>3</v>
      </c>
      <c r="W58" t="s">
        <v>112</v>
      </c>
      <c r="X58" t="s">
        <v>83</v>
      </c>
      <c r="Y58" t="s">
        <v>97</v>
      </c>
      <c r="Z58" t="s">
        <v>98</v>
      </c>
      <c r="AA58" t="s">
        <v>33</v>
      </c>
      <c r="AB58">
        <v>3</v>
      </c>
      <c r="AD58">
        <v>3</v>
      </c>
      <c r="AE58" t="s">
        <v>65</v>
      </c>
      <c r="AI58">
        <v>0</v>
      </c>
      <c r="AJ58">
        <v>25</v>
      </c>
    </row>
    <row r="59" spans="1:36" x14ac:dyDescent="0.25">
      <c r="A59" t="s">
        <v>1313</v>
      </c>
      <c r="B59">
        <v>57</v>
      </c>
      <c r="C59" t="s">
        <v>45</v>
      </c>
      <c r="D59">
        <v>3</v>
      </c>
      <c r="F59">
        <v>1</v>
      </c>
      <c r="G59" t="s">
        <v>140</v>
      </c>
      <c r="H59" t="s">
        <v>76</v>
      </c>
      <c r="I59" t="s">
        <v>102</v>
      </c>
      <c r="J59" t="s">
        <v>94</v>
      </c>
      <c r="K59" t="s">
        <v>63</v>
      </c>
      <c r="L59">
        <v>1</v>
      </c>
      <c r="N59">
        <v>2</v>
      </c>
      <c r="O59" t="s">
        <v>145</v>
      </c>
      <c r="P59" t="s">
        <v>95</v>
      </c>
      <c r="Q59" t="s">
        <v>148</v>
      </c>
      <c r="R59" t="s">
        <v>150</v>
      </c>
      <c r="S59" t="s">
        <v>53</v>
      </c>
      <c r="T59">
        <v>1</v>
      </c>
      <c r="U59">
        <v>3</v>
      </c>
      <c r="V59">
        <v>3</v>
      </c>
      <c r="W59" t="s">
        <v>112</v>
      </c>
      <c r="X59" t="s">
        <v>55</v>
      </c>
      <c r="AA59" t="s">
        <v>33</v>
      </c>
      <c r="AB59">
        <v>1</v>
      </c>
      <c r="AD59">
        <v>3</v>
      </c>
      <c r="AE59" t="s">
        <v>65</v>
      </c>
      <c r="AI59">
        <v>0</v>
      </c>
      <c r="AJ59">
        <v>21</v>
      </c>
    </row>
    <row r="60" spans="1:36" x14ac:dyDescent="0.25">
      <c r="A60" t="s">
        <v>1314</v>
      </c>
      <c r="B60">
        <v>58</v>
      </c>
      <c r="C60" t="s">
        <v>45</v>
      </c>
      <c r="D60">
        <v>3</v>
      </c>
      <c r="F60">
        <v>3</v>
      </c>
      <c r="G60" t="s">
        <v>86</v>
      </c>
      <c r="H60" t="s">
        <v>76</v>
      </c>
      <c r="I60" t="s">
        <v>93</v>
      </c>
      <c r="J60" t="s">
        <v>94</v>
      </c>
      <c r="K60" t="s">
        <v>38</v>
      </c>
      <c r="L60">
        <v>3</v>
      </c>
      <c r="M60">
        <v>3</v>
      </c>
      <c r="N60">
        <v>3</v>
      </c>
      <c r="O60" t="s">
        <v>39</v>
      </c>
      <c r="P60" t="s">
        <v>40</v>
      </c>
      <c r="Q60" t="s">
        <v>154</v>
      </c>
      <c r="R60" t="s">
        <v>42</v>
      </c>
      <c r="S60" t="s">
        <v>53</v>
      </c>
      <c r="T60">
        <v>3</v>
      </c>
      <c r="U60">
        <v>3</v>
      </c>
      <c r="V60">
        <v>3</v>
      </c>
      <c r="W60" t="s">
        <v>112</v>
      </c>
      <c r="X60" t="s">
        <v>83</v>
      </c>
      <c r="Y60" t="s">
        <v>114</v>
      </c>
      <c r="Z60" t="s">
        <v>98</v>
      </c>
      <c r="AA60" t="s">
        <v>33</v>
      </c>
      <c r="AB60">
        <v>1</v>
      </c>
      <c r="AD60">
        <v>2</v>
      </c>
      <c r="AE60" t="s">
        <v>65</v>
      </c>
      <c r="AI60">
        <v>0</v>
      </c>
      <c r="AJ60">
        <v>33</v>
      </c>
    </row>
    <row r="61" spans="1:36" x14ac:dyDescent="0.25">
      <c r="A61" s="36" t="s">
        <v>1594</v>
      </c>
      <c r="B61">
        <v>59</v>
      </c>
      <c r="C61" t="s">
        <v>45</v>
      </c>
      <c r="D61">
        <v>3</v>
      </c>
      <c r="F61">
        <v>1</v>
      </c>
      <c r="G61" t="s">
        <v>140</v>
      </c>
      <c r="H61" t="s">
        <v>76</v>
      </c>
      <c r="I61" t="s">
        <v>93</v>
      </c>
      <c r="K61" t="s">
        <v>227</v>
      </c>
      <c r="L61">
        <v>3</v>
      </c>
      <c r="M61">
        <v>1</v>
      </c>
      <c r="N61">
        <v>2</v>
      </c>
      <c r="O61" t="s">
        <v>228</v>
      </c>
      <c r="P61" t="s">
        <v>231</v>
      </c>
      <c r="S61" t="s">
        <v>53</v>
      </c>
      <c r="T61">
        <v>1</v>
      </c>
      <c r="U61">
        <v>3</v>
      </c>
      <c r="V61">
        <v>2</v>
      </c>
      <c r="W61" t="s">
        <v>112</v>
      </c>
      <c r="AA61" t="s">
        <v>33</v>
      </c>
      <c r="AB61">
        <v>2</v>
      </c>
      <c r="AD61">
        <v>3</v>
      </c>
      <c r="AE61" t="s">
        <v>65</v>
      </c>
      <c r="AI61">
        <v>0</v>
      </c>
      <c r="AJ61">
        <v>18</v>
      </c>
    </row>
    <row r="62" spans="1:36" x14ac:dyDescent="0.25">
      <c r="A62" t="s">
        <v>1595</v>
      </c>
      <c r="B62">
        <v>60</v>
      </c>
      <c r="C62" t="s">
        <v>63</v>
      </c>
      <c r="D62">
        <v>2</v>
      </c>
      <c r="F62">
        <v>1</v>
      </c>
      <c r="G62" t="s">
        <v>103</v>
      </c>
      <c r="H62" t="s">
        <v>95</v>
      </c>
      <c r="I62" t="s">
        <v>104</v>
      </c>
      <c r="J62" t="s">
        <v>149</v>
      </c>
      <c r="K62" t="s">
        <v>38</v>
      </c>
      <c r="L62">
        <v>1</v>
      </c>
      <c r="M62">
        <v>1</v>
      </c>
      <c r="N62">
        <v>3</v>
      </c>
      <c r="O62" t="s">
        <v>152</v>
      </c>
      <c r="P62" t="s">
        <v>40</v>
      </c>
      <c r="S62" t="s">
        <v>53</v>
      </c>
      <c r="T62">
        <v>2</v>
      </c>
      <c r="U62">
        <v>1</v>
      </c>
      <c r="V62">
        <v>1</v>
      </c>
      <c r="W62" t="s">
        <v>112</v>
      </c>
      <c r="X62" t="s">
        <v>83</v>
      </c>
      <c r="AA62" t="s">
        <v>33</v>
      </c>
      <c r="AB62">
        <v>3</v>
      </c>
      <c r="AD62">
        <v>2</v>
      </c>
      <c r="AE62" t="s">
        <v>65</v>
      </c>
      <c r="AI62">
        <v>0</v>
      </c>
      <c r="AJ62">
        <v>17</v>
      </c>
    </row>
    <row r="63" spans="1:36" x14ac:dyDescent="0.25">
      <c r="A63" s="36" t="s">
        <v>1315</v>
      </c>
      <c r="B63">
        <v>61</v>
      </c>
      <c r="C63" t="s">
        <v>53</v>
      </c>
      <c r="D63">
        <v>1</v>
      </c>
      <c r="E63">
        <v>1</v>
      </c>
      <c r="F63">
        <v>1</v>
      </c>
      <c r="G63" t="s">
        <v>112</v>
      </c>
      <c r="H63" t="s">
        <v>113</v>
      </c>
      <c r="I63" t="s">
        <v>114</v>
      </c>
      <c r="J63" t="s">
        <v>115</v>
      </c>
      <c r="K63" t="s">
        <v>33</v>
      </c>
      <c r="L63">
        <v>3</v>
      </c>
      <c r="N63">
        <v>2</v>
      </c>
      <c r="O63" t="s">
        <v>34</v>
      </c>
      <c r="P63" t="s">
        <v>66</v>
      </c>
      <c r="S63" t="s">
        <v>63</v>
      </c>
      <c r="T63">
        <v>2</v>
      </c>
      <c r="V63">
        <v>1</v>
      </c>
      <c r="W63" t="s">
        <v>145</v>
      </c>
      <c r="X63" t="s">
        <v>91</v>
      </c>
      <c r="Y63" t="s">
        <v>147</v>
      </c>
      <c r="AA63" t="s">
        <v>227</v>
      </c>
      <c r="AB63">
        <v>2</v>
      </c>
      <c r="AC63">
        <v>1</v>
      </c>
      <c r="AD63">
        <v>2</v>
      </c>
      <c r="AE63" t="s">
        <v>228</v>
      </c>
      <c r="AI63">
        <v>0</v>
      </c>
      <c r="AJ63">
        <v>16</v>
      </c>
    </row>
    <row r="64" spans="1:36" x14ac:dyDescent="0.25">
      <c r="A64" s="36" t="s">
        <v>1316</v>
      </c>
      <c r="B64">
        <v>62</v>
      </c>
      <c r="C64" t="s">
        <v>53</v>
      </c>
      <c r="D64">
        <v>3</v>
      </c>
      <c r="E64">
        <v>1</v>
      </c>
      <c r="F64">
        <v>1</v>
      </c>
      <c r="G64" t="s">
        <v>112</v>
      </c>
      <c r="H64" t="s">
        <v>83</v>
      </c>
      <c r="I64" t="s">
        <v>105</v>
      </c>
      <c r="J64" t="s">
        <v>98</v>
      </c>
      <c r="K64" t="s">
        <v>33</v>
      </c>
      <c r="L64">
        <v>1</v>
      </c>
      <c r="N64">
        <v>2</v>
      </c>
      <c r="O64" t="s">
        <v>65</v>
      </c>
      <c r="P64" t="s">
        <v>35</v>
      </c>
      <c r="Q64" t="s">
        <v>131</v>
      </c>
      <c r="S64" t="s">
        <v>38</v>
      </c>
      <c r="T64">
        <v>3</v>
      </c>
      <c r="U64">
        <v>1</v>
      </c>
      <c r="V64">
        <v>2</v>
      </c>
      <c r="W64" t="s">
        <v>67</v>
      </c>
      <c r="AA64" t="s">
        <v>227</v>
      </c>
      <c r="AB64">
        <v>2</v>
      </c>
      <c r="AC64">
        <v>1</v>
      </c>
      <c r="AD64">
        <v>3</v>
      </c>
      <c r="AE64" t="s">
        <v>228</v>
      </c>
      <c r="AF64" t="s">
        <v>231</v>
      </c>
      <c r="AG64" t="s">
        <v>235</v>
      </c>
      <c r="AH64" t="s">
        <v>238</v>
      </c>
      <c r="AI64">
        <v>0</v>
      </c>
      <c r="AJ64">
        <v>22</v>
      </c>
    </row>
    <row r="65" spans="1:36" x14ac:dyDescent="0.25">
      <c r="A65" t="s">
        <v>1596</v>
      </c>
      <c r="B65">
        <v>63</v>
      </c>
      <c r="C65" t="s">
        <v>53</v>
      </c>
      <c r="D65">
        <v>3</v>
      </c>
      <c r="E65">
        <v>1</v>
      </c>
      <c r="F65">
        <v>1</v>
      </c>
      <c r="G65" t="s">
        <v>112</v>
      </c>
      <c r="H65" t="s">
        <v>55</v>
      </c>
      <c r="I65" t="s">
        <v>105</v>
      </c>
      <c r="K65" t="s">
        <v>43</v>
      </c>
      <c r="L65">
        <v>3</v>
      </c>
      <c r="N65">
        <v>3</v>
      </c>
      <c r="O65" t="s">
        <v>73</v>
      </c>
      <c r="P65" t="s">
        <v>74</v>
      </c>
      <c r="Q65" t="s">
        <v>75</v>
      </c>
      <c r="R65" t="s">
        <v>101</v>
      </c>
      <c r="S65" t="s">
        <v>56</v>
      </c>
      <c r="T65">
        <v>3</v>
      </c>
      <c r="V65">
        <v>3</v>
      </c>
      <c r="W65" t="s">
        <v>120</v>
      </c>
      <c r="X65" t="s">
        <v>121</v>
      </c>
      <c r="Y65" t="s">
        <v>85</v>
      </c>
      <c r="Z65" t="s">
        <v>88</v>
      </c>
      <c r="AA65" t="s">
        <v>48</v>
      </c>
      <c r="AB65">
        <v>1</v>
      </c>
      <c r="AD65">
        <v>1</v>
      </c>
      <c r="AE65" t="s">
        <v>126</v>
      </c>
      <c r="AF65" t="s">
        <v>84</v>
      </c>
      <c r="AG65" t="s">
        <v>90</v>
      </c>
      <c r="AH65" t="s">
        <v>129</v>
      </c>
      <c r="AI65">
        <v>0</v>
      </c>
      <c r="AJ65">
        <v>27</v>
      </c>
    </row>
    <row r="66" spans="1:36" x14ac:dyDescent="0.25">
      <c r="A66" t="s">
        <v>1317</v>
      </c>
      <c r="B66">
        <v>64</v>
      </c>
      <c r="C66" t="s">
        <v>53</v>
      </c>
      <c r="D66">
        <v>3</v>
      </c>
      <c r="E66">
        <v>1</v>
      </c>
      <c r="F66">
        <v>2</v>
      </c>
      <c r="G66" t="s">
        <v>112</v>
      </c>
      <c r="H66" t="s">
        <v>83</v>
      </c>
      <c r="I66" t="s">
        <v>97</v>
      </c>
      <c r="J66" t="s">
        <v>115</v>
      </c>
      <c r="K66" t="s">
        <v>43</v>
      </c>
      <c r="L66">
        <v>2</v>
      </c>
      <c r="N66">
        <v>1</v>
      </c>
      <c r="O66" t="s">
        <v>44</v>
      </c>
      <c r="S66" t="s">
        <v>56</v>
      </c>
      <c r="T66">
        <v>2</v>
      </c>
      <c r="V66">
        <v>1</v>
      </c>
      <c r="W66" t="s">
        <v>120</v>
      </c>
      <c r="X66" t="s">
        <v>69</v>
      </c>
      <c r="Y66" t="s">
        <v>87</v>
      </c>
      <c r="Z66" t="s">
        <v>88</v>
      </c>
      <c r="AA66" t="s">
        <v>33</v>
      </c>
      <c r="AB66">
        <v>3</v>
      </c>
      <c r="AD66">
        <v>1</v>
      </c>
      <c r="AE66" t="s">
        <v>65</v>
      </c>
      <c r="AI66">
        <v>0</v>
      </c>
      <c r="AJ66">
        <v>18</v>
      </c>
    </row>
    <row r="67" spans="1:36" x14ac:dyDescent="0.25">
      <c r="A67" t="s">
        <v>1318</v>
      </c>
      <c r="B67">
        <v>65</v>
      </c>
      <c r="C67" t="s">
        <v>53</v>
      </c>
      <c r="D67">
        <v>3</v>
      </c>
      <c r="E67">
        <v>3</v>
      </c>
      <c r="F67">
        <v>3</v>
      </c>
      <c r="G67" t="s">
        <v>112</v>
      </c>
      <c r="H67" t="s">
        <v>55</v>
      </c>
      <c r="I67" t="s">
        <v>97</v>
      </c>
      <c r="J67" t="s">
        <v>98</v>
      </c>
      <c r="K67" t="s">
        <v>43</v>
      </c>
      <c r="L67">
        <v>1</v>
      </c>
      <c r="N67">
        <v>1</v>
      </c>
      <c r="O67" t="s">
        <v>73</v>
      </c>
      <c r="S67" t="s">
        <v>56</v>
      </c>
      <c r="T67">
        <v>3</v>
      </c>
      <c r="V67">
        <v>2</v>
      </c>
      <c r="W67" t="s">
        <v>57</v>
      </c>
      <c r="X67" t="s">
        <v>122</v>
      </c>
      <c r="Y67" t="s">
        <v>85</v>
      </c>
      <c r="Z67" t="s">
        <v>124</v>
      </c>
      <c r="AA67" t="s">
        <v>45</v>
      </c>
      <c r="AB67">
        <v>3</v>
      </c>
      <c r="AD67">
        <v>3</v>
      </c>
      <c r="AE67" t="s">
        <v>86</v>
      </c>
      <c r="AF67" t="s">
        <v>141</v>
      </c>
      <c r="AG67" t="s">
        <v>93</v>
      </c>
      <c r="AH67" t="s">
        <v>94</v>
      </c>
      <c r="AI67">
        <v>0</v>
      </c>
      <c r="AJ67">
        <v>30</v>
      </c>
    </row>
    <row r="68" spans="1:36" x14ac:dyDescent="0.25">
      <c r="A68" t="s">
        <v>1597</v>
      </c>
      <c r="B68">
        <v>66</v>
      </c>
      <c r="C68" t="s">
        <v>56</v>
      </c>
      <c r="D68">
        <v>3</v>
      </c>
      <c r="F68">
        <v>1</v>
      </c>
      <c r="G68" t="s">
        <v>120</v>
      </c>
      <c r="H68" t="s">
        <v>69</v>
      </c>
      <c r="K68" t="s">
        <v>63</v>
      </c>
      <c r="L68">
        <v>3</v>
      </c>
      <c r="N68">
        <v>2</v>
      </c>
      <c r="O68" t="s">
        <v>145</v>
      </c>
      <c r="P68" t="s">
        <v>91</v>
      </c>
      <c r="Q68" t="s">
        <v>147</v>
      </c>
      <c r="R68" t="s">
        <v>151</v>
      </c>
      <c r="S68" t="s">
        <v>53</v>
      </c>
      <c r="T68">
        <v>3</v>
      </c>
      <c r="U68">
        <v>2</v>
      </c>
      <c r="V68">
        <v>2</v>
      </c>
      <c r="W68" t="s">
        <v>112</v>
      </c>
      <c r="X68" t="s">
        <v>83</v>
      </c>
      <c r="Y68" t="s">
        <v>114</v>
      </c>
      <c r="Z68" t="s">
        <v>98</v>
      </c>
      <c r="AA68" t="s">
        <v>43</v>
      </c>
      <c r="AB68">
        <v>3</v>
      </c>
      <c r="AD68">
        <v>1</v>
      </c>
      <c r="AE68" t="s">
        <v>73</v>
      </c>
      <c r="AF68" t="s">
        <v>136</v>
      </c>
      <c r="AI68">
        <v>0</v>
      </c>
      <c r="AJ68">
        <v>24</v>
      </c>
    </row>
    <row r="69" spans="1:36" x14ac:dyDescent="0.25">
      <c r="A69" t="s">
        <v>1319</v>
      </c>
      <c r="B69">
        <v>67</v>
      </c>
      <c r="C69" t="s">
        <v>53</v>
      </c>
      <c r="D69">
        <v>1</v>
      </c>
      <c r="E69">
        <v>2</v>
      </c>
      <c r="F69">
        <v>3</v>
      </c>
      <c r="G69" t="s">
        <v>112</v>
      </c>
      <c r="H69" t="s">
        <v>83</v>
      </c>
      <c r="I69" t="s">
        <v>105</v>
      </c>
      <c r="K69" t="s">
        <v>43</v>
      </c>
      <c r="L69">
        <v>2</v>
      </c>
      <c r="N69">
        <v>2</v>
      </c>
      <c r="O69" t="s">
        <v>44</v>
      </c>
      <c r="P69" t="s">
        <v>136</v>
      </c>
      <c r="Q69" t="s">
        <v>75</v>
      </c>
      <c r="S69" t="s">
        <v>56</v>
      </c>
      <c r="T69">
        <v>3</v>
      </c>
      <c r="V69">
        <v>2</v>
      </c>
      <c r="W69" t="s">
        <v>120</v>
      </c>
      <c r="X69" t="s">
        <v>121</v>
      </c>
      <c r="Y69" t="s">
        <v>123</v>
      </c>
      <c r="AA69" t="s">
        <v>38</v>
      </c>
      <c r="AB69">
        <v>1</v>
      </c>
      <c r="AC69">
        <v>1</v>
      </c>
      <c r="AD69">
        <v>2</v>
      </c>
      <c r="AE69" t="s">
        <v>39</v>
      </c>
      <c r="AF69" t="s">
        <v>40</v>
      </c>
      <c r="AI69">
        <v>0</v>
      </c>
      <c r="AJ69">
        <v>21</v>
      </c>
    </row>
    <row r="70" spans="1:36" x14ac:dyDescent="0.25">
      <c r="A70" s="36" t="s">
        <v>1598</v>
      </c>
      <c r="B70">
        <v>68</v>
      </c>
      <c r="C70" t="s">
        <v>56</v>
      </c>
      <c r="D70">
        <v>2</v>
      </c>
      <c r="F70">
        <v>1</v>
      </c>
      <c r="G70" t="s">
        <v>57</v>
      </c>
      <c r="H70" t="s">
        <v>122</v>
      </c>
      <c r="I70" t="s">
        <v>85</v>
      </c>
      <c r="J70" t="s">
        <v>124</v>
      </c>
      <c r="K70" t="s">
        <v>227</v>
      </c>
      <c r="L70">
        <v>2</v>
      </c>
      <c r="M70">
        <v>1</v>
      </c>
      <c r="N70">
        <v>2</v>
      </c>
      <c r="O70" t="s">
        <v>228</v>
      </c>
      <c r="P70" t="s">
        <v>231</v>
      </c>
      <c r="Q70" t="s">
        <v>235</v>
      </c>
      <c r="R70" t="s">
        <v>238</v>
      </c>
      <c r="S70" t="s">
        <v>53</v>
      </c>
      <c r="T70">
        <v>1</v>
      </c>
      <c r="U70">
        <v>2</v>
      </c>
      <c r="V70">
        <v>2</v>
      </c>
      <c r="W70" t="s">
        <v>112</v>
      </c>
      <c r="X70" t="s">
        <v>83</v>
      </c>
      <c r="Y70" t="s">
        <v>97</v>
      </c>
      <c r="Z70" t="s">
        <v>98</v>
      </c>
      <c r="AA70" t="s">
        <v>43</v>
      </c>
      <c r="AB70">
        <v>1</v>
      </c>
      <c r="AD70">
        <v>1</v>
      </c>
      <c r="AE70" t="s">
        <v>73</v>
      </c>
      <c r="AI70">
        <v>0</v>
      </c>
      <c r="AJ70">
        <v>19</v>
      </c>
    </row>
    <row r="71" spans="1:36" x14ac:dyDescent="0.25">
      <c r="A71" t="s">
        <v>1320</v>
      </c>
      <c r="B71">
        <v>69</v>
      </c>
      <c r="C71" t="s">
        <v>53</v>
      </c>
      <c r="D71">
        <v>2</v>
      </c>
      <c r="E71">
        <v>3</v>
      </c>
      <c r="F71">
        <v>2</v>
      </c>
      <c r="G71" t="s">
        <v>112</v>
      </c>
      <c r="K71" t="s">
        <v>43</v>
      </c>
      <c r="L71">
        <v>3</v>
      </c>
      <c r="N71">
        <v>1</v>
      </c>
      <c r="O71" t="s">
        <v>44</v>
      </c>
      <c r="P71" t="s">
        <v>136</v>
      </c>
      <c r="Q71" t="s">
        <v>137</v>
      </c>
      <c r="S71" t="s">
        <v>48</v>
      </c>
      <c r="T71">
        <v>1</v>
      </c>
      <c r="V71">
        <v>1</v>
      </c>
      <c r="W71" t="s">
        <v>126</v>
      </c>
      <c r="X71" t="s">
        <v>84</v>
      </c>
      <c r="AA71" t="s">
        <v>33</v>
      </c>
      <c r="AB71">
        <v>3</v>
      </c>
      <c r="AD71">
        <v>3</v>
      </c>
      <c r="AE71" t="s">
        <v>65</v>
      </c>
      <c r="AI71">
        <v>0</v>
      </c>
      <c r="AJ71">
        <v>19</v>
      </c>
    </row>
    <row r="72" spans="1:36" x14ac:dyDescent="0.25">
      <c r="A72" t="s">
        <v>1599</v>
      </c>
      <c r="B72">
        <v>70</v>
      </c>
      <c r="C72" t="s">
        <v>53</v>
      </c>
      <c r="D72">
        <v>3</v>
      </c>
      <c r="E72">
        <v>3</v>
      </c>
      <c r="F72">
        <v>3</v>
      </c>
      <c r="G72" t="s">
        <v>112</v>
      </c>
      <c r="H72" t="s">
        <v>55</v>
      </c>
      <c r="I72" t="s">
        <v>97</v>
      </c>
      <c r="J72" t="s">
        <v>98</v>
      </c>
      <c r="K72" t="s">
        <v>43</v>
      </c>
      <c r="L72">
        <v>3</v>
      </c>
      <c r="N72">
        <v>3</v>
      </c>
      <c r="O72" t="s">
        <v>44</v>
      </c>
      <c r="P72" t="s">
        <v>136</v>
      </c>
      <c r="Q72" t="s">
        <v>100</v>
      </c>
      <c r="R72" t="s">
        <v>138</v>
      </c>
      <c r="S72" t="s">
        <v>48</v>
      </c>
      <c r="T72">
        <v>3</v>
      </c>
      <c r="V72">
        <v>3</v>
      </c>
      <c r="W72" t="s">
        <v>49</v>
      </c>
      <c r="X72" t="s">
        <v>84</v>
      </c>
      <c r="Y72" t="s">
        <v>90</v>
      </c>
      <c r="Z72" t="s">
        <v>52</v>
      </c>
      <c r="AA72" t="s">
        <v>45</v>
      </c>
      <c r="AB72">
        <v>3</v>
      </c>
      <c r="AD72">
        <v>1</v>
      </c>
      <c r="AE72" t="s">
        <v>140</v>
      </c>
      <c r="AF72" t="s">
        <v>141</v>
      </c>
      <c r="AI72">
        <v>0</v>
      </c>
      <c r="AJ72">
        <v>47</v>
      </c>
    </row>
    <row r="73" spans="1:36" x14ac:dyDescent="0.25">
      <c r="A73" s="36" t="s">
        <v>1600</v>
      </c>
      <c r="B73">
        <v>71</v>
      </c>
      <c r="C73" t="s">
        <v>53</v>
      </c>
      <c r="D73">
        <v>3</v>
      </c>
      <c r="E73">
        <v>3</v>
      </c>
      <c r="F73">
        <v>3</v>
      </c>
      <c r="G73" t="s">
        <v>112</v>
      </c>
      <c r="H73" t="s">
        <v>55</v>
      </c>
      <c r="I73" t="s">
        <v>97</v>
      </c>
      <c r="J73" t="s">
        <v>116</v>
      </c>
      <c r="K73" t="s">
        <v>43</v>
      </c>
      <c r="L73">
        <v>3</v>
      </c>
      <c r="N73">
        <v>3</v>
      </c>
      <c r="O73" t="s">
        <v>44</v>
      </c>
      <c r="P73" t="s">
        <v>99</v>
      </c>
      <c r="Q73" t="s">
        <v>137</v>
      </c>
      <c r="R73" t="s">
        <v>138</v>
      </c>
      <c r="S73" t="s">
        <v>48</v>
      </c>
      <c r="T73">
        <v>3</v>
      </c>
      <c r="V73">
        <v>3</v>
      </c>
      <c r="W73" t="s">
        <v>126</v>
      </c>
      <c r="X73" t="s">
        <v>84</v>
      </c>
      <c r="Y73" t="s">
        <v>90</v>
      </c>
      <c r="Z73" t="s">
        <v>129</v>
      </c>
      <c r="AA73" t="s">
        <v>63</v>
      </c>
      <c r="AB73">
        <v>3</v>
      </c>
      <c r="AD73">
        <v>3</v>
      </c>
      <c r="AE73" t="s">
        <v>103</v>
      </c>
      <c r="AF73" t="s">
        <v>146</v>
      </c>
      <c r="AG73" t="s">
        <v>148</v>
      </c>
      <c r="AH73" t="s">
        <v>150</v>
      </c>
      <c r="AI73">
        <v>0</v>
      </c>
      <c r="AJ73">
        <v>55</v>
      </c>
    </row>
    <row r="74" spans="1:36" x14ac:dyDescent="0.25">
      <c r="A74" t="s">
        <v>1601</v>
      </c>
      <c r="B74">
        <v>72</v>
      </c>
      <c r="C74" t="s">
        <v>53</v>
      </c>
      <c r="D74">
        <v>1</v>
      </c>
      <c r="E74">
        <v>3</v>
      </c>
      <c r="F74">
        <v>2</v>
      </c>
      <c r="G74" t="s">
        <v>112</v>
      </c>
      <c r="H74" t="s">
        <v>55</v>
      </c>
      <c r="I74" t="s">
        <v>97</v>
      </c>
      <c r="J74" t="s">
        <v>116</v>
      </c>
      <c r="K74" t="s">
        <v>43</v>
      </c>
      <c r="L74">
        <v>3</v>
      </c>
      <c r="N74">
        <v>3</v>
      </c>
      <c r="O74" t="s">
        <v>44</v>
      </c>
      <c r="P74" t="s">
        <v>136</v>
      </c>
      <c r="Q74" t="s">
        <v>137</v>
      </c>
      <c r="R74" t="s">
        <v>138</v>
      </c>
      <c r="S74" t="s">
        <v>48</v>
      </c>
      <c r="T74">
        <v>3</v>
      </c>
      <c r="V74">
        <v>2</v>
      </c>
      <c r="W74" t="s">
        <v>126</v>
      </c>
      <c r="X74" t="s">
        <v>84</v>
      </c>
      <c r="Y74" t="s">
        <v>90</v>
      </c>
      <c r="Z74" t="s">
        <v>128</v>
      </c>
      <c r="AA74" t="s">
        <v>38</v>
      </c>
      <c r="AB74">
        <v>1</v>
      </c>
      <c r="AC74">
        <v>1</v>
      </c>
      <c r="AD74">
        <v>2</v>
      </c>
      <c r="AE74" t="s">
        <v>39</v>
      </c>
      <c r="AF74" t="s">
        <v>40</v>
      </c>
      <c r="AI74">
        <v>0</v>
      </c>
      <c r="AJ74">
        <v>25</v>
      </c>
    </row>
    <row r="75" spans="1:36" x14ac:dyDescent="0.25">
      <c r="A75" s="36" t="s">
        <v>1321</v>
      </c>
      <c r="B75">
        <v>73</v>
      </c>
      <c r="C75" t="s">
        <v>48</v>
      </c>
      <c r="D75">
        <v>3</v>
      </c>
      <c r="F75">
        <v>3</v>
      </c>
      <c r="G75" t="s">
        <v>126</v>
      </c>
      <c r="H75" t="s">
        <v>84</v>
      </c>
      <c r="I75" t="s">
        <v>90</v>
      </c>
      <c r="J75" t="s">
        <v>128</v>
      </c>
      <c r="K75" t="s">
        <v>227</v>
      </c>
      <c r="L75">
        <v>2</v>
      </c>
      <c r="M75">
        <v>1</v>
      </c>
      <c r="N75">
        <v>1</v>
      </c>
      <c r="O75" t="s">
        <v>228</v>
      </c>
      <c r="P75" t="s">
        <v>231</v>
      </c>
      <c r="S75" t="s">
        <v>53</v>
      </c>
      <c r="T75">
        <v>3</v>
      </c>
      <c r="U75">
        <v>3</v>
      </c>
      <c r="V75">
        <v>3</v>
      </c>
      <c r="W75" t="s">
        <v>112</v>
      </c>
      <c r="X75" t="s">
        <v>55</v>
      </c>
      <c r="Y75" t="s">
        <v>97</v>
      </c>
      <c r="Z75" t="s">
        <v>115</v>
      </c>
      <c r="AA75" t="s">
        <v>43</v>
      </c>
      <c r="AB75">
        <v>2</v>
      </c>
      <c r="AD75">
        <v>3</v>
      </c>
      <c r="AE75" t="s">
        <v>73</v>
      </c>
      <c r="AF75" t="s">
        <v>74</v>
      </c>
      <c r="AG75" t="s">
        <v>75</v>
      </c>
      <c r="AH75" t="s">
        <v>101</v>
      </c>
      <c r="AI75">
        <v>0</v>
      </c>
      <c r="AJ75">
        <v>48</v>
      </c>
    </row>
    <row r="76" spans="1:36" x14ac:dyDescent="0.25">
      <c r="A76" t="s">
        <v>1602</v>
      </c>
      <c r="B76">
        <v>74</v>
      </c>
      <c r="C76" t="s">
        <v>53</v>
      </c>
      <c r="D76">
        <v>1</v>
      </c>
      <c r="E76">
        <v>1</v>
      </c>
      <c r="F76">
        <v>3</v>
      </c>
      <c r="G76" t="s">
        <v>112</v>
      </c>
      <c r="K76" t="s">
        <v>43</v>
      </c>
      <c r="L76">
        <v>3</v>
      </c>
      <c r="N76">
        <v>3</v>
      </c>
      <c r="O76" t="s">
        <v>44</v>
      </c>
      <c r="P76" t="s">
        <v>136</v>
      </c>
      <c r="S76" t="s">
        <v>33</v>
      </c>
      <c r="T76">
        <v>3</v>
      </c>
      <c r="V76">
        <v>2</v>
      </c>
      <c r="W76" t="s">
        <v>65</v>
      </c>
      <c r="X76" t="s">
        <v>130</v>
      </c>
      <c r="Y76" t="s">
        <v>36</v>
      </c>
      <c r="AA76" t="s">
        <v>45</v>
      </c>
      <c r="AB76">
        <v>3</v>
      </c>
      <c r="AD76">
        <v>1</v>
      </c>
      <c r="AE76" t="s">
        <v>140</v>
      </c>
      <c r="AF76" t="s">
        <v>141</v>
      </c>
      <c r="AI76">
        <v>0</v>
      </c>
      <c r="AJ76">
        <v>19</v>
      </c>
    </row>
    <row r="77" spans="1:36" x14ac:dyDescent="0.25">
      <c r="A77" t="s">
        <v>1603</v>
      </c>
      <c r="B77">
        <v>75</v>
      </c>
      <c r="C77" t="s">
        <v>53</v>
      </c>
      <c r="D77">
        <v>3</v>
      </c>
      <c r="E77">
        <v>1</v>
      </c>
      <c r="F77">
        <v>2</v>
      </c>
      <c r="G77" t="s">
        <v>112</v>
      </c>
      <c r="H77" t="s">
        <v>55</v>
      </c>
      <c r="I77" t="s">
        <v>97</v>
      </c>
      <c r="J77" t="s">
        <v>98</v>
      </c>
      <c r="K77" t="s">
        <v>43</v>
      </c>
      <c r="L77">
        <v>3</v>
      </c>
      <c r="N77">
        <v>3</v>
      </c>
      <c r="O77" t="s">
        <v>44</v>
      </c>
      <c r="P77" t="s">
        <v>136</v>
      </c>
      <c r="Q77" t="s">
        <v>75</v>
      </c>
      <c r="R77" t="s">
        <v>139</v>
      </c>
      <c r="S77" t="s">
        <v>33</v>
      </c>
      <c r="T77">
        <v>2</v>
      </c>
      <c r="V77">
        <v>2</v>
      </c>
      <c r="W77" t="s">
        <v>65</v>
      </c>
      <c r="AA77" t="s">
        <v>63</v>
      </c>
      <c r="AB77">
        <v>3</v>
      </c>
      <c r="AD77">
        <v>2</v>
      </c>
      <c r="AE77" t="s">
        <v>103</v>
      </c>
      <c r="AF77" t="s">
        <v>91</v>
      </c>
      <c r="AG77" t="s">
        <v>148</v>
      </c>
      <c r="AH77" t="s">
        <v>151</v>
      </c>
      <c r="AI77">
        <v>0</v>
      </c>
      <c r="AJ77">
        <v>25</v>
      </c>
    </row>
    <row r="78" spans="1:36" x14ac:dyDescent="0.25">
      <c r="A78" t="s">
        <v>1322</v>
      </c>
      <c r="B78">
        <v>76</v>
      </c>
      <c r="C78" t="s">
        <v>53</v>
      </c>
      <c r="D78">
        <v>1</v>
      </c>
      <c r="E78">
        <v>2</v>
      </c>
      <c r="F78">
        <v>2</v>
      </c>
      <c r="G78" t="s">
        <v>112</v>
      </c>
      <c r="H78" t="s">
        <v>113</v>
      </c>
      <c r="I78" t="s">
        <v>97</v>
      </c>
      <c r="J78" t="s">
        <v>115</v>
      </c>
      <c r="K78" t="s">
        <v>43</v>
      </c>
      <c r="L78">
        <v>3</v>
      </c>
      <c r="N78">
        <v>2</v>
      </c>
      <c r="O78" t="s">
        <v>44</v>
      </c>
      <c r="P78" t="s">
        <v>136</v>
      </c>
      <c r="Q78" t="s">
        <v>137</v>
      </c>
      <c r="S78" t="s">
        <v>33</v>
      </c>
      <c r="T78">
        <v>3</v>
      </c>
      <c r="V78">
        <v>2</v>
      </c>
      <c r="W78" t="s">
        <v>65</v>
      </c>
      <c r="X78" t="s">
        <v>130</v>
      </c>
      <c r="AA78" t="s">
        <v>38</v>
      </c>
      <c r="AB78">
        <v>3</v>
      </c>
      <c r="AC78">
        <v>1</v>
      </c>
      <c r="AD78">
        <v>2</v>
      </c>
      <c r="AE78" t="s">
        <v>39</v>
      </c>
      <c r="AF78" t="s">
        <v>40</v>
      </c>
      <c r="AI78">
        <v>0</v>
      </c>
      <c r="AJ78">
        <v>23</v>
      </c>
    </row>
    <row r="79" spans="1:36" x14ac:dyDescent="0.25">
      <c r="A79" s="36" t="s">
        <v>1604</v>
      </c>
      <c r="B79">
        <v>77</v>
      </c>
      <c r="C79" t="s">
        <v>33</v>
      </c>
      <c r="D79">
        <v>2</v>
      </c>
      <c r="F79">
        <v>3</v>
      </c>
      <c r="G79" t="s">
        <v>65</v>
      </c>
      <c r="H79" t="s">
        <v>130</v>
      </c>
      <c r="I79" t="s">
        <v>36</v>
      </c>
      <c r="J79" t="s">
        <v>37</v>
      </c>
      <c r="K79" t="s">
        <v>227</v>
      </c>
      <c r="L79">
        <v>3</v>
      </c>
      <c r="M79">
        <v>1</v>
      </c>
      <c r="N79">
        <v>3</v>
      </c>
      <c r="O79" t="s">
        <v>229</v>
      </c>
      <c r="P79" t="s">
        <v>231</v>
      </c>
      <c r="Q79" t="s">
        <v>235</v>
      </c>
      <c r="R79" t="s">
        <v>238</v>
      </c>
      <c r="S79" t="s">
        <v>53</v>
      </c>
      <c r="T79">
        <v>2</v>
      </c>
      <c r="U79">
        <v>1</v>
      </c>
      <c r="V79">
        <v>1</v>
      </c>
      <c r="W79" t="s">
        <v>112</v>
      </c>
      <c r="X79" t="s">
        <v>83</v>
      </c>
      <c r="AA79" t="s">
        <v>43</v>
      </c>
      <c r="AB79">
        <v>3</v>
      </c>
      <c r="AD79">
        <v>2</v>
      </c>
      <c r="AE79" t="s">
        <v>44</v>
      </c>
      <c r="AF79" t="s">
        <v>136</v>
      </c>
      <c r="AG79" t="s">
        <v>137</v>
      </c>
      <c r="AH79" t="s">
        <v>138</v>
      </c>
      <c r="AI79">
        <v>0</v>
      </c>
      <c r="AJ79">
        <v>25</v>
      </c>
    </row>
    <row r="80" spans="1:36" x14ac:dyDescent="0.25">
      <c r="A80" t="s">
        <v>1605</v>
      </c>
      <c r="B80">
        <v>78</v>
      </c>
      <c r="C80" t="s">
        <v>45</v>
      </c>
      <c r="D80">
        <v>3</v>
      </c>
      <c r="F80">
        <v>1</v>
      </c>
      <c r="G80" t="s">
        <v>140</v>
      </c>
      <c r="H80" t="s">
        <v>76</v>
      </c>
      <c r="I80" t="s">
        <v>93</v>
      </c>
      <c r="J80" t="s">
        <v>94</v>
      </c>
      <c r="K80" t="s">
        <v>63</v>
      </c>
      <c r="L80">
        <v>3</v>
      </c>
      <c r="N80">
        <v>1</v>
      </c>
      <c r="O80" t="s">
        <v>103</v>
      </c>
      <c r="P80" t="s">
        <v>95</v>
      </c>
      <c r="Q80" t="s">
        <v>148</v>
      </c>
      <c r="R80" t="s">
        <v>150</v>
      </c>
      <c r="S80" t="s">
        <v>53</v>
      </c>
      <c r="T80">
        <v>1</v>
      </c>
      <c r="U80">
        <v>3</v>
      </c>
      <c r="V80">
        <v>3</v>
      </c>
      <c r="W80" t="s">
        <v>112</v>
      </c>
      <c r="X80" t="s">
        <v>55</v>
      </c>
      <c r="AA80" t="s">
        <v>43</v>
      </c>
      <c r="AB80">
        <v>1</v>
      </c>
      <c r="AD80">
        <v>1</v>
      </c>
      <c r="AE80" t="s">
        <v>44</v>
      </c>
      <c r="AF80" t="s">
        <v>136</v>
      </c>
      <c r="AI80">
        <v>0</v>
      </c>
      <c r="AJ80">
        <v>21</v>
      </c>
    </row>
    <row r="81" spans="1:36" x14ac:dyDescent="0.25">
      <c r="A81" t="s">
        <v>1606</v>
      </c>
      <c r="B81">
        <v>79</v>
      </c>
      <c r="C81" t="s">
        <v>53</v>
      </c>
      <c r="D81">
        <v>3</v>
      </c>
      <c r="E81">
        <v>3</v>
      </c>
      <c r="F81">
        <v>3</v>
      </c>
      <c r="G81" t="s">
        <v>112</v>
      </c>
      <c r="H81" t="s">
        <v>83</v>
      </c>
      <c r="I81" t="s">
        <v>105</v>
      </c>
      <c r="J81" t="s">
        <v>98</v>
      </c>
      <c r="K81" t="s">
        <v>43</v>
      </c>
      <c r="L81">
        <v>2</v>
      </c>
      <c r="N81">
        <v>1</v>
      </c>
      <c r="O81" t="s">
        <v>44</v>
      </c>
      <c r="P81" t="s">
        <v>136</v>
      </c>
      <c r="S81" t="s">
        <v>45</v>
      </c>
      <c r="T81">
        <v>3</v>
      </c>
      <c r="V81">
        <v>3</v>
      </c>
      <c r="W81" t="s">
        <v>140</v>
      </c>
      <c r="X81" t="s">
        <v>141</v>
      </c>
      <c r="Y81" t="s">
        <v>93</v>
      </c>
      <c r="Z81" t="s">
        <v>94</v>
      </c>
      <c r="AA81" t="s">
        <v>38</v>
      </c>
      <c r="AB81">
        <v>3</v>
      </c>
      <c r="AC81">
        <v>2</v>
      </c>
      <c r="AD81">
        <v>3</v>
      </c>
      <c r="AE81" t="s">
        <v>39</v>
      </c>
      <c r="AF81" t="s">
        <v>40</v>
      </c>
      <c r="AG81" t="s">
        <v>154</v>
      </c>
      <c r="AH81" t="s">
        <v>42</v>
      </c>
      <c r="AI81">
        <v>0</v>
      </c>
      <c r="AJ81">
        <v>34</v>
      </c>
    </row>
    <row r="82" spans="1:36" x14ac:dyDescent="0.25">
      <c r="A82" s="36" t="s">
        <v>1323</v>
      </c>
      <c r="B82">
        <v>80</v>
      </c>
      <c r="C82" t="s">
        <v>45</v>
      </c>
      <c r="D82">
        <v>3</v>
      </c>
      <c r="F82">
        <v>2</v>
      </c>
      <c r="G82" t="s">
        <v>140</v>
      </c>
      <c r="H82" t="s">
        <v>141</v>
      </c>
      <c r="I82" t="s">
        <v>102</v>
      </c>
      <c r="J82" t="s">
        <v>94</v>
      </c>
      <c r="K82" t="s">
        <v>227</v>
      </c>
      <c r="L82">
        <v>2</v>
      </c>
      <c r="M82">
        <v>2</v>
      </c>
      <c r="N82">
        <v>3</v>
      </c>
      <c r="O82" t="s">
        <v>228</v>
      </c>
      <c r="P82" t="s">
        <v>231</v>
      </c>
      <c r="Q82" t="s">
        <v>235</v>
      </c>
      <c r="R82" t="s">
        <v>238</v>
      </c>
      <c r="S82" t="s">
        <v>53</v>
      </c>
      <c r="T82">
        <v>1</v>
      </c>
      <c r="U82">
        <v>2</v>
      </c>
      <c r="V82">
        <v>3</v>
      </c>
      <c r="W82" t="s">
        <v>112</v>
      </c>
      <c r="X82" t="s">
        <v>83</v>
      </c>
      <c r="Y82" t="s">
        <v>97</v>
      </c>
      <c r="Z82" t="s">
        <v>98</v>
      </c>
      <c r="AA82" t="s">
        <v>43</v>
      </c>
      <c r="AB82">
        <v>1</v>
      </c>
      <c r="AD82">
        <v>1</v>
      </c>
      <c r="AE82" t="s">
        <v>73</v>
      </c>
      <c r="AI82">
        <v>0</v>
      </c>
      <c r="AJ82">
        <v>24</v>
      </c>
    </row>
    <row r="83" spans="1:36" x14ac:dyDescent="0.25">
      <c r="A83" t="s">
        <v>1607</v>
      </c>
      <c r="B83">
        <v>81</v>
      </c>
      <c r="C83" t="s">
        <v>53</v>
      </c>
      <c r="D83">
        <v>3</v>
      </c>
      <c r="E83">
        <v>3</v>
      </c>
      <c r="F83">
        <v>3</v>
      </c>
      <c r="G83" t="s">
        <v>112</v>
      </c>
      <c r="H83" t="s">
        <v>83</v>
      </c>
      <c r="I83" t="s">
        <v>114</v>
      </c>
      <c r="J83" t="s">
        <v>98</v>
      </c>
      <c r="K83" t="s">
        <v>43</v>
      </c>
      <c r="L83">
        <v>3</v>
      </c>
      <c r="N83">
        <v>3</v>
      </c>
      <c r="O83" t="s">
        <v>44</v>
      </c>
      <c r="P83" t="s">
        <v>74</v>
      </c>
      <c r="Q83" t="s">
        <v>75</v>
      </c>
      <c r="R83" t="s">
        <v>139</v>
      </c>
      <c r="S83" t="s">
        <v>63</v>
      </c>
      <c r="T83">
        <v>1</v>
      </c>
      <c r="V83">
        <v>1</v>
      </c>
      <c r="W83" t="s">
        <v>103</v>
      </c>
      <c r="X83" t="s">
        <v>91</v>
      </c>
      <c r="Y83" t="s">
        <v>147</v>
      </c>
      <c r="AA83" t="s">
        <v>38</v>
      </c>
      <c r="AB83">
        <v>3</v>
      </c>
      <c r="AC83">
        <v>3</v>
      </c>
      <c r="AD83">
        <v>3</v>
      </c>
      <c r="AE83" t="s">
        <v>39</v>
      </c>
      <c r="AF83" t="s">
        <v>40</v>
      </c>
      <c r="AG83" t="s">
        <v>154</v>
      </c>
      <c r="AH83" t="s">
        <v>156</v>
      </c>
      <c r="AI83">
        <v>0</v>
      </c>
      <c r="AJ83">
        <v>41</v>
      </c>
    </row>
    <row r="84" spans="1:36" x14ac:dyDescent="0.25">
      <c r="A84" s="36" t="s">
        <v>1324</v>
      </c>
      <c r="B84">
        <v>82</v>
      </c>
      <c r="C84" t="s">
        <v>63</v>
      </c>
      <c r="D84">
        <v>1</v>
      </c>
      <c r="F84">
        <v>2</v>
      </c>
      <c r="G84" t="s">
        <v>103</v>
      </c>
      <c r="H84" t="s">
        <v>95</v>
      </c>
      <c r="I84" t="s">
        <v>148</v>
      </c>
      <c r="J84" t="s">
        <v>151</v>
      </c>
      <c r="K84" t="s">
        <v>227</v>
      </c>
      <c r="L84">
        <v>2</v>
      </c>
      <c r="M84">
        <v>1</v>
      </c>
      <c r="N84">
        <v>3</v>
      </c>
      <c r="O84" t="s">
        <v>229</v>
      </c>
      <c r="P84" t="s">
        <v>231</v>
      </c>
      <c r="Q84" t="s">
        <v>234</v>
      </c>
      <c r="S84" t="s">
        <v>53</v>
      </c>
      <c r="T84">
        <v>3</v>
      </c>
      <c r="U84">
        <v>1</v>
      </c>
      <c r="V84">
        <v>1</v>
      </c>
      <c r="W84" t="s">
        <v>112</v>
      </c>
      <c r="X84" t="s">
        <v>83</v>
      </c>
      <c r="Y84" t="s">
        <v>105</v>
      </c>
      <c r="AA84" t="s">
        <v>43</v>
      </c>
      <c r="AB84">
        <v>2</v>
      </c>
      <c r="AD84">
        <v>1</v>
      </c>
      <c r="AE84" t="s">
        <v>44</v>
      </c>
      <c r="AI84">
        <v>0</v>
      </c>
      <c r="AJ84">
        <v>18</v>
      </c>
    </row>
    <row r="85" spans="1:36" x14ac:dyDescent="0.25">
      <c r="A85" s="36" t="s">
        <v>1608</v>
      </c>
      <c r="B85">
        <v>83</v>
      </c>
      <c r="C85" t="s">
        <v>53</v>
      </c>
      <c r="D85">
        <v>3</v>
      </c>
      <c r="E85">
        <v>3</v>
      </c>
      <c r="F85">
        <v>3</v>
      </c>
      <c r="G85" t="s">
        <v>112</v>
      </c>
      <c r="H85" t="s">
        <v>113</v>
      </c>
      <c r="I85" t="s">
        <v>114</v>
      </c>
      <c r="J85" t="s">
        <v>98</v>
      </c>
      <c r="K85" t="s">
        <v>43</v>
      </c>
      <c r="L85">
        <v>3</v>
      </c>
      <c r="N85">
        <v>3</v>
      </c>
      <c r="O85" t="s">
        <v>73</v>
      </c>
      <c r="P85" t="s">
        <v>99</v>
      </c>
      <c r="Q85" t="s">
        <v>75</v>
      </c>
      <c r="R85" t="s">
        <v>139</v>
      </c>
      <c r="S85" t="s">
        <v>38</v>
      </c>
      <c r="T85">
        <v>3</v>
      </c>
      <c r="U85">
        <v>3</v>
      </c>
      <c r="V85">
        <v>3</v>
      </c>
      <c r="W85" t="s">
        <v>39</v>
      </c>
      <c r="X85" t="s">
        <v>40</v>
      </c>
      <c r="Y85" t="s">
        <v>153</v>
      </c>
      <c r="Z85" t="s">
        <v>42</v>
      </c>
      <c r="AA85" t="s">
        <v>227</v>
      </c>
      <c r="AB85">
        <v>1</v>
      </c>
      <c r="AC85">
        <v>1</v>
      </c>
      <c r="AD85">
        <v>1</v>
      </c>
      <c r="AE85" t="s">
        <v>228</v>
      </c>
      <c r="AF85" t="s">
        <v>231</v>
      </c>
      <c r="AG85" t="s">
        <v>234</v>
      </c>
      <c r="AI85">
        <v>0</v>
      </c>
      <c r="AJ85">
        <v>39</v>
      </c>
    </row>
    <row r="86" spans="1:36" x14ac:dyDescent="0.25">
      <c r="A86" s="36" t="s">
        <v>1325</v>
      </c>
      <c r="B86">
        <v>84</v>
      </c>
      <c r="C86" t="s">
        <v>53</v>
      </c>
      <c r="D86">
        <v>3</v>
      </c>
      <c r="E86">
        <v>3</v>
      </c>
      <c r="F86">
        <v>3</v>
      </c>
      <c r="G86" t="s">
        <v>112</v>
      </c>
      <c r="H86" t="s">
        <v>55</v>
      </c>
      <c r="I86" t="s">
        <v>105</v>
      </c>
      <c r="J86" t="s">
        <v>98</v>
      </c>
      <c r="K86" t="s">
        <v>45</v>
      </c>
      <c r="L86">
        <v>3</v>
      </c>
      <c r="N86">
        <v>1</v>
      </c>
      <c r="O86" t="s">
        <v>86</v>
      </c>
      <c r="S86" t="s">
        <v>56</v>
      </c>
      <c r="T86">
        <v>2</v>
      </c>
      <c r="V86">
        <v>3</v>
      </c>
      <c r="W86" t="s">
        <v>57</v>
      </c>
      <c r="X86" t="s">
        <v>122</v>
      </c>
      <c r="AA86" t="s">
        <v>48</v>
      </c>
      <c r="AB86">
        <v>3</v>
      </c>
      <c r="AD86">
        <v>3</v>
      </c>
      <c r="AE86" t="s">
        <v>126</v>
      </c>
      <c r="AF86" t="s">
        <v>84</v>
      </c>
      <c r="AG86" t="s">
        <v>51</v>
      </c>
      <c r="AH86" t="s">
        <v>129</v>
      </c>
      <c r="AI86">
        <v>0</v>
      </c>
      <c r="AJ86">
        <v>38</v>
      </c>
    </row>
    <row r="87" spans="1:36" x14ac:dyDescent="0.25">
      <c r="A87" t="s">
        <v>1326</v>
      </c>
      <c r="B87">
        <v>85</v>
      </c>
      <c r="C87" t="s">
        <v>56</v>
      </c>
      <c r="D87">
        <v>3</v>
      </c>
      <c r="F87">
        <v>3</v>
      </c>
      <c r="G87" t="s">
        <v>57</v>
      </c>
      <c r="H87" t="s">
        <v>122</v>
      </c>
      <c r="K87" t="s">
        <v>33</v>
      </c>
      <c r="L87">
        <v>1</v>
      </c>
      <c r="N87">
        <v>2</v>
      </c>
      <c r="O87" t="s">
        <v>65</v>
      </c>
      <c r="P87" t="s">
        <v>130</v>
      </c>
      <c r="Q87" t="s">
        <v>36</v>
      </c>
      <c r="R87" t="s">
        <v>37</v>
      </c>
      <c r="S87" t="s">
        <v>53</v>
      </c>
      <c r="T87">
        <v>1</v>
      </c>
      <c r="U87">
        <v>1</v>
      </c>
      <c r="V87">
        <v>2</v>
      </c>
      <c r="W87" t="s">
        <v>112</v>
      </c>
      <c r="X87" t="s">
        <v>113</v>
      </c>
      <c r="Y87" t="s">
        <v>97</v>
      </c>
      <c r="Z87" t="s">
        <v>116</v>
      </c>
      <c r="AA87" t="s">
        <v>45</v>
      </c>
      <c r="AB87">
        <v>3</v>
      </c>
      <c r="AD87">
        <v>1</v>
      </c>
      <c r="AE87" t="s">
        <v>140</v>
      </c>
      <c r="AF87" t="s">
        <v>141</v>
      </c>
      <c r="AG87" t="s">
        <v>93</v>
      </c>
      <c r="AH87" t="s">
        <v>94</v>
      </c>
      <c r="AI87">
        <v>0</v>
      </c>
      <c r="AJ87">
        <v>22</v>
      </c>
    </row>
    <row r="88" spans="1:36" x14ac:dyDescent="0.25">
      <c r="A88" t="s">
        <v>1609</v>
      </c>
      <c r="B88">
        <v>86</v>
      </c>
      <c r="C88" t="s">
        <v>53</v>
      </c>
      <c r="D88">
        <v>2</v>
      </c>
      <c r="E88">
        <v>3</v>
      </c>
      <c r="F88">
        <v>3</v>
      </c>
      <c r="G88" t="s">
        <v>112</v>
      </c>
      <c r="H88" t="s">
        <v>83</v>
      </c>
      <c r="I88" t="s">
        <v>97</v>
      </c>
      <c r="J88" t="s">
        <v>115</v>
      </c>
      <c r="K88" t="s">
        <v>45</v>
      </c>
      <c r="L88">
        <v>3</v>
      </c>
      <c r="N88">
        <v>2</v>
      </c>
      <c r="O88" t="s">
        <v>140</v>
      </c>
      <c r="S88" t="s">
        <v>56</v>
      </c>
      <c r="T88">
        <v>3</v>
      </c>
      <c r="V88">
        <v>2</v>
      </c>
      <c r="W88" t="s">
        <v>120</v>
      </c>
      <c r="X88" t="s">
        <v>121</v>
      </c>
      <c r="Y88" t="s">
        <v>123</v>
      </c>
      <c r="Z88" t="s">
        <v>88</v>
      </c>
      <c r="AA88" t="s">
        <v>43</v>
      </c>
      <c r="AB88">
        <v>1</v>
      </c>
      <c r="AD88">
        <v>1</v>
      </c>
      <c r="AE88" t="s">
        <v>73</v>
      </c>
      <c r="AF88" t="s">
        <v>136</v>
      </c>
      <c r="AG88" t="s">
        <v>75</v>
      </c>
      <c r="AI88">
        <v>0</v>
      </c>
      <c r="AJ88">
        <v>24</v>
      </c>
    </row>
    <row r="89" spans="1:36" x14ac:dyDescent="0.25">
      <c r="A89" t="s">
        <v>1327</v>
      </c>
      <c r="B89">
        <v>87</v>
      </c>
      <c r="C89" t="s">
        <v>56</v>
      </c>
      <c r="D89">
        <v>3</v>
      </c>
      <c r="F89">
        <v>1</v>
      </c>
      <c r="G89" t="s">
        <v>57</v>
      </c>
      <c r="H89" t="s">
        <v>122</v>
      </c>
      <c r="K89" t="s">
        <v>63</v>
      </c>
      <c r="L89">
        <v>2</v>
      </c>
      <c r="N89">
        <v>1</v>
      </c>
      <c r="O89" t="s">
        <v>103</v>
      </c>
      <c r="P89" t="s">
        <v>95</v>
      </c>
      <c r="S89" t="s">
        <v>53</v>
      </c>
      <c r="T89">
        <v>2</v>
      </c>
      <c r="U89">
        <v>1</v>
      </c>
      <c r="V89">
        <v>2</v>
      </c>
      <c r="W89" t="s">
        <v>112</v>
      </c>
      <c r="X89" t="s">
        <v>55</v>
      </c>
      <c r="AA89" t="s">
        <v>45</v>
      </c>
      <c r="AB89">
        <v>2</v>
      </c>
      <c r="AD89">
        <v>1</v>
      </c>
      <c r="AE89" t="s">
        <v>86</v>
      </c>
      <c r="AI89">
        <v>0</v>
      </c>
      <c r="AJ89">
        <v>13</v>
      </c>
    </row>
    <row r="90" spans="1:36" x14ac:dyDescent="0.25">
      <c r="A90" t="s">
        <v>1328</v>
      </c>
      <c r="B90">
        <v>88</v>
      </c>
      <c r="C90" t="s">
        <v>56</v>
      </c>
      <c r="D90">
        <v>3</v>
      </c>
      <c r="F90">
        <v>2</v>
      </c>
      <c r="G90" t="s">
        <v>57</v>
      </c>
      <c r="H90" t="s">
        <v>122</v>
      </c>
      <c r="I90" t="s">
        <v>85</v>
      </c>
      <c r="J90" t="s">
        <v>124</v>
      </c>
      <c r="K90" t="s">
        <v>38</v>
      </c>
      <c r="L90">
        <v>3</v>
      </c>
      <c r="M90">
        <v>1</v>
      </c>
      <c r="N90">
        <v>3</v>
      </c>
      <c r="O90" t="s">
        <v>39</v>
      </c>
      <c r="P90" t="s">
        <v>96</v>
      </c>
      <c r="Q90" t="s">
        <v>154</v>
      </c>
      <c r="R90" t="s">
        <v>42</v>
      </c>
      <c r="S90" t="s">
        <v>53</v>
      </c>
      <c r="T90">
        <v>2</v>
      </c>
      <c r="U90">
        <v>3</v>
      </c>
      <c r="V90">
        <v>3</v>
      </c>
      <c r="W90" t="s">
        <v>112</v>
      </c>
      <c r="X90" t="s">
        <v>83</v>
      </c>
      <c r="Y90" t="s">
        <v>97</v>
      </c>
      <c r="AA90" t="s">
        <v>45</v>
      </c>
      <c r="AB90">
        <v>2</v>
      </c>
      <c r="AD90">
        <v>1</v>
      </c>
      <c r="AE90" t="s">
        <v>86</v>
      </c>
      <c r="AI90">
        <v>0</v>
      </c>
      <c r="AJ90">
        <v>26</v>
      </c>
    </row>
    <row r="91" spans="1:36" x14ac:dyDescent="0.25">
      <c r="A91" s="36" t="s">
        <v>1610</v>
      </c>
      <c r="B91">
        <v>89</v>
      </c>
      <c r="C91" t="s">
        <v>56</v>
      </c>
      <c r="D91">
        <v>3</v>
      </c>
      <c r="F91">
        <v>3</v>
      </c>
      <c r="G91" t="s">
        <v>57</v>
      </c>
      <c r="H91" t="s">
        <v>122</v>
      </c>
      <c r="I91" t="s">
        <v>85</v>
      </c>
      <c r="J91" t="s">
        <v>125</v>
      </c>
      <c r="K91" t="s">
        <v>227</v>
      </c>
      <c r="L91">
        <v>3</v>
      </c>
      <c r="M91">
        <v>3</v>
      </c>
      <c r="N91">
        <v>2</v>
      </c>
      <c r="O91" t="s">
        <v>228</v>
      </c>
      <c r="P91" t="s">
        <v>231</v>
      </c>
      <c r="Q91" t="s">
        <v>236</v>
      </c>
      <c r="R91" t="s">
        <v>238</v>
      </c>
      <c r="S91" t="s">
        <v>53</v>
      </c>
      <c r="T91">
        <v>2</v>
      </c>
      <c r="U91">
        <v>3</v>
      </c>
      <c r="V91">
        <v>3</v>
      </c>
      <c r="W91" t="s">
        <v>112</v>
      </c>
      <c r="X91" t="s">
        <v>83</v>
      </c>
      <c r="Y91" t="s">
        <v>97</v>
      </c>
      <c r="Z91" t="s">
        <v>98</v>
      </c>
      <c r="AA91" t="s">
        <v>45</v>
      </c>
      <c r="AB91">
        <v>1</v>
      </c>
      <c r="AD91">
        <v>1</v>
      </c>
      <c r="AE91" t="s">
        <v>47</v>
      </c>
      <c r="AI91">
        <v>0</v>
      </c>
      <c r="AJ91">
        <v>28</v>
      </c>
    </row>
    <row r="92" spans="1:36" x14ac:dyDescent="0.25">
      <c r="A92" t="s">
        <v>1329</v>
      </c>
      <c r="B92">
        <v>90</v>
      </c>
      <c r="C92" t="s">
        <v>48</v>
      </c>
      <c r="D92">
        <v>3</v>
      </c>
      <c r="F92">
        <v>3</v>
      </c>
      <c r="G92" t="s">
        <v>126</v>
      </c>
      <c r="H92" t="s">
        <v>84</v>
      </c>
      <c r="I92" t="s">
        <v>90</v>
      </c>
      <c r="J92" t="s">
        <v>129</v>
      </c>
      <c r="K92" t="s">
        <v>33</v>
      </c>
      <c r="L92">
        <v>3</v>
      </c>
      <c r="N92">
        <v>3</v>
      </c>
      <c r="O92" t="s">
        <v>65</v>
      </c>
      <c r="P92" t="s">
        <v>130</v>
      </c>
      <c r="Q92" t="s">
        <v>132</v>
      </c>
      <c r="R92" t="s">
        <v>37</v>
      </c>
      <c r="S92" t="s">
        <v>53</v>
      </c>
      <c r="T92">
        <v>3</v>
      </c>
      <c r="U92">
        <v>3</v>
      </c>
      <c r="V92">
        <v>3</v>
      </c>
      <c r="W92" t="s">
        <v>112</v>
      </c>
      <c r="X92" t="s">
        <v>113</v>
      </c>
      <c r="Y92" t="s">
        <v>97</v>
      </c>
      <c r="AA92" t="s">
        <v>45</v>
      </c>
      <c r="AB92">
        <v>3</v>
      </c>
      <c r="AD92">
        <v>1</v>
      </c>
      <c r="AE92" t="s">
        <v>140</v>
      </c>
      <c r="AF92" t="s">
        <v>141</v>
      </c>
      <c r="AI92">
        <v>0</v>
      </c>
      <c r="AJ92">
        <v>32</v>
      </c>
    </row>
    <row r="93" spans="1:36" x14ac:dyDescent="0.25">
      <c r="A93" t="s">
        <v>1330</v>
      </c>
      <c r="B93">
        <v>91</v>
      </c>
      <c r="C93" t="s">
        <v>53</v>
      </c>
      <c r="D93">
        <v>3</v>
      </c>
      <c r="E93">
        <v>3</v>
      </c>
      <c r="F93">
        <v>3</v>
      </c>
      <c r="G93" t="s">
        <v>112</v>
      </c>
      <c r="H93" t="s">
        <v>55</v>
      </c>
      <c r="I93" t="s">
        <v>97</v>
      </c>
      <c r="J93" t="s">
        <v>98</v>
      </c>
      <c r="K93" t="s">
        <v>45</v>
      </c>
      <c r="L93">
        <v>3</v>
      </c>
      <c r="N93">
        <v>3</v>
      </c>
      <c r="O93" t="s">
        <v>140</v>
      </c>
      <c r="P93" t="s">
        <v>76</v>
      </c>
      <c r="Q93" t="s">
        <v>93</v>
      </c>
      <c r="R93" t="s">
        <v>94</v>
      </c>
      <c r="S93" t="s">
        <v>48</v>
      </c>
      <c r="T93">
        <v>3</v>
      </c>
      <c r="V93">
        <v>3</v>
      </c>
      <c r="W93" t="s">
        <v>126</v>
      </c>
      <c r="X93" t="s">
        <v>84</v>
      </c>
      <c r="Y93" t="s">
        <v>90</v>
      </c>
      <c r="Z93" t="s">
        <v>128</v>
      </c>
      <c r="AA93" t="s">
        <v>43</v>
      </c>
      <c r="AB93">
        <v>1</v>
      </c>
      <c r="AD93">
        <v>1</v>
      </c>
      <c r="AE93" t="s">
        <v>73</v>
      </c>
      <c r="AF93" t="s">
        <v>136</v>
      </c>
      <c r="AG93" t="s">
        <v>75</v>
      </c>
      <c r="AI93">
        <v>0</v>
      </c>
      <c r="AJ93">
        <v>53</v>
      </c>
    </row>
    <row r="94" spans="1:36" x14ac:dyDescent="0.25">
      <c r="A94" t="s">
        <v>1331</v>
      </c>
      <c r="B94">
        <v>92</v>
      </c>
      <c r="C94" t="s">
        <v>53</v>
      </c>
      <c r="D94">
        <v>3</v>
      </c>
      <c r="E94">
        <v>1</v>
      </c>
      <c r="F94">
        <v>1</v>
      </c>
      <c r="G94" t="s">
        <v>112</v>
      </c>
      <c r="H94" t="s">
        <v>83</v>
      </c>
      <c r="I94" t="s">
        <v>114</v>
      </c>
      <c r="J94" t="s">
        <v>116</v>
      </c>
      <c r="K94" t="s">
        <v>45</v>
      </c>
      <c r="L94">
        <v>3</v>
      </c>
      <c r="N94">
        <v>1</v>
      </c>
      <c r="O94" t="s">
        <v>86</v>
      </c>
      <c r="P94" t="s">
        <v>141</v>
      </c>
      <c r="Q94" t="s">
        <v>93</v>
      </c>
      <c r="R94" t="s">
        <v>144</v>
      </c>
      <c r="S94" t="s">
        <v>48</v>
      </c>
      <c r="T94">
        <v>1</v>
      </c>
      <c r="V94">
        <v>1</v>
      </c>
      <c r="W94" t="s">
        <v>126</v>
      </c>
      <c r="X94" t="s">
        <v>84</v>
      </c>
      <c r="Y94" t="s">
        <v>90</v>
      </c>
      <c r="Z94" t="s">
        <v>129</v>
      </c>
      <c r="AA94" t="s">
        <v>63</v>
      </c>
      <c r="AB94">
        <v>1</v>
      </c>
      <c r="AD94">
        <v>2</v>
      </c>
      <c r="AE94" t="s">
        <v>103</v>
      </c>
      <c r="AF94" t="s">
        <v>91</v>
      </c>
      <c r="AG94" t="s">
        <v>148</v>
      </c>
      <c r="AH94" t="s">
        <v>151</v>
      </c>
      <c r="AI94">
        <v>0</v>
      </c>
      <c r="AJ94">
        <v>21</v>
      </c>
    </row>
    <row r="95" spans="1:36" x14ac:dyDescent="0.25">
      <c r="A95" t="s">
        <v>1332</v>
      </c>
      <c r="B95">
        <v>93</v>
      </c>
      <c r="C95" t="s">
        <v>48</v>
      </c>
      <c r="D95">
        <v>3</v>
      </c>
      <c r="F95">
        <v>3</v>
      </c>
      <c r="G95" t="s">
        <v>126</v>
      </c>
      <c r="H95" t="s">
        <v>84</v>
      </c>
      <c r="I95" t="s">
        <v>51</v>
      </c>
      <c r="J95" t="s">
        <v>129</v>
      </c>
      <c r="K95" t="s">
        <v>38</v>
      </c>
      <c r="L95">
        <v>3</v>
      </c>
      <c r="M95">
        <v>1</v>
      </c>
      <c r="N95">
        <v>3</v>
      </c>
      <c r="O95" t="s">
        <v>39</v>
      </c>
      <c r="P95" t="s">
        <v>40</v>
      </c>
      <c r="Q95" t="s">
        <v>154</v>
      </c>
      <c r="R95" t="s">
        <v>42</v>
      </c>
      <c r="S95" t="s">
        <v>53</v>
      </c>
      <c r="T95">
        <v>3</v>
      </c>
      <c r="U95">
        <v>3</v>
      </c>
      <c r="V95">
        <v>3</v>
      </c>
      <c r="W95" t="s">
        <v>112</v>
      </c>
      <c r="X95" t="s">
        <v>55</v>
      </c>
      <c r="Y95" t="s">
        <v>105</v>
      </c>
      <c r="Z95" t="s">
        <v>115</v>
      </c>
      <c r="AA95" t="s">
        <v>45</v>
      </c>
      <c r="AB95">
        <v>2</v>
      </c>
      <c r="AD95">
        <v>1</v>
      </c>
      <c r="AE95" t="s">
        <v>86</v>
      </c>
      <c r="AI95">
        <v>0</v>
      </c>
      <c r="AJ95">
        <v>44</v>
      </c>
    </row>
    <row r="96" spans="1:36" x14ac:dyDescent="0.25">
      <c r="A96" s="36" t="s">
        <v>1333</v>
      </c>
      <c r="B96">
        <v>94</v>
      </c>
      <c r="C96" t="s">
        <v>48</v>
      </c>
      <c r="D96">
        <v>3</v>
      </c>
      <c r="F96">
        <v>3</v>
      </c>
      <c r="G96" t="s">
        <v>126</v>
      </c>
      <c r="H96" t="s">
        <v>84</v>
      </c>
      <c r="I96" t="s">
        <v>90</v>
      </c>
      <c r="J96" t="s">
        <v>129</v>
      </c>
      <c r="K96" t="s">
        <v>227</v>
      </c>
      <c r="L96">
        <v>3</v>
      </c>
      <c r="M96">
        <v>2</v>
      </c>
      <c r="N96">
        <v>3</v>
      </c>
      <c r="O96" t="s">
        <v>228</v>
      </c>
      <c r="P96" t="s">
        <v>231</v>
      </c>
      <c r="Q96" t="s">
        <v>234</v>
      </c>
      <c r="R96" t="s">
        <v>238</v>
      </c>
      <c r="S96" t="s">
        <v>53</v>
      </c>
      <c r="T96">
        <v>3</v>
      </c>
      <c r="U96">
        <v>2</v>
      </c>
      <c r="V96">
        <v>2</v>
      </c>
      <c r="W96" t="s">
        <v>112</v>
      </c>
      <c r="X96" t="s">
        <v>83</v>
      </c>
      <c r="Y96" t="s">
        <v>97</v>
      </c>
      <c r="Z96" t="s">
        <v>98</v>
      </c>
      <c r="AA96" t="s">
        <v>45</v>
      </c>
      <c r="AB96">
        <v>3</v>
      </c>
      <c r="AD96">
        <v>1</v>
      </c>
      <c r="AE96" t="s">
        <v>47</v>
      </c>
      <c r="AF96" t="s">
        <v>76</v>
      </c>
      <c r="AI96">
        <v>0</v>
      </c>
      <c r="AJ96">
        <v>29</v>
      </c>
    </row>
    <row r="97" spans="1:36" x14ac:dyDescent="0.25">
      <c r="A97" t="s">
        <v>1334</v>
      </c>
      <c r="B97">
        <v>95</v>
      </c>
      <c r="C97" t="s">
        <v>53</v>
      </c>
      <c r="D97">
        <v>1</v>
      </c>
      <c r="E97">
        <v>1</v>
      </c>
      <c r="F97">
        <v>2</v>
      </c>
      <c r="G97" t="s">
        <v>112</v>
      </c>
      <c r="H97" t="s">
        <v>113</v>
      </c>
      <c r="K97" t="s">
        <v>45</v>
      </c>
      <c r="L97">
        <v>3</v>
      </c>
      <c r="N97">
        <v>2</v>
      </c>
      <c r="O97" t="s">
        <v>140</v>
      </c>
      <c r="P97" t="s">
        <v>141</v>
      </c>
      <c r="Q97" t="s">
        <v>142</v>
      </c>
      <c r="R97" t="s">
        <v>143</v>
      </c>
      <c r="S97" t="s">
        <v>33</v>
      </c>
      <c r="T97">
        <v>3</v>
      </c>
      <c r="V97">
        <v>3</v>
      </c>
      <c r="W97" t="s">
        <v>65</v>
      </c>
      <c r="X97" t="s">
        <v>130</v>
      </c>
      <c r="Y97" t="s">
        <v>36</v>
      </c>
      <c r="Z97" t="s">
        <v>133</v>
      </c>
      <c r="AA97" t="s">
        <v>43</v>
      </c>
      <c r="AB97">
        <v>1</v>
      </c>
      <c r="AD97">
        <v>1</v>
      </c>
      <c r="AE97" t="s">
        <v>73</v>
      </c>
      <c r="AF97" t="s">
        <v>136</v>
      </c>
      <c r="AG97" t="s">
        <v>137</v>
      </c>
      <c r="AI97">
        <v>0</v>
      </c>
      <c r="AJ97">
        <v>21</v>
      </c>
    </row>
    <row r="98" spans="1:36" x14ac:dyDescent="0.25">
      <c r="A98" t="s">
        <v>1611</v>
      </c>
      <c r="B98">
        <v>96</v>
      </c>
      <c r="C98" t="s">
        <v>53</v>
      </c>
      <c r="D98">
        <v>2</v>
      </c>
      <c r="E98">
        <v>1</v>
      </c>
      <c r="F98">
        <v>2</v>
      </c>
      <c r="G98" t="s">
        <v>112</v>
      </c>
      <c r="H98" t="s">
        <v>55</v>
      </c>
      <c r="I98" t="s">
        <v>97</v>
      </c>
      <c r="J98" t="s">
        <v>116</v>
      </c>
      <c r="K98" t="s">
        <v>45</v>
      </c>
      <c r="L98">
        <v>3</v>
      </c>
      <c r="N98">
        <v>1</v>
      </c>
      <c r="O98" t="s">
        <v>140</v>
      </c>
      <c r="P98" t="s">
        <v>141</v>
      </c>
      <c r="Q98" t="s">
        <v>93</v>
      </c>
      <c r="R98" t="s">
        <v>144</v>
      </c>
      <c r="S98" t="s">
        <v>33</v>
      </c>
      <c r="T98">
        <v>2</v>
      </c>
      <c r="V98">
        <v>2</v>
      </c>
      <c r="W98" t="s">
        <v>65</v>
      </c>
      <c r="AA98" t="s">
        <v>63</v>
      </c>
      <c r="AB98">
        <v>3</v>
      </c>
      <c r="AD98">
        <v>1</v>
      </c>
      <c r="AE98" t="s">
        <v>145</v>
      </c>
      <c r="AF98" t="s">
        <v>91</v>
      </c>
      <c r="AG98" t="s">
        <v>148</v>
      </c>
      <c r="AH98" t="s">
        <v>151</v>
      </c>
      <c r="AI98">
        <v>0</v>
      </c>
      <c r="AJ98">
        <v>22</v>
      </c>
    </row>
    <row r="99" spans="1:36" x14ac:dyDescent="0.25">
      <c r="A99" t="s">
        <v>1612</v>
      </c>
      <c r="B99">
        <v>97</v>
      </c>
      <c r="C99" t="s">
        <v>53</v>
      </c>
      <c r="D99">
        <v>1</v>
      </c>
      <c r="E99">
        <v>1</v>
      </c>
      <c r="F99">
        <v>2</v>
      </c>
      <c r="G99" t="s">
        <v>112</v>
      </c>
      <c r="H99" t="s">
        <v>113</v>
      </c>
      <c r="I99" t="s">
        <v>97</v>
      </c>
      <c r="J99" t="s">
        <v>98</v>
      </c>
      <c r="K99" t="s">
        <v>45</v>
      </c>
      <c r="L99">
        <v>3</v>
      </c>
      <c r="N99">
        <v>1</v>
      </c>
      <c r="O99" t="s">
        <v>140</v>
      </c>
      <c r="P99" t="s">
        <v>76</v>
      </c>
      <c r="Q99" t="s">
        <v>102</v>
      </c>
      <c r="R99" t="s">
        <v>143</v>
      </c>
      <c r="S99" t="s">
        <v>33</v>
      </c>
      <c r="T99">
        <v>2</v>
      </c>
      <c r="V99">
        <v>3</v>
      </c>
      <c r="W99" t="s">
        <v>65</v>
      </c>
      <c r="AA99" t="s">
        <v>38</v>
      </c>
      <c r="AB99">
        <v>1</v>
      </c>
      <c r="AC99">
        <v>1</v>
      </c>
      <c r="AD99">
        <v>3</v>
      </c>
      <c r="AE99" t="s">
        <v>39</v>
      </c>
      <c r="AF99" t="s">
        <v>40</v>
      </c>
      <c r="AG99" t="s">
        <v>153</v>
      </c>
      <c r="AH99" t="s">
        <v>42</v>
      </c>
      <c r="AI99">
        <v>0</v>
      </c>
      <c r="AJ99">
        <v>22</v>
      </c>
    </row>
    <row r="100" spans="1:36" x14ac:dyDescent="0.25">
      <c r="A100" s="36" t="s">
        <v>1335</v>
      </c>
      <c r="B100">
        <v>98</v>
      </c>
      <c r="C100" t="s">
        <v>53</v>
      </c>
      <c r="D100">
        <v>2</v>
      </c>
      <c r="E100">
        <v>1</v>
      </c>
      <c r="F100">
        <v>2</v>
      </c>
      <c r="G100" t="s">
        <v>112</v>
      </c>
      <c r="H100" t="s">
        <v>113</v>
      </c>
      <c r="I100" t="s">
        <v>114</v>
      </c>
      <c r="J100" t="s">
        <v>116</v>
      </c>
      <c r="K100" t="s">
        <v>45</v>
      </c>
      <c r="L100">
        <v>3</v>
      </c>
      <c r="N100">
        <v>2</v>
      </c>
      <c r="O100" t="s">
        <v>86</v>
      </c>
      <c r="P100" t="s">
        <v>76</v>
      </c>
      <c r="Q100" t="s">
        <v>93</v>
      </c>
      <c r="R100" t="s">
        <v>144</v>
      </c>
      <c r="S100" t="s">
        <v>33</v>
      </c>
      <c r="T100">
        <v>2</v>
      </c>
      <c r="V100">
        <v>1</v>
      </c>
      <c r="W100" t="s">
        <v>65</v>
      </c>
      <c r="X100" t="s">
        <v>130</v>
      </c>
      <c r="AA100" t="s">
        <v>227</v>
      </c>
      <c r="AB100">
        <v>2</v>
      </c>
      <c r="AC100">
        <v>1</v>
      </c>
      <c r="AD100">
        <v>3</v>
      </c>
      <c r="AE100" t="s">
        <v>228</v>
      </c>
      <c r="AF100" t="s">
        <v>231</v>
      </c>
      <c r="AG100" t="s">
        <v>235</v>
      </c>
      <c r="AH100" t="s">
        <v>238</v>
      </c>
      <c r="AI100">
        <v>0</v>
      </c>
      <c r="AJ100">
        <v>24</v>
      </c>
    </row>
    <row r="101" spans="1:36" x14ac:dyDescent="0.25">
      <c r="A101" t="s">
        <v>1613</v>
      </c>
      <c r="B101">
        <v>99</v>
      </c>
      <c r="C101" t="s">
        <v>53</v>
      </c>
      <c r="D101">
        <v>3</v>
      </c>
      <c r="E101">
        <v>2</v>
      </c>
      <c r="F101">
        <v>2</v>
      </c>
      <c r="G101" t="s">
        <v>112</v>
      </c>
      <c r="H101" t="s">
        <v>55</v>
      </c>
      <c r="I101" t="s">
        <v>114</v>
      </c>
      <c r="J101" t="s">
        <v>98</v>
      </c>
      <c r="K101" t="s">
        <v>45</v>
      </c>
      <c r="L101">
        <v>3</v>
      </c>
      <c r="N101">
        <v>1</v>
      </c>
      <c r="O101" t="s">
        <v>86</v>
      </c>
      <c r="P101" t="s">
        <v>76</v>
      </c>
      <c r="S101" t="s">
        <v>43</v>
      </c>
      <c r="T101">
        <v>1</v>
      </c>
      <c r="V101">
        <v>1</v>
      </c>
      <c r="W101" t="s">
        <v>135</v>
      </c>
      <c r="X101" t="s">
        <v>99</v>
      </c>
      <c r="AA101" t="s">
        <v>63</v>
      </c>
      <c r="AB101">
        <v>2</v>
      </c>
      <c r="AD101">
        <v>3</v>
      </c>
      <c r="AE101" t="s">
        <v>145</v>
      </c>
      <c r="AF101" t="s">
        <v>91</v>
      </c>
      <c r="AG101" t="s">
        <v>148</v>
      </c>
      <c r="AH101" t="s">
        <v>151</v>
      </c>
      <c r="AI101">
        <v>0</v>
      </c>
      <c r="AJ101">
        <v>23</v>
      </c>
    </row>
    <row r="102" spans="1:36" x14ac:dyDescent="0.25">
      <c r="A102" t="s">
        <v>1336</v>
      </c>
      <c r="B102">
        <v>100</v>
      </c>
      <c r="C102" t="s">
        <v>53</v>
      </c>
      <c r="D102">
        <v>1</v>
      </c>
      <c r="E102">
        <v>3</v>
      </c>
      <c r="F102">
        <v>2</v>
      </c>
      <c r="G102" t="s">
        <v>112</v>
      </c>
      <c r="H102" t="s">
        <v>113</v>
      </c>
      <c r="I102" t="s">
        <v>97</v>
      </c>
      <c r="K102" t="s">
        <v>45</v>
      </c>
      <c r="L102">
        <v>3</v>
      </c>
      <c r="N102">
        <v>2</v>
      </c>
      <c r="O102" t="s">
        <v>140</v>
      </c>
      <c r="P102" t="s">
        <v>141</v>
      </c>
      <c r="Q102" t="s">
        <v>102</v>
      </c>
      <c r="R102" t="s">
        <v>144</v>
      </c>
      <c r="S102" t="s">
        <v>43</v>
      </c>
      <c r="T102">
        <v>2</v>
      </c>
      <c r="V102">
        <v>1</v>
      </c>
      <c r="W102" t="s">
        <v>135</v>
      </c>
      <c r="X102" t="s">
        <v>136</v>
      </c>
      <c r="AA102" t="s">
        <v>38</v>
      </c>
      <c r="AB102">
        <v>2</v>
      </c>
      <c r="AC102">
        <v>2</v>
      </c>
      <c r="AD102">
        <v>2</v>
      </c>
      <c r="AE102" t="s">
        <v>39</v>
      </c>
      <c r="AF102" t="s">
        <v>40</v>
      </c>
      <c r="AG102" t="s">
        <v>153</v>
      </c>
      <c r="AH102" t="s">
        <v>42</v>
      </c>
      <c r="AI102">
        <v>0</v>
      </c>
      <c r="AJ102">
        <v>23</v>
      </c>
    </row>
    <row r="103" spans="1:36" x14ac:dyDescent="0.25">
      <c r="A103" s="36" t="s">
        <v>1337</v>
      </c>
      <c r="B103">
        <v>101</v>
      </c>
      <c r="C103" t="s">
        <v>53</v>
      </c>
      <c r="D103">
        <v>1</v>
      </c>
      <c r="E103">
        <v>1</v>
      </c>
      <c r="F103">
        <v>1</v>
      </c>
      <c r="G103" t="s">
        <v>112</v>
      </c>
      <c r="H103" t="s">
        <v>113</v>
      </c>
      <c r="I103" t="s">
        <v>114</v>
      </c>
      <c r="J103" t="s">
        <v>116</v>
      </c>
      <c r="K103" t="s">
        <v>45</v>
      </c>
      <c r="L103">
        <v>3</v>
      </c>
      <c r="N103">
        <v>1</v>
      </c>
      <c r="O103" t="s">
        <v>140</v>
      </c>
      <c r="P103" t="s">
        <v>76</v>
      </c>
      <c r="S103" t="s">
        <v>43</v>
      </c>
      <c r="T103">
        <v>2</v>
      </c>
      <c r="V103">
        <v>1</v>
      </c>
      <c r="W103" t="s">
        <v>135</v>
      </c>
      <c r="AA103" t="s">
        <v>227</v>
      </c>
      <c r="AB103">
        <v>1</v>
      </c>
      <c r="AC103">
        <v>1</v>
      </c>
      <c r="AD103">
        <v>1</v>
      </c>
      <c r="AE103" t="s">
        <v>228</v>
      </c>
      <c r="AF103" t="s">
        <v>231</v>
      </c>
      <c r="AG103" t="s">
        <v>235</v>
      </c>
      <c r="AH103" t="s">
        <v>238</v>
      </c>
      <c r="AI103">
        <v>0</v>
      </c>
      <c r="AJ103">
        <v>14</v>
      </c>
    </row>
    <row r="104" spans="1:36" x14ac:dyDescent="0.25">
      <c r="A104" t="s">
        <v>1338</v>
      </c>
      <c r="B104">
        <v>102</v>
      </c>
      <c r="C104" t="s">
        <v>63</v>
      </c>
      <c r="D104">
        <v>3</v>
      </c>
      <c r="F104">
        <v>3</v>
      </c>
      <c r="G104" t="s">
        <v>103</v>
      </c>
      <c r="H104" t="s">
        <v>91</v>
      </c>
      <c r="I104" t="s">
        <v>147</v>
      </c>
      <c r="J104" t="s">
        <v>151</v>
      </c>
      <c r="K104" t="s">
        <v>38</v>
      </c>
      <c r="L104">
        <v>3</v>
      </c>
      <c r="M104">
        <v>3</v>
      </c>
      <c r="N104">
        <v>3</v>
      </c>
      <c r="O104" t="s">
        <v>39</v>
      </c>
      <c r="P104" t="s">
        <v>96</v>
      </c>
      <c r="Q104" t="s">
        <v>153</v>
      </c>
      <c r="R104" t="s">
        <v>42</v>
      </c>
      <c r="S104" t="s">
        <v>53</v>
      </c>
      <c r="T104">
        <v>3</v>
      </c>
      <c r="U104">
        <v>3</v>
      </c>
      <c r="V104">
        <v>3</v>
      </c>
      <c r="W104" t="s">
        <v>112</v>
      </c>
      <c r="X104" t="s">
        <v>83</v>
      </c>
      <c r="Y104" t="s">
        <v>97</v>
      </c>
      <c r="Z104" t="s">
        <v>98</v>
      </c>
      <c r="AA104" t="s">
        <v>45</v>
      </c>
      <c r="AB104">
        <v>3</v>
      </c>
      <c r="AD104">
        <v>2</v>
      </c>
      <c r="AE104" t="s">
        <v>86</v>
      </c>
      <c r="AF104" t="s">
        <v>76</v>
      </c>
      <c r="AI104">
        <v>0</v>
      </c>
      <c r="AJ104">
        <v>58</v>
      </c>
    </row>
    <row r="105" spans="1:36" x14ac:dyDescent="0.25">
      <c r="A105" s="36" t="s">
        <v>1339</v>
      </c>
      <c r="B105">
        <v>103</v>
      </c>
      <c r="C105" t="s">
        <v>53</v>
      </c>
      <c r="D105">
        <v>3</v>
      </c>
      <c r="E105">
        <v>1</v>
      </c>
      <c r="F105">
        <v>1</v>
      </c>
      <c r="G105" t="s">
        <v>112</v>
      </c>
      <c r="H105" t="s">
        <v>83</v>
      </c>
      <c r="I105" t="s">
        <v>114</v>
      </c>
      <c r="J105" t="s">
        <v>98</v>
      </c>
      <c r="K105" t="s">
        <v>45</v>
      </c>
      <c r="L105">
        <v>3</v>
      </c>
      <c r="N105">
        <v>1</v>
      </c>
      <c r="O105" t="s">
        <v>86</v>
      </c>
      <c r="P105" t="s">
        <v>141</v>
      </c>
      <c r="Q105" t="s">
        <v>142</v>
      </c>
      <c r="R105" t="s">
        <v>143</v>
      </c>
      <c r="S105" t="s">
        <v>63</v>
      </c>
      <c r="T105">
        <v>1</v>
      </c>
      <c r="V105">
        <v>1</v>
      </c>
      <c r="W105" t="s">
        <v>103</v>
      </c>
      <c r="X105" t="s">
        <v>91</v>
      </c>
      <c r="Y105" t="s">
        <v>148</v>
      </c>
      <c r="AA105" t="s">
        <v>227</v>
      </c>
      <c r="AB105">
        <v>2</v>
      </c>
      <c r="AC105">
        <v>1</v>
      </c>
      <c r="AD105">
        <v>3</v>
      </c>
      <c r="AE105" t="s">
        <v>229</v>
      </c>
      <c r="AF105" t="s">
        <v>231</v>
      </c>
      <c r="AG105" t="s">
        <v>235</v>
      </c>
      <c r="AI105">
        <v>0</v>
      </c>
      <c r="AJ105">
        <v>21</v>
      </c>
    </row>
    <row r="106" spans="1:36" x14ac:dyDescent="0.25">
      <c r="A106" s="36" t="s">
        <v>1614</v>
      </c>
      <c r="B106">
        <v>104</v>
      </c>
      <c r="C106" t="s">
        <v>38</v>
      </c>
      <c r="D106">
        <v>2</v>
      </c>
      <c r="E106">
        <v>2</v>
      </c>
      <c r="F106">
        <v>3</v>
      </c>
      <c r="G106" t="s">
        <v>39</v>
      </c>
      <c r="H106" t="s">
        <v>70</v>
      </c>
      <c r="I106" t="s">
        <v>154</v>
      </c>
      <c r="J106" t="s">
        <v>42</v>
      </c>
      <c r="K106" t="s">
        <v>227</v>
      </c>
      <c r="L106">
        <v>2</v>
      </c>
      <c r="M106">
        <v>3</v>
      </c>
      <c r="N106">
        <v>1</v>
      </c>
      <c r="O106" t="s">
        <v>228</v>
      </c>
      <c r="P106" t="s">
        <v>231</v>
      </c>
      <c r="Q106" t="s">
        <v>236</v>
      </c>
      <c r="R106" t="s">
        <v>238</v>
      </c>
      <c r="S106" t="s">
        <v>53</v>
      </c>
      <c r="T106">
        <v>3</v>
      </c>
      <c r="U106">
        <v>1</v>
      </c>
      <c r="V106">
        <v>2</v>
      </c>
      <c r="W106" t="s">
        <v>112</v>
      </c>
      <c r="X106" t="s">
        <v>83</v>
      </c>
      <c r="Y106" t="s">
        <v>97</v>
      </c>
      <c r="Z106" t="s">
        <v>98</v>
      </c>
      <c r="AA106" t="s">
        <v>45</v>
      </c>
      <c r="AB106">
        <v>1</v>
      </c>
      <c r="AD106">
        <v>1</v>
      </c>
      <c r="AE106" t="s">
        <v>86</v>
      </c>
      <c r="AI106">
        <v>0</v>
      </c>
      <c r="AJ106">
        <v>24</v>
      </c>
    </row>
    <row r="107" spans="1:36" x14ac:dyDescent="0.25">
      <c r="A107" t="s">
        <v>1340</v>
      </c>
      <c r="B107">
        <v>105</v>
      </c>
      <c r="C107" t="s">
        <v>56</v>
      </c>
      <c r="D107">
        <v>3</v>
      </c>
      <c r="F107">
        <v>3</v>
      </c>
      <c r="G107" t="s">
        <v>57</v>
      </c>
      <c r="H107" t="s">
        <v>122</v>
      </c>
      <c r="I107" t="s">
        <v>85</v>
      </c>
      <c r="J107" t="s">
        <v>124</v>
      </c>
      <c r="K107" t="s">
        <v>48</v>
      </c>
      <c r="L107">
        <v>3</v>
      </c>
      <c r="N107">
        <v>3</v>
      </c>
      <c r="O107" t="s">
        <v>49</v>
      </c>
      <c r="P107" t="s">
        <v>84</v>
      </c>
      <c r="Q107" t="s">
        <v>127</v>
      </c>
      <c r="R107" t="s">
        <v>129</v>
      </c>
      <c r="S107" t="s">
        <v>53</v>
      </c>
      <c r="T107">
        <v>3</v>
      </c>
      <c r="U107">
        <v>3</v>
      </c>
      <c r="V107">
        <v>3</v>
      </c>
      <c r="W107" t="s">
        <v>112</v>
      </c>
      <c r="X107" t="s">
        <v>55</v>
      </c>
      <c r="Y107" t="s">
        <v>114</v>
      </c>
      <c r="Z107" t="s">
        <v>98</v>
      </c>
      <c r="AA107" t="s">
        <v>63</v>
      </c>
      <c r="AB107">
        <v>1</v>
      </c>
      <c r="AD107">
        <v>1</v>
      </c>
      <c r="AE107" t="s">
        <v>103</v>
      </c>
      <c r="AF107" t="s">
        <v>91</v>
      </c>
      <c r="AI107">
        <v>0</v>
      </c>
      <c r="AJ107">
        <v>38</v>
      </c>
    </row>
    <row r="108" spans="1:36" x14ac:dyDescent="0.25">
      <c r="A108" t="s">
        <v>1341</v>
      </c>
      <c r="B108">
        <v>106</v>
      </c>
      <c r="C108" t="s">
        <v>53</v>
      </c>
      <c r="D108">
        <v>3</v>
      </c>
      <c r="E108">
        <v>3</v>
      </c>
      <c r="F108">
        <v>3</v>
      </c>
      <c r="G108" t="s">
        <v>112</v>
      </c>
      <c r="H108" t="s">
        <v>83</v>
      </c>
      <c r="I108" t="s">
        <v>97</v>
      </c>
      <c r="J108" t="s">
        <v>116</v>
      </c>
      <c r="K108" t="s">
        <v>63</v>
      </c>
      <c r="L108">
        <v>2</v>
      </c>
      <c r="N108">
        <v>3</v>
      </c>
      <c r="O108" t="s">
        <v>145</v>
      </c>
      <c r="P108" t="s">
        <v>95</v>
      </c>
      <c r="Q108" t="s">
        <v>147</v>
      </c>
      <c r="R108" t="s">
        <v>151</v>
      </c>
      <c r="S108" t="s">
        <v>56</v>
      </c>
      <c r="T108">
        <v>3</v>
      </c>
      <c r="V108">
        <v>3</v>
      </c>
      <c r="W108" t="s">
        <v>57</v>
      </c>
      <c r="X108" t="s">
        <v>122</v>
      </c>
      <c r="Y108" t="s">
        <v>123</v>
      </c>
      <c r="Z108" t="s">
        <v>124</v>
      </c>
      <c r="AA108" t="s">
        <v>33</v>
      </c>
      <c r="AB108">
        <v>2</v>
      </c>
      <c r="AD108">
        <v>1</v>
      </c>
      <c r="AE108" t="s">
        <v>34</v>
      </c>
      <c r="AI108">
        <v>0</v>
      </c>
      <c r="AJ108">
        <v>38</v>
      </c>
    </row>
    <row r="109" spans="1:36" x14ac:dyDescent="0.25">
      <c r="A109" t="s">
        <v>1342</v>
      </c>
      <c r="B109">
        <v>107</v>
      </c>
      <c r="C109" t="s">
        <v>53</v>
      </c>
      <c r="D109">
        <v>3</v>
      </c>
      <c r="E109">
        <v>3</v>
      </c>
      <c r="F109">
        <v>3</v>
      </c>
      <c r="G109" t="s">
        <v>112</v>
      </c>
      <c r="H109" t="s">
        <v>113</v>
      </c>
      <c r="I109" t="s">
        <v>97</v>
      </c>
      <c r="J109" t="s">
        <v>98</v>
      </c>
      <c r="K109" t="s">
        <v>63</v>
      </c>
      <c r="L109">
        <v>3</v>
      </c>
      <c r="N109">
        <v>3</v>
      </c>
      <c r="O109" t="s">
        <v>145</v>
      </c>
      <c r="P109" t="s">
        <v>146</v>
      </c>
      <c r="Q109" t="s">
        <v>104</v>
      </c>
      <c r="R109" t="s">
        <v>150</v>
      </c>
      <c r="S109" t="s">
        <v>56</v>
      </c>
      <c r="T109">
        <v>3</v>
      </c>
      <c r="V109">
        <v>3</v>
      </c>
      <c r="W109" t="s">
        <v>57</v>
      </c>
      <c r="X109" t="s">
        <v>122</v>
      </c>
      <c r="Y109" t="s">
        <v>123</v>
      </c>
      <c r="Z109" t="s">
        <v>124</v>
      </c>
      <c r="AA109" t="s">
        <v>43</v>
      </c>
      <c r="AB109">
        <v>3</v>
      </c>
      <c r="AD109">
        <v>3</v>
      </c>
      <c r="AE109" t="s">
        <v>135</v>
      </c>
      <c r="AF109" t="s">
        <v>136</v>
      </c>
      <c r="AG109" t="s">
        <v>137</v>
      </c>
      <c r="AH109" t="s">
        <v>139</v>
      </c>
      <c r="AI109">
        <v>0</v>
      </c>
      <c r="AJ109">
        <v>54</v>
      </c>
    </row>
    <row r="110" spans="1:36" x14ac:dyDescent="0.25">
      <c r="A110" t="s">
        <v>1343</v>
      </c>
      <c r="B110">
        <v>108</v>
      </c>
      <c r="C110" t="s">
        <v>56</v>
      </c>
      <c r="D110">
        <v>3</v>
      </c>
      <c r="F110">
        <v>2</v>
      </c>
      <c r="G110" t="s">
        <v>57</v>
      </c>
      <c r="H110" t="s">
        <v>122</v>
      </c>
      <c r="I110" t="s">
        <v>85</v>
      </c>
      <c r="J110" t="s">
        <v>124</v>
      </c>
      <c r="K110" t="s">
        <v>45</v>
      </c>
      <c r="L110">
        <v>3</v>
      </c>
      <c r="N110">
        <v>3</v>
      </c>
      <c r="O110" t="s">
        <v>86</v>
      </c>
      <c r="P110" t="s">
        <v>141</v>
      </c>
      <c r="Q110" t="s">
        <v>93</v>
      </c>
      <c r="R110" t="s">
        <v>94</v>
      </c>
      <c r="S110" t="s">
        <v>53</v>
      </c>
      <c r="T110">
        <v>3</v>
      </c>
      <c r="U110">
        <v>3</v>
      </c>
      <c r="V110">
        <v>3</v>
      </c>
      <c r="W110" t="s">
        <v>112</v>
      </c>
      <c r="X110" t="s">
        <v>55</v>
      </c>
      <c r="AA110" t="s">
        <v>63</v>
      </c>
      <c r="AB110">
        <v>1</v>
      </c>
      <c r="AD110">
        <v>1</v>
      </c>
      <c r="AE110" t="s">
        <v>145</v>
      </c>
      <c r="AF110" t="s">
        <v>146</v>
      </c>
      <c r="AI110">
        <v>0</v>
      </c>
      <c r="AJ110">
        <v>26</v>
      </c>
    </row>
    <row r="111" spans="1:36" x14ac:dyDescent="0.25">
      <c r="A111" t="s">
        <v>1344</v>
      </c>
      <c r="B111">
        <v>109</v>
      </c>
      <c r="C111" t="s">
        <v>56</v>
      </c>
      <c r="D111">
        <v>3</v>
      </c>
      <c r="F111">
        <v>2</v>
      </c>
      <c r="G111" t="s">
        <v>57</v>
      </c>
      <c r="H111" t="s">
        <v>122</v>
      </c>
      <c r="I111" t="s">
        <v>85</v>
      </c>
      <c r="K111" t="s">
        <v>38</v>
      </c>
      <c r="L111">
        <v>3</v>
      </c>
      <c r="M111">
        <v>1</v>
      </c>
      <c r="N111">
        <v>2</v>
      </c>
      <c r="O111" t="s">
        <v>39</v>
      </c>
      <c r="P111" t="s">
        <v>40</v>
      </c>
      <c r="Q111" t="s">
        <v>41</v>
      </c>
      <c r="R111" t="s">
        <v>42</v>
      </c>
      <c r="S111" t="s">
        <v>53</v>
      </c>
      <c r="T111">
        <v>1</v>
      </c>
      <c r="U111">
        <v>2</v>
      </c>
      <c r="V111">
        <v>2</v>
      </c>
      <c r="W111" t="s">
        <v>112</v>
      </c>
      <c r="X111" t="s">
        <v>83</v>
      </c>
      <c r="Y111" t="s">
        <v>97</v>
      </c>
      <c r="Z111" t="s">
        <v>115</v>
      </c>
      <c r="AA111" t="s">
        <v>63</v>
      </c>
      <c r="AB111">
        <v>2</v>
      </c>
      <c r="AD111">
        <v>1</v>
      </c>
      <c r="AE111" t="s">
        <v>103</v>
      </c>
      <c r="AF111" t="s">
        <v>91</v>
      </c>
      <c r="AI111">
        <v>0</v>
      </c>
      <c r="AJ111">
        <v>22</v>
      </c>
    </row>
    <row r="112" spans="1:36" x14ac:dyDescent="0.25">
      <c r="A112" s="36" t="s">
        <v>1615</v>
      </c>
      <c r="B112">
        <v>110</v>
      </c>
      <c r="C112" t="s">
        <v>56</v>
      </c>
      <c r="D112">
        <v>3</v>
      </c>
      <c r="F112">
        <v>1</v>
      </c>
      <c r="G112" t="s">
        <v>57</v>
      </c>
      <c r="H112" t="s">
        <v>122</v>
      </c>
      <c r="I112" t="s">
        <v>85</v>
      </c>
      <c r="K112" t="s">
        <v>227</v>
      </c>
      <c r="L112">
        <v>2</v>
      </c>
      <c r="M112">
        <v>1</v>
      </c>
      <c r="N112">
        <v>2</v>
      </c>
      <c r="O112" t="s">
        <v>228</v>
      </c>
      <c r="P112" t="s">
        <v>231</v>
      </c>
      <c r="Q112" t="s">
        <v>236</v>
      </c>
      <c r="R112" t="s">
        <v>238</v>
      </c>
      <c r="S112" t="s">
        <v>53</v>
      </c>
      <c r="T112">
        <v>1</v>
      </c>
      <c r="U112">
        <v>1</v>
      </c>
      <c r="V112">
        <v>2</v>
      </c>
      <c r="W112" t="s">
        <v>112</v>
      </c>
      <c r="X112" t="s">
        <v>83</v>
      </c>
      <c r="Y112" t="s">
        <v>97</v>
      </c>
      <c r="Z112" t="s">
        <v>98</v>
      </c>
      <c r="AA112" t="s">
        <v>63</v>
      </c>
      <c r="AB112">
        <v>1</v>
      </c>
      <c r="AD112">
        <v>1</v>
      </c>
      <c r="AE112" t="s">
        <v>145</v>
      </c>
      <c r="AF112" t="s">
        <v>146</v>
      </c>
      <c r="AG112" t="s">
        <v>147</v>
      </c>
      <c r="AI112">
        <v>0</v>
      </c>
      <c r="AJ112">
        <v>19</v>
      </c>
    </row>
    <row r="113" spans="1:36" x14ac:dyDescent="0.25">
      <c r="A113" t="s">
        <v>1616</v>
      </c>
      <c r="B113">
        <v>111</v>
      </c>
      <c r="C113" t="s">
        <v>48</v>
      </c>
      <c r="D113">
        <v>1</v>
      </c>
      <c r="F113">
        <v>2</v>
      </c>
      <c r="G113" t="s">
        <v>49</v>
      </c>
      <c r="H113" t="s">
        <v>84</v>
      </c>
      <c r="I113" t="s">
        <v>127</v>
      </c>
      <c r="J113" t="s">
        <v>129</v>
      </c>
      <c r="K113" t="s">
        <v>33</v>
      </c>
      <c r="L113">
        <v>3</v>
      </c>
      <c r="N113">
        <v>3</v>
      </c>
      <c r="O113" t="s">
        <v>34</v>
      </c>
      <c r="S113" t="s">
        <v>53</v>
      </c>
      <c r="T113">
        <v>3</v>
      </c>
      <c r="U113">
        <v>1</v>
      </c>
      <c r="V113">
        <v>2</v>
      </c>
      <c r="W113" t="s">
        <v>111</v>
      </c>
      <c r="X113" t="s">
        <v>83</v>
      </c>
      <c r="AA113" t="s">
        <v>63</v>
      </c>
      <c r="AB113">
        <v>2</v>
      </c>
      <c r="AD113">
        <v>1</v>
      </c>
      <c r="AE113" t="s">
        <v>145</v>
      </c>
      <c r="AF113" t="s">
        <v>146</v>
      </c>
      <c r="AI113">
        <v>0</v>
      </c>
      <c r="AJ113">
        <v>19</v>
      </c>
    </row>
    <row r="114" spans="1:36" x14ac:dyDescent="0.25">
      <c r="A114" t="s">
        <v>1617</v>
      </c>
      <c r="B114">
        <v>112</v>
      </c>
      <c r="C114" t="s">
        <v>48</v>
      </c>
      <c r="D114">
        <v>3</v>
      </c>
      <c r="F114">
        <v>3</v>
      </c>
      <c r="G114" t="s">
        <v>49</v>
      </c>
      <c r="H114" t="s">
        <v>84</v>
      </c>
      <c r="I114" t="s">
        <v>127</v>
      </c>
      <c r="J114" t="s">
        <v>129</v>
      </c>
      <c r="K114" t="s">
        <v>43</v>
      </c>
      <c r="L114">
        <v>3</v>
      </c>
      <c r="N114">
        <v>3</v>
      </c>
      <c r="O114" t="s">
        <v>73</v>
      </c>
      <c r="P114" t="s">
        <v>99</v>
      </c>
      <c r="Q114" t="s">
        <v>75</v>
      </c>
      <c r="R114" t="s">
        <v>138</v>
      </c>
      <c r="S114" t="s">
        <v>53</v>
      </c>
      <c r="T114">
        <v>2</v>
      </c>
      <c r="U114">
        <v>3</v>
      </c>
      <c r="V114">
        <v>3</v>
      </c>
      <c r="W114" t="s">
        <v>112</v>
      </c>
      <c r="X114" t="s">
        <v>55</v>
      </c>
      <c r="Y114" t="s">
        <v>105</v>
      </c>
      <c r="Z114" t="s">
        <v>115</v>
      </c>
      <c r="AA114" t="s">
        <v>63</v>
      </c>
      <c r="AB114">
        <v>1</v>
      </c>
      <c r="AD114">
        <v>2</v>
      </c>
      <c r="AE114" t="s">
        <v>145</v>
      </c>
      <c r="AF114" t="s">
        <v>91</v>
      </c>
      <c r="AG114" t="s">
        <v>148</v>
      </c>
      <c r="AI114">
        <v>0</v>
      </c>
      <c r="AJ114">
        <v>31</v>
      </c>
    </row>
    <row r="115" spans="1:36" x14ac:dyDescent="0.25">
      <c r="A115" t="s">
        <v>1618</v>
      </c>
      <c r="B115">
        <v>113</v>
      </c>
      <c r="C115" t="s">
        <v>53</v>
      </c>
      <c r="D115">
        <v>3</v>
      </c>
      <c r="E115">
        <v>3</v>
      </c>
      <c r="F115">
        <v>3</v>
      </c>
      <c r="G115" t="s">
        <v>112</v>
      </c>
      <c r="H115" t="s">
        <v>83</v>
      </c>
      <c r="I115" t="s">
        <v>114</v>
      </c>
      <c r="J115" t="s">
        <v>98</v>
      </c>
      <c r="K115" t="s">
        <v>63</v>
      </c>
      <c r="L115">
        <v>2</v>
      </c>
      <c r="N115">
        <v>3</v>
      </c>
      <c r="O115" t="s">
        <v>145</v>
      </c>
      <c r="P115" t="s">
        <v>146</v>
      </c>
      <c r="Q115" t="s">
        <v>148</v>
      </c>
      <c r="R115" t="s">
        <v>150</v>
      </c>
      <c r="S115" t="s">
        <v>48</v>
      </c>
      <c r="T115">
        <v>3</v>
      </c>
      <c r="V115">
        <v>3</v>
      </c>
      <c r="W115" t="s">
        <v>49</v>
      </c>
      <c r="X115" t="s">
        <v>84</v>
      </c>
      <c r="Y115" t="s">
        <v>127</v>
      </c>
      <c r="Z115" t="s">
        <v>129</v>
      </c>
      <c r="AA115" t="s">
        <v>45</v>
      </c>
      <c r="AB115">
        <v>3</v>
      </c>
      <c r="AD115">
        <v>3</v>
      </c>
      <c r="AE115" t="s">
        <v>86</v>
      </c>
      <c r="AF115" t="s">
        <v>141</v>
      </c>
      <c r="AG115" t="s">
        <v>93</v>
      </c>
      <c r="AH115" t="s">
        <v>94</v>
      </c>
      <c r="AI115">
        <v>0</v>
      </c>
      <c r="AJ115">
        <v>40</v>
      </c>
    </row>
    <row r="116" spans="1:36" x14ac:dyDescent="0.25">
      <c r="A116" t="s">
        <v>1345</v>
      </c>
      <c r="B116">
        <v>114</v>
      </c>
      <c r="C116" t="s">
        <v>53</v>
      </c>
      <c r="D116">
        <v>3</v>
      </c>
      <c r="E116">
        <v>3</v>
      </c>
      <c r="F116">
        <v>3</v>
      </c>
      <c r="G116" t="s">
        <v>112</v>
      </c>
      <c r="H116" t="s">
        <v>83</v>
      </c>
      <c r="I116" t="s">
        <v>97</v>
      </c>
      <c r="J116" t="s">
        <v>116</v>
      </c>
      <c r="K116" t="s">
        <v>63</v>
      </c>
      <c r="L116">
        <v>3</v>
      </c>
      <c r="N116">
        <v>3</v>
      </c>
      <c r="O116" t="s">
        <v>145</v>
      </c>
      <c r="P116" t="s">
        <v>91</v>
      </c>
      <c r="Q116" t="s">
        <v>147</v>
      </c>
      <c r="R116" t="s">
        <v>151</v>
      </c>
      <c r="S116" t="s">
        <v>48</v>
      </c>
      <c r="T116">
        <v>3</v>
      </c>
      <c r="V116">
        <v>3</v>
      </c>
      <c r="W116" t="s">
        <v>126</v>
      </c>
      <c r="X116" t="s">
        <v>84</v>
      </c>
      <c r="Y116" t="s">
        <v>127</v>
      </c>
      <c r="Z116" t="s">
        <v>129</v>
      </c>
      <c r="AA116" t="s">
        <v>38</v>
      </c>
      <c r="AB116">
        <v>1</v>
      </c>
      <c r="AC116">
        <v>2</v>
      </c>
      <c r="AD116">
        <v>2</v>
      </c>
      <c r="AE116" t="s">
        <v>152</v>
      </c>
      <c r="AF116" t="s">
        <v>40</v>
      </c>
      <c r="AG116" t="s">
        <v>154</v>
      </c>
      <c r="AI116">
        <v>0</v>
      </c>
      <c r="AJ116">
        <v>41</v>
      </c>
    </row>
    <row r="117" spans="1:36" x14ac:dyDescent="0.25">
      <c r="A117" s="36" t="s">
        <v>1346</v>
      </c>
      <c r="B117">
        <v>115</v>
      </c>
      <c r="C117" t="s">
        <v>53</v>
      </c>
      <c r="D117">
        <v>3</v>
      </c>
      <c r="E117">
        <v>3</v>
      </c>
      <c r="F117">
        <v>3</v>
      </c>
      <c r="G117" t="s">
        <v>112</v>
      </c>
      <c r="H117" t="s">
        <v>83</v>
      </c>
      <c r="I117" t="s">
        <v>97</v>
      </c>
      <c r="J117" t="s">
        <v>116</v>
      </c>
      <c r="K117" t="s">
        <v>63</v>
      </c>
      <c r="L117">
        <v>3</v>
      </c>
      <c r="N117">
        <v>3</v>
      </c>
      <c r="O117" t="s">
        <v>145</v>
      </c>
      <c r="P117" t="s">
        <v>91</v>
      </c>
      <c r="Q117" t="s">
        <v>148</v>
      </c>
      <c r="R117" t="s">
        <v>151</v>
      </c>
      <c r="S117" t="s">
        <v>48</v>
      </c>
      <c r="T117">
        <v>3</v>
      </c>
      <c r="V117">
        <v>3</v>
      </c>
      <c r="W117" t="s">
        <v>126</v>
      </c>
      <c r="X117" t="s">
        <v>84</v>
      </c>
      <c r="Y117" t="s">
        <v>127</v>
      </c>
      <c r="Z117" t="s">
        <v>129</v>
      </c>
      <c r="AA117" t="s">
        <v>227</v>
      </c>
      <c r="AB117">
        <v>3</v>
      </c>
      <c r="AC117">
        <v>3</v>
      </c>
      <c r="AD117">
        <v>3</v>
      </c>
      <c r="AE117" t="s">
        <v>229</v>
      </c>
      <c r="AF117" t="s">
        <v>231</v>
      </c>
      <c r="AG117" t="s">
        <v>236</v>
      </c>
      <c r="AH117" t="s">
        <v>238</v>
      </c>
      <c r="AI117">
        <v>0</v>
      </c>
      <c r="AJ117">
        <v>51</v>
      </c>
    </row>
    <row r="118" spans="1:36" x14ac:dyDescent="0.25">
      <c r="A118" t="s">
        <v>1619</v>
      </c>
      <c r="B118">
        <v>116</v>
      </c>
      <c r="C118" t="s">
        <v>33</v>
      </c>
      <c r="D118">
        <v>3</v>
      </c>
      <c r="F118">
        <v>3</v>
      </c>
      <c r="G118" t="s">
        <v>34</v>
      </c>
      <c r="H118" t="s">
        <v>130</v>
      </c>
      <c r="I118" t="s">
        <v>132</v>
      </c>
      <c r="J118" t="s">
        <v>37</v>
      </c>
      <c r="K118" t="s">
        <v>43</v>
      </c>
      <c r="L118">
        <v>3</v>
      </c>
      <c r="N118">
        <v>1</v>
      </c>
      <c r="O118" t="s">
        <v>135</v>
      </c>
      <c r="P118" t="s">
        <v>136</v>
      </c>
      <c r="Q118" t="s">
        <v>137</v>
      </c>
      <c r="S118" t="s">
        <v>53</v>
      </c>
      <c r="T118">
        <v>2</v>
      </c>
      <c r="U118">
        <v>1</v>
      </c>
      <c r="V118">
        <v>2</v>
      </c>
      <c r="W118" t="s">
        <v>112</v>
      </c>
      <c r="X118" t="s">
        <v>55</v>
      </c>
      <c r="AA118" t="s">
        <v>63</v>
      </c>
      <c r="AB118">
        <v>3</v>
      </c>
      <c r="AD118">
        <v>3</v>
      </c>
      <c r="AE118" t="s">
        <v>145</v>
      </c>
      <c r="AF118" t="s">
        <v>146</v>
      </c>
      <c r="AG118" t="s">
        <v>104</v>
      </c>
      <c r="AH118" t="s">
        <v>150</v>
      </c>
      <c r="AI118">
        <v>0</v>
      </c>
      <c r="AJ118">
        <v>33</v>
      </c>
    </row>
    <row r="119" spans="1:36" x14ac:dyDescent="0.25">
      <c r="A119" t="s">
        <v>1620</v>
      </c>
      <c r="B119">
        <v>117</v>
      </c>
      <c r="C119" t="s">
        <v>53</v>
      </c>
      <c r="D119">
        <v>2</v>
      </c>
      <c r="E119">
        <v>1</v>
      </c>
      <c r="F119">
        <v>2</v>
      </c>
      <c r="G119" t="s">
        <v>112</v>
      </c>
      <c r="H119" t="s">
        <v>83</v>
      </c>
      <c r="K119" t="s">
        <v>63</v>
      </c>
      <c r="L119">
        <v>3</v>
      </c>
      <c r="N119">
        <v>3</v>
      </c>
      <c r="O119" t="s">
        <v>145</v>
      </c>
      <c r="P119" t="s">
        <v>146</v>
      </c>
      <c r="Q119" t="s">
        <v>148</v>
      </c>
      <c r="R119" t="s">
        <v>150</v>
      </c>
      <c r="S119" t="s">
        <v>33</v>
      </c>
      <c r="T119">
        <v>2</v>
      </c>
      <c r="V119">
        <v>2</v>
      </c>
      <c r="W119" t="s">
        <v>34</v>
      </c>
      <c r="X119" t="s">
        <v>130</v>
      </c>
      <c r="Y119" t="s">
        <v>36</v>
      </c>
      <c r="AA119" t="s">
        <v>45</v>
      </c>
      <c r="AB119">
        <v>3</v>
      </c>
      <c r="AD119">
        <v>3</v>
      </c>
      <c r="AE119" t="s">
        <v>140</v>
      </c>
      <c r="AF119" t="s">
        <v>141</v>
      </c>
      <c r="AG119" t="s">
        <v>93</v>
      </c>
      <c r="AH119" t="s">
        <v>94</v>
      </c>
      <c r="AI119">
        <v>0</v>
      </c>
      <c r="AJ119">
        <v>33</v>
      </c>
    </row>
    <row r="120" spans="1:36" x14ac:dyDescent="0.25">
      <c r="A120" t="s">
        <v>1621</v>
      </c>
      <c r="B120">
        <v>118</v>
      </c>
      <c r="C120" t="s">
        <v>53</v>
      </c>
      <c r="D120">
        <v>3</v>
      </c>
      <c r="E120">
        <v>3</v>
      </c>
      <c r="F120">
        <v>3</v>
      </c>
      <c r="G120" t="s">
        <v>111</v>
      </c>
      <c r="H120" t="s">
        <v>83</v>
      </c>
      <c r="I120" t="s">
        <v>97</v>
      </c>
      <c r="J120" t="s">
        <v>116</v>
      </c>
      <c r="K120" t="s">
        <v>63</v>
      </c>
      <c r="L120">
        <v>3</v>
      </c>
      <c r="N120">
        <v>3</v>
      </c>
      <c r="O120" t="s">
        <v>145</v>
      </c>
      <c r="P120" t="s">
        <v>95</v>
      </c>
      <c r="Q120" t="s">
        <v>147</v>
      </c>
      <c r="R120" t="s">
        <v>151</v>
      </c>
      <c r="S120" t="s">
        <v>33</v>
      </c>
      <c r="T120">
        <v>2</v>
      </c>
      <c r="V120">
        <v>2</v>
      </c>
      <c r="W120" t="s">
        <v>34</v>
      </c>
      <c r="AA120" t="s">
        <v>38</v>
      </c>
      <c r="AB120">
        <v>3</v>
      </c>
      <c r="AC120">
        <v>3</v>
      </c>
      <c r="AD120">
        <v>3</v>
      </c>
      <c r="AE120" t="s">
        <v>152</v>
      </c>
      <c r="AF120" t="s">
        <v>40</v>
      </c>
      <c r="AG120" t="s">
        <v>154</v>
      </c>
      <c r="AH120" t="s">
        <v>42</v>
      </c>
      <c r="AI120">
        <v>0</v>
      </c>
      <c r="AJ120">
        <v>44</v>
      </c>
    </row>
    <row r="121" spans="1:36" x14ac:dyDescent="0.25">
      <c r="A121" s="36" t="s">
        <v>1622</v>
      </c>
      <c r="B121">
        <v>119</v>
      </c>
      <c r="C121" t="s">
        <v>53</v>
      </c>
      <c r="D121">
        <v>2</v>
      </c>
      <c r="E121">
        <v>1</v>
      </c>
      <c r="F121">
        <v>1</v>
      </c>
      <c r="G121" t="s">
        <v>111</v>
      </c>
      <c r="K121" t="s">
        <v>63</v>
      </c>
      <c r="L121">
        <v>3</v>
      </c>
      <c r="N121">
        <v>1</v>
      </c>
      <c r="O121" t="s">
        <v>145</v>
      </c>
      <c r="P121" t="s">
        <v>91</v>
      </c>
      <c r="Q121" t="s">
        <v>147</v>
      </c>
      <c r="R121" t="s">
        <v>151</v>
      </c>
      <c r="S121" t="s">
        <v>33</v>
      </c>
      <c r="T121">
        <v>2</v>
      </c>
      <c r="V121">
        <v>2</v>
      </c>
      <c r="W121" t="s">
        <v>34</v>
      </c>
      <c r="AA121" t="s">
        <v>227</v>
      </c>
      <c r="AB121">
        <v>3</v>
      </c>
      <c r="AC121">
        <v>1</v>
      </c>
      <c r="AD121">
        <v>2</v>
      </c>
      <c r="AE121" t="s">
        <v>228</v>
      </c>
      <c r="AF121" t="s">
        <v>231</v>
      </c>
      <c r="AG121" t="s">
        <v>235</v>
      </c>
      <c r="AH121" t="s">
        <v>238</v>
      </c>
      <c r="AI121">
        <v>0</v>
      </c>
      <c r="AJ121">
        <v>19</v>
      </c>
    </row>
    <row r="122" spans="1:36" x14ac:dyDescent="0.25">
      <c r="A122" t="s">
        <v>1347</v>
      </c>
      <c r="B122">
        <v>120</v>
      </c>
      <c r="C122" t="s">
        <v>53</v>
      </c>
      <c r="D122">
        <v>3</v>
      </c>
      <c r="E122">
        <v>3</v>
      </c>
      <c r="F122">
        <v>3</v>
      </c>
      <c r="G122" t="s">
        <v>112</v>
      </c>
      <c r="H122" t="s">
        <v>55</v>
      </c>
      <c r="I122" t="s">
        <v>114</v>
      </c>
      <c r="J122" t="s">
        <v>98</v>
      </c>
      <c r="K122" t="s">
        <v>63</v>
      </c>
      <c r="L122">
        <v>1</v>
      </c>
      <c r="N122">
        <v>1</v>
      </c>
      <c r="O122" t="s">
        <v>145</v>
      </c>
      <c r="P122" t="s">
        <v>146</v>
      </c>
      <c r="Q122" t="s">
        <v>147</v>
      </c>
      <c r="S122" t="s">
        <v>43</v>
      </c>
      <c r="T122">
        <v>3</v>
      </c>
      <c r="V122">
        <v>3</v>
      </c>
      <c r="W122" t="s">
        <v>135</v>
      </c>
      <c r="X122" t="s">
        <v>99</v>
      </c>
      <c r="Y122" t="s">
        <v>137</v>
      </c>
      <c r="Z122" t="s">
        <v>139</v>
      </c>
      <c r="AA122" t="s">
        <v>45</v>
      </c>
      <c r="AB122">
        <v>3</v>
      </c>
      <c r="AD122">
        <v>1</v>
      </c>
      <c r="AE122" t="s">
        <v>47</v>
      </c>
      <c r="AF122" t="s">
        <v>76</v>
      </c>
      <c r="AG122" t="s">
        <v>93</v>
      </c>
      <c r="AH122" t="s">
        <v>94</v>
      </c>
      <c r="AI122">
        <v>0</v>
      </c>
      <c r="AJ122">
        <v>33</v>
      </c>
    </row>
    <row r="123" spans="1:36" x14ac:dyDescent="0.25">
      <c r="A123" t="s">
        <v>1623</v>
      </c>
      <c r="B123">
        <v>121</v>
      </c>
      <c r="C123" t="s">
        <v>53</v>
      </c>
      <c r="D123">
        <v>3</v>
      </c>
      <c r="E123">
        <v>3</v>
      </c>
      <c r="F123">
        <v>3</v>
      </c>
      <c r="G123" t="s">
        <v>112</v>
      </c>
      <c r="H123" t="s">
        <v>83</v>
      </c>
      <c r="I123" t="s">
        <v>97</v>
      </c>
      <c r="J123" t="s">
        <v>116</v>
      </c>
      <c r="K123" t="s">
        <v>63</v>
      </c>
      <c r="L123">
        <v>3</v>
      </c>
      <c r="N123">
        <v>3</v>
      </c>
      <c r="O123" t="s">
        <v>145</v>
      </c>
      <c r="P123" t="s">
        <v>146</v>
      </c>
      <c r="Q123" t="s">
        <v>147</v>
      </c>
      <c r="R123" t="s">
        <v>151</v>
      </c>
      <c r="S123" t="s">
        <v>43</v>
      </c>
      <c r="T123">
        <v>3</v>
      </c>
      <c r="V123">
        <v>3</v>
      </c>
      <c r="W123" t="s">
        <v>135</v>
      </c>
      <c r="X123" t="s">
        <v>99</v>
      </c>
      <c r="Y123" t="s">
        <v>137</v>
      </c>
      <c r="Z123" t="s">
        <v>101</v>
      </c>
      <c r="AA123" t="s">
        <v>38</v>
      </c>
      <c r="AB123">
        <v>3</v>
      </c>
      <c r="AC123">
        <v>3</v>
      </c>
      <c r="AD123">
        <v>3</v>
      </c>
      <c r="AE123" t="s">
        <v>39</v>
      </c>
      <c r="AF123" t="s">
        <v>96</v>
      </c>
      <c r="AG123" t="s">
        <v>154</v>
      </c>
      <c r="AH123" t="s">
        <v>42</v>
      </c>
      <c r="AI123">
        <v>0</v>
      </c>
      <c r="AJ123">
        <v>54</v>
      </c>
    </row>
    <row r="124" spans="1:36" x14ac:dyDescent="0.25">
      <c r="A124" s="36" t="s">
        <v>1624</v>
      </c>
      <c r="B124">
        <v>122</v>
      </c>
      <c r="C124" t="s">
        <v>43</v>
      </c>
      <c r="D124">
        <v>3</v>
      </c>
      <c r="F124">
        <v>1</v>
      </c>
      <c r="G124" t="s">
        <v>135</v>
      </c>
      <c r="H124" t="s">
        <v>74</v>
      </c>
      <c r="I124" t="s">
        <v>137</v>
      </c>
      <c r="K124" t="s">
        <v>227</v>
      </c>
      <c r="L124">
        <v>2</v>
      </c>
      <c r="M124">
        <v>3</v>
      </c>
      <c r="N124">
        <v>3</v>
      </c>
      <c r="O124" t="s">
        <v>230</v>
      </c>
      <c r="P124" t="s">
        <v>231</v>
      </c>
      <c r="Q124" t="s">
        <v>236</v>
      </c>
      <c r="R124" t="s">
        <v>238</v>
      </c>
      <c r="S124" t="s">
        <v>53</v>
      </c>
      <c r="T124">
        <v>3</v>
      </c>
      <c r="U124">
        <v>2</v>
      </c>
      <c r="V124">
        <v>2</v>
      </c>
      <c r="W124" t="s">
        <v>112</v>
      </c>
      <c r="X124" t="s">
        <v>83</v>
      </c>
      <c r="Y124" t="s">
        <v>97</v>
      </c>
      <c r="Z124" t="s">
        <v>98</v>
      </c>
      <c r="AA124" t="s">
        <v>63</v>
      </c>
      <c r="AB124">
        <v>2</v>
      </c>
      <c r="AD124">
        <v>2</v>
      </c>
      <c r="AE124" t="s">
        <v>145</v>
      </c>
      <c r="AF124" t="s">
        <v>146</v>
      </c>
      <c r="AI124">
        <v>0</v>
      </c>
      <c r="AJ124">
        <v>26</v>
      </c>
    </row>
    <row r="125" spans="1:36" x14ac:dyDescent="0.25">
      <c r="A125" t="s">
        <v>1348</v>
      </c>
      <c r="B125">
        <v>123</v>
      </c>
      <c r="C125" t="s">
        <v>53</v>
      </c>
      <c r="D125">
        <v>3</v>
      </c>
      <c r="E125">
        <v>3</v>
      </c>
      <c r="F125">
        <v>3</v>
      </c>
      <c r="G125" t="s">
        <v>112</v>
      </c>
      <c r="H125" t="s">
        <v>55</v>
      </c>
      <c r="I125" t="s">
        <v>97</v>
      </c>
      <c r="J125" t="s">
        <v>98</v>
      </c>
      <c r="K125" t="s">
        <v>63</v>
      </c>
      <c r="L125">
        <v>3</v>
      </c>
      <c r="N125">
        <v>3</v>
      </c>
      <c r="O125" t="s">
        <v>103</v>
      </c>
      <c r="P125" t="s">
        <v>146</v>
      </c>
      <c r="Q125" t="s">
        <v>147</v>
      </c>
      <c r="R125" t="s">
        <v>150</v>
      </c>
      <c r="S125" t="s">
        <v>45</v>
      </c>
      <c r="T125">
        <v>3</v>
      </c>
      <c r="V125">
        <v>3</v>
      </c>
      <c r="W125" t="s">
        <v>86</v>
      </c>
      <c r="X125" t="s">
        <v>141</v>
      </c>
      <c r="Y125" t="s">
        <v>142</v>
      </c>
      <c r="Z125" t="s">
        <v>144</v>
      </c>
      <c r="AA125" t="s">
        <v>38</v>
      </c>
      <c r="AB125">
        <v>1</v>
      </c>
      <c r="AC125">
        <v>1</v>
      </c>
      <c r="AD125">
        <v>1</v>
      </c>
      <c r="AE125" t="s">
        <v>39</v>
      </c>
      <c r="AF125" t="s">
        <v>40</v>
      </c>
      <c r="AG125" t="s">
        <v>153</v>
      </c>
      <c r="AH125" t="s">
        <v>42</v>
      </c>
      <c r="AI125">
        <v>0</v>
      </c>
      <c r="AJ125">
        <v>42</v>
      </c>
    </row>
    <row r="126" spans="1:36" x14ac:dyDescent="0.25">
      <c r="A126" s="36" t="s">
        <v>1625</v>
      </c>
      <c r="B126">
        <v>124</v>
      </c>
      <c r="C126" t="s">
        <v>45</v>
      </c>
      <c r="D126">
        <v>3</v>
      </c>
      <c r="F126">
        <v>3</v>
      </c>
      <c r="G126" t="s">
        <v>86</v>
      </c>
      <c r="H126" t="s">
        <v>141</v>
      </c>
      <c r="I126" t="s">
        <v>93</v>
      </c>
      <c r="J126" t="s">
        <v>94</v>
      </c>
      <c r="K126" t="s">
        <v>227</v>
      </c>
      <c r="L126">
        <v>3</v>
      </c>
      <c r="M126">
        <v>2</v>
      </c>
      <c r="N126">
        <v>3</v>
      </c>
      <c r="O126" t="s">
        <v>229</v>
      </c>
      <c r="P126" t="s">
        <v>231</v>
      </c>
      <c r="Q126" t="s">
        <v>235</v>
      </c>
      <c r="R126" t="s">
        <v>238</v>
      </c>
      <c r="S126" t="s">
        <v>53</v>
      </c>
      <c r="T126">
        <v>3</v>
      </c>
      <c r="U126">
        <v>3</v>
      </c>
      <c r="V126">
        <v>3</v>
      </c>
      <c r="W126" t="s">
        <v>112</v>
      </c>
      <c r="X126" t="s">
        <v>83</v>
      </c>
      <c r="Y126" t="s">
        <v>114</v>
      </c>
      <c r="AA126" t="s">
        <v>63</v>
      </c>
      <c r="AB126">
        <v>1</v>
      </c>
      <c r="AD126">
        <v>1</v>
      </c>
      <c r="AE126" t="s">
        <v>145</v>
      </c>
      <c r="AF126" t="s">
        <v>146</v>
      </c>
      <c r="AG126" t="s">
        <v>148</v>
      </c>
      <c r="AH126" t="s">
        <v>150</v>
      </c>
      <c r="AI126">
        <v>0</v>
      </c>
      <c r="AJ126">
        <v>33</v>
      </c>
    </row>
    <row r="127" spans="1:36" x14ac:dyDescent="0.25">
      <c r="A127" s="36" t="s">
        <v>1349</v>
      </c>
      <c r="B127">
        <v>125</v>
      </c>
      <c r="C127" t="s">
        <v>53</v>
      </c>
      <c r="D127">
        <v>3</v>
      </c>
      <c r="E127">
        <v>3</v>
      </c>
      <c r="F127">
        <v>3</v>
      </c>
      <c r="G127" t="s">
        <v>112</v>
      </c>
      <c r="H127" t="s">
        <v>83</v>
      </c>
      <c r="I127" t="s">
        <v>97</v>
      </c>
      <c r="J127" t="s">
        <v>98</v>
      </c>
      <c r="K127" t="s">
        <v>63</v>
      </c>
      <c r="L127">
        <v>3</v>
      </c>
      <c r="N127">
        <v>3</v>
      </c>
      <c r="O127" t="s">
        <v>103</v>
      </c>
      <c r="P127" t="s">
        <v>91</v>
      </c>
      <c r="Q127" t="s">
        <v>147</v>
      </c>
      <c r="R127" t="s">
        <v>150</v>
      </c>
      <c r="S127" t="s">
        <v>38</v>
      </c>
      <c r="T127">
        <v>3</v>
      </c>
      <c r="U127">
        <v>3</v>
      </c>
      <c r="V127">
        <v>3</v>
      </c>
      <c r="W127" t="s">
        <v>39</v>
      </c>
      <c r="X127" t="s">
        <v>40</v>
      </c>
      <c r="Y127" t="s">
        <v>41</v>
      </c>
      <c r="Z127" t="s">
        <v>42</v>
      </c>
      <c r="AA127" t="s">
        <v>227</v>
      </c>
      <c r="AB127">
        <v>2</v>
      </c>
      <c r="AC127">
        <v>1</v>
      </c>
      <c r="AD127">
        <v>3</v>
      </c>
      <c r="AE127" t="s">
        <v>228</v>
      </c>
      <c r="AF127" t="s">
        <v>231</v>
      </c>
      <c r="AG127" t="s">
        <v>235</v>
      </c>
      <c r="AI127">
        <v>0</v>
      </c>
      <c r="AJ127">
        <v>39</v>
      </c>
    </row>
    <row r="128" spans="1:36" x14ac:dyDescent="0.25">
      <c r="A128" t="s">
        <v>1626</v>
      </c>
      <c r="B128">
        <v>126</v>
      </c>
      <c r="C128" t="s">
        <v>56</v>
      </c>
      <c r="D128">
        <v>3</v>
      </c>
      <c r="F128">
        <v>3</v>
      </c>
      <c r="G128" t="s">
        <v>57</v>
      </c>
      <c r="H128" t="s">
        <v>122</v>
      </c>
      <c r="I128" t="s">
        <v>85</v>
      </c>
      <c r="J128" t="s">
        <v>125</v>
      </c>
      <c r="K128" t="s">
        <v>48</v>
      </c>
      <c r="L128">
        <v>3</v>
      </c>
      <c r="N128">
        <v>3</v>
      </c>
      <c r="O128" t="s">
        <v>126</v>
      </c>
      <c r="P128" t="s">
        <v>84</v>
      </c>
      <c r="Q128" t="s">
        <v>127</v>
      </c>
      <c r="R128" t="s">
        <v>129</v>
      </c>
      <c r="S128" t="s">
        <v>53</v>
      </c>
      <c r="T128">
        <v>2</v>
      </c>
      <c r="U128">
        <v>3</v>
      </c>
      <c r="V128">
        <v>3</v>
      </c>
      <c r="W128" t="s">
        <v>112</v>
      </c>
      <c r="X128" t="s">
        <v>113</v>
      </c>
      <c r="Y128" t="s">
        <v>97</v>
      </c>
      <c r="Z128" t="s">
        <v>116</v>
      </c>
      <c r="AA128" t="s">
        <v>38</v>
      </c>
      <c r="AB128">
        <v>3</v>
      </c>
      <c r="AC128">
        <v>2</v>
      </c>
      <c r="AD128">
        <v>2</v>
      </c>
      <c r="AE128" t="s">
        <v>39</v>
      </c>
      <c r="AF128" t="s">
        <v>96</v>
      </c>
      <c r="AG128" t="s">
        <v>153</v>
      </c>
      <c r="AH128" t="s">
        <v>155</v>
      </c>
      <c r="AI128">
        <v>0</v>
      </c>
      <c r="AJ128">
        <v>35</v>
      </c>
    </row>
    <row r="129" spans="1:36" x14ac:dyDescent="0.25">
      <c r="A129" t="s">
        <v>1627</v>
      </c>
      <c r="B129">
        <v>127</v>
      </c>
      <c r="C129" t="s">
        <v>56</v>
      </c>
      <c r="D129">
        <v>3</v>
      </c>
      <c r="F129">
        <v>2</v>
      </c>
      <c r="G129" t="s">
        <v>57</v>
      </c>
      <c r="H129" t="s">
        <v>122</v>
      </c>
      <c r="I129" t="s">
        <v>123</v>
      </c>
      <c r="J129" t="s">
        <v>125</v>
      </c>
      <c r="K129" t="s">
        <v>33</v>
      </c>
      <c r="L129">
        <v>1</v>
      </c>
      <c r="N129">
        <v>1</v>
      </c>
      <c r="O129" t="s">
        <v>65</v>
      </c>
      <c r="P129" t="s">
        <v>130</v>
      </c>
      <c r="S129" t="s">
        <v>53</v>
      </c>
      <c r="T129">
        <v>2</v>
      </c>
      <c r="U129">
        <v>3</v>
      </c>
      <c r="V129">
        <v>3</v>
      </c>
      <c r="W129" t="s">
        <v>112</v>
      </c>
      <c r="X129" t="s">
        <v>83</v>
      </c>
      <c r="AA129" t="s">
        <v>38</v>
      </c>
      <c r="AB129">
        <v>1</v>
      </c>
      <c r="AC129">
        <v>1</v>
      </c>
      <c r="AD129">
        <v>2</v>
      </c>
      <c r="AE129" t="s">
        <v>67</v>
      </c>
      <c r="AF129" t="s">
        <v>40</v>
      </c>
      <c r="AI129">
        <v>0</v>
      </c>
      <c r="AJ129">
        <v>19</v>
      </c>
    </row>
    <row r="130" spans="1:36" x14ac:dyDescent="0.25">
      <c r="A130" t="s">
        <v>1350</v>
      </c>
      <c r="B130">
        <v>128</v>
      </c>
      <c r="C130" t="s">
        <v>53</v>
      </c>
      <c r="D130">
        <v>3</v>
      </c>
      <c r="E130">
        <v>3</v>
      </c>
      <c r="F130">
        <v>3</v>
      </c>
      <c r="G130" t="s">
        <v>112</v>
      </c>
      <c r="H130" t="s">
        <v>83</v>
      </c>
      <c r="I130" t="s">
        <v>97</v>
      </c>
      <c r="J130" t="s">
        <v>98</v>
      </c>
      <c r="K130" t="s">
        <v>38</v>
      </c>
      <c r="L130">
        <v>1</v>
      </c>
      <c r="M130">
        <v>2</v>
      </c>
      <c r="N130">
        <v>2</v>
      </c>
      <c r="O130" t="s">
        <v>39</v>
      </c>
      <c r="P130" t="s">
        <v>96</v>
      </c>
      <c r="Q130" t="s">
        <v>154</v>
      </c>
      <c r="R130" t="s">
        <v>42</v>
      </c>
      <c r="S130" t="s">
        <v>56</v>
      </c>
      <c r="T130">
        <v>3</v>
      </c>
      <c r="V130">
        <v>1</v>
      </c>
      <c r="W130" t="s">
        <v>57</v>
      </c>
      <c r="X130" t="s">
        <v>121</v>
      </c>
      <c r="AA130" t="s">
        <v>43</v>
      </c>
      <c r="AB130">
        <v>3</v>
      </c>
      <c r="AD130">
        <v>3</v>
      </c>
      <c r="AE130" t="s">
        <v>73</v>
      </c>
      <c r="AF130" t="s">
        <v>136</v>
      </c>
      <c r="AG130" t="s">
        <v>75</v>
      </c>
      <c r="AH130" t="s">
        <v>101</v>
      </c>
      <c r="AI130">
        <v>0</v>
      </c>
      <c r="AJ130">
        <v>34</v>
      </c>
    </row>
    <row r="131" spans="1:36" x14ac:dyDescent="0.25">
      <c r="A131" t="s">
        <v>1628</v>
      </c>
      <c r="B131">
        <v>129</v>
      </c>
      <c r="C131" t="s">
        <v>56</v>
      </c>
      <c r="D131">
        <v>3</v>
      </c>
      <c r="F131">
        <v>2</v>
      </c>
      <c r="G131" t="s">
        <v>57</v>
      </c>
      <c r="H131" t="s">
        <v>122</v>
      </c>
      <c r="I131" t="s">
        <v>85</v>
      </c>
      <c r="J131" t="s">
        <v>124</v>
      </c>
      <c r="K131" t="s">
        <v>45</v>
      </c>
      <c r="L131">
        <v>3</v>
      </c>
      <c r="N131">
        <v>2</v>
      </c>
      <c r="O131" t="s">
        <v>86</v>
      </c>
      <c r="P131" t="s">
        <v>76</v>
      </c>
      <c r="Q131" t="s">
        <v>93</v>
      </c>
      <c r="R131" t="s">
        <v>94</v>
      </c>
      <c r="S131" t="s">
        <v>53</v>
      </c>
      <c r="T131">
        <v>3</v>
      </c>
      <c r="U131">
        <v>3</v>
      </c>
      <c r="V131">
        <v>3</v>
      </c>
      <c r="W131" t="s">
        <v>112</v>
      </c>
      <c r="AA131" t="s">
        <v>38</v>
      </c>
      <c r="AB131">
        <v>1</v>
      </c>
      <c r="AC131">
        <v>1</v>
      </c>
      <c r="AD131">
        <v>2</v>
      </c>
      <c r="AE131" t="s">
        <v>39</v>
      </c>
      <c r="AF131" t="s">
        <v>96</v>
      </c>
      <c r="AI131">
        <v>0</v>
      </c>
      <c r="AJ131">
        <v>24</v>
      </c>
    </row>
    <row r="132" spans="1:36" x14ac:dyDescent="0.25">
      <c r="A132" t="s">
        <v>1351</v>
      </c>
      <c r="B132">
        <v>130</v>
      </c>
      <c r="C132" t="s">
        <v>56</v>
      </c>
      <c r="D132">
        <v>3</v>
      </c>
      <c r="F132">
        <v>3</v>
      </c>
      <c r="G132" t="s">
        <v>57</v>
      </c>
      <c r="H132" t="s">
        <v>122</v>
      </c>
      <c r="I132" t="s">
        <v>85</v>
      </c>
      <c r="J132" t="s">
        <v>125</v>
      </c>
      <c r="K132" t="s">
        <v>63</v>
      </c>
      <c r="L132">
        <v>3</v>
      </c>
      <c r="N132">
        <v>3</v>
      </c>
      <c r="O132" t="s">
        <v>103</v>
      </c>
      <c r="P132" t="s">
        <v>91</v>
      </c>
      <c r="Q132" t="s">
        <v>148</v>
      </c>
      <c r="R132" t="s">
        <v>150</v>
      </c>
      <c r="S132" t="s">
        <v>53</v>
      </c>
      <c r="T132">
        <v>3</v>
      </c>
      <c r="U132">
        <v>3</v>
      </c>
      <c r="V132">
        <v>3</v>
      </c>
      <c r="W132" t="s">
        <v>112</v>
      </c>
      <c r="X132" t="s">
        <v>83</v>
      </c>
      <c r="Y132" t="s">
        <v>97</v>
      </c>
      <c r="Z132" t="s">
        <v>115</v>
      </c>
      <c r="AA132" t="s">
        <v>38</v>
      </c>
      <c r="AB132">
        <v>1</v>
      </c>
      <c r="AC132">
        <v>1</v>
      </c>
      <c r="AD132">
        <v>2</v>
      </c>
      <c r="AE132" t="s">
        <v>39</v>
      </c>
      <c r="AF132" t="s">
        <v>96</v>
      </c>
      <c r="AI132">
        <v>0</v>
      </c>
      <c r="AJ132">
        <v>38</v>
      </c>
    </row>
    <row r="133" spans="1:36" x14ac:dyDescent="0.25">
      <c r="A133" s="36" t="s">
        <v>1629</v>
      </c>
      <c r="B133">
        <v>131</v>
      </c>
      <c r="C133" t="s">
        <v>56</v>
      </c>
      <c r="D133">
        <v>3</v>
      </c>
      <c r="F133">
        <v>1</v>
      </c>
      <c r="G133" t="s">
        <v>57</v>
      </c>
      <c r="H133" t="s">
        <v>122</v>
      </c>
      <c r="I133" t="s">
        <v>85</v>
      </c>
      <c r="J133" t="s">
        <v>124</v>
      </c>
      <c r="K133" t="s">
        <v>227</v>
      </c>
      <c r="L133">
        <v>2</v>
      </c>
      <c r="M133">
        <v>1</v>
      </c>
      <c r="N133">
        <v>3</v>
      </c>
      <c r="O133" t="s">
        <v>228</v>
      </c>
      <c r="P133" t="s">
        <v>231</v>
      </c>
      <c r="Q133" t="s">
        <v>235</v>
      </c>
      <c r="R133" t="s">
        <v>238</v>
      </c>
      <c r="S133" t="s">
        <v>53</v>
      </c>
      <c r="T133">
        <v>3</v>
      </c>
      <c r="U133">
        <v>1</v>
      </c>
      <c r="V133">
        <v>2</v>
      </c>
      <c r="W133" t="s">
        <v>112</v>
      </c>
      <c r="X133" t="s">
        <v>83</v>
      </c>
      <c r="Y133" t="s">
        <v>97</v>
      </c>
      <c r="AA133" t="s">
        <v>38</v>
      </c>
      <c r="AB133">
        <v>1</v>
      </c>
      <c r="AC133">
        <v>1</v>
      </c>
      <c r="AD133">
        <v>1</v>
      </c>
      <c r="AE133" t="s">
        <v>39</v>
      </c>
      <c r="AF133" t="s">
        <v>70</v>
      </c>
      <c r="AG133" t="s">
        <v>153</v>
      </c>
      <c r="AI133">
        <v>0</v>
      </c>
      <c r="AJ133">
        <v>22</v>
      </c>
    </row>
    <row r="134" spans="1:36" x14ac:dyDescent="0.25">
      <c r="A134" t="s">
        <v>1352</v>
      </c>
      <c r="B134">
        <v>132</v>
      </c>
      <c r="C134" t="s">
        <v>48</v>
      </c>
      <c r="D134">
        <v>3</v>
      </c>
      <c r="F134">
        <v>3</v>
      </c>
      <c r="G134" t="s">
        <v>126</v>
      </c>
      <c r="H134" t="s">
        <v>84</v>
      </c>
      <c r="I134" t="s">
        <v>127</v>
      </c>
      <c r="J134" t="s">
        <v>129</v>
      </c>
      <c r="K134" t="s">
        <v>33</v>
      </c>
      <c r="L134">
        <v>3</v>
      </c>
      <c r="N134">
        <v>3</v>
      </c>
      <c r="O134" t="s">
        <v>65</v>
      </c>
      <c r="P134" t="s">
        <v>66</v>
      </c>
      <c r="Q134" t="s">
        <v>36</v>
      </c>
      <c r="R134" t="s">
        <v>134</v>
      </c>
      <c r="S134" t="s">
        <v>53</v>
      </c>
      <c r="T134">
        <v>2</v>
      </c>
      <c r="U134">
        <v>3</v>
      </c>
      <c r="V134">
        <v>3</v>
      </c>
      <c r="W134" t="s">
        <v>112</v>
      </c>
      <c r="X134" t="s">
        <v>83</v>
      </c>
      <c r="Y134" t="s">
        <v>97</v>
      </c>
      <c r="Z134" t="s">
        <v>115</v>
      </c>
      <c r="AA134" t="s">
        <v>38</v>
      </c>
      <c r="AB134">
        <v>1</v>
      </c>
      <c r="AC134">
        <v>1</v>
      </c>
      <c r="AD134">
        <v>2</v>
      </c>
      <c r="AE134" t="s">
        <v>67</v>
      </c>
      <c r="AF134" t="s">
        <v>40</v>
      </c>
      <c r="AG134" t="s">
        <v>153</v>
      </c>
      <c r="AI134">
        <v>0</v>
      </c>
      <c r="AJ134">
        <v>31</v>
      </c>
    </row>
    <row r="135" spans="1:36" x14ac:dyDescent="0.25">
      <c r="A135" t="s">
        <v>1630</v>
      </c>
      <c r="B135">
        <v>133</v>
      </c>
      <c r="C135" t="s">
        <v>48</v>
      </c>
      <c r="D135">
        <v>2</v>
      </c>
      <c r="F135">
        <v>1</v>
      </c>
      <c r="G135" t="s">
        <v>49</v>
      </c>
      <c r="H135" t="s">
        <v>84</v>
      </c>
      <c r="I135" t="s">
        <v>127</v>
      </c>
      <c r="J135" t="s">
        <v>128</v>
      </c>
      <c r="K135" t="s">
        <v>43</v>
      </c>
      <c r="L135">
        <v>2</v>
      </c>
      <c r="N135">
        <v>1</v>
      </c>
      <c r="O135" t="s">
        <v>73</v>
      </c>
      <c r="P135" t="s">
        <v>136</v>
      </c>
      <c r="Q135" t="s">
        <v>75</v>
      </c>
      <c r="S135" t="s">
        <v>53</v>
      </c>
      <c r="T135">
        <v>2</v>
      </c>
      <c r="U135">
        <v>1</v>
      </c>
      <c r="V135">
        <v>2</v>
      </c>
      <c r="W135" t="s">
        <v>112</v>
      </c>
      <c r="X135" t="s">
        <v>55</v>
      </c>
      <c r="AA135" t="s">
        <v>38</v>
      </c>
      <c r="AB135">
        <v>1</v>
      </c>
      <c r="AC135">
        <v>1</v>
      </c>
      <c r="AD135">
        <v>2</v>
      </c>
      <c r="AE135" t="s">
        <v>39</v>
      </c>
      <c r="AF135" t="s">
        <v>40</v>
      </c>
      <c r="AG135" t="s">
        <v>153</v>
      </c>
      <c r="AH135" t="s">
        <v>42</v>
      </c>
      <c r="AI135">
        <v>0</v>
      </c>
      <c r="AJ135">
        <v>18</v>
      </c>
    </row>
    <row r="136" spans="1:36" x14ac:dyDescent="0.25">
      <c r="A136" t="s">
        <v>1631</v>
      </c>
      <c r="B136">
        <v>134</v>
      </c>
      <c r="C136" t="s">
        <v>48</v>
      </c>
      <c r="D136">
        <v>3</v>
      </c>
      <c r="F136">
        <v>3</v>
      </c>
      <c r="G136" t="s">
        <v>49</v>
      </c>
      <c r="H136" t="s">
        <v>84</v>
      </c>
      <c r="I136" t="s">
        <v>127</v>
      </c>
      <c r="J136" t="s">
        <v>129</v>
      </c>
      <c r="K136" t="s">
        <v>45</v>
      </c>
      <c r="L136">
        <v>3</v>
      </c>
      <c r="N136">
        <v>3</v>
      </c>
      <c r="O136" t="s">
        <v>140</v>
      </c>
      <c r="P136" t="s">
        <v>141</v>
      </c>
      <c r="Q136" t="s">
        <v>93</v>
      </c>
      <c r="R136" t="s">
        <v>94</v>
      </c>
      <c r="S136" t="s">
        <v>53</v>
      </c>
      <c r="T136">
        <v>2</v>
      </c>
      <c r="U136">
        <v>3</v>
      </c>
      <c r="V136">
        <v>3</v>
      </c>
      <c r="W136" t="s">
        <v>112</v>
      </c>
      <c r="X136" t="s">
        <v>83</v>
      </c>
      <c r="Y136" t="s">
        <v>114</v>
      </c>
      <c r="Z136" t="s">
        <v>115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G136" t="s">
        <v>153</v>
      </c>
      <c r="AH136" t="s">
        <v>42</v>
      </c>
      <c r="AI136">
        <v>0</v>
      </c>
      <c r="AJ136">
        <v>33</v>
      </c>
    </row>
    <row r="137" spans="1:36" x14ac:dyDescent="0.25">
      <c r="A137" t="s">
        <v>1632</v>
      </c>
      <c r="B137">
        <v>135</v>
      </c>
      <c r="C137" t="s">
        <v>48</v>
      </c>
      <c r="D137">
        <v>3</v>
      </c>
      <c r="F137">
        <v>3</v>
      </c>
      <c r="G137" t="s">
        <v>49</v>
      </c>
      <c r="H137" t="s">
        <v>84</v>
      </c>
      <c r="I137" t="s">
        <v>127</v>
      </c>
      <c r="J137" t="s">
        <v>52</v>
      </c>
      <c r="K137" t="s">
        <v>63</v>
      </c>
      <c r="L137">
        <v>3</v>
      </c>
      <c r="N137">
        <v>3</v>
      </c>
      <c r="O137" t="s">
        <v>103</v>
      </c>
      <c r="P137" t="s">
        <v>91</v>
      </c>
      <c r="Q137" t="s">
        <v>147</v>
      </c>
      <c r="R137" t="s">
        <v>150</v>
      </c>
      <c r="S137" t="s">
        <v>53</v>
      </c>
      <c r="T137">
        <v>3</v>
      </c>
      <c r="U137">
        <v>3</v>
      </c>
      <c r="V137">
        <v>3</v>
      </c>
      <c r="W137" t="s">
        <v>112</v>
      </c>
      <c r="X137" t="s">
        <v>83</v>
      </c>
      <c r="Y137" t="s">
        <v>114</v>
      </c>
      <c r="Z137" t="s">
        <v>98</v>
      </c>
      <c r="AA137" t="s">
        <v>38</v>
      </c>
      <c r="AB137">
        <v>1</v>
      </c>
      <c r="AC137">
        <v>1</v>
      </c>
      <c r="AD137">
        <v>3</v>
      </c>
      <c r="AE137" t="s">
        <v>39</v>
      </c>
      <c r="AF137" t="s">
        <v>40</v>
      </c>
      <c r="AG137" t="s">
        <v>154</v>
      </c>
      <c r="AI137">
        <v>0</v>
      </c>
      <c r="AJ137">
        <v>40</v>
      </c>
    </row>
    <row r="138" spans="1:36" x14ac:dyDescent="0.25">
      <c r="A138" s="36" t="s">
        <v>1353</v>
      </c>
      <c r="B138">
        <v>136</v>
      </c>
      <c r="C138" t="s">
        <v>53</v>
      </c>
      <c r="D138">
        <v>3</v>
      </c>
      <c r="E138">
        <v>3</v>
      </c>
      <c r="F138">
        <v>3</v>
      </c>
      <c r="G138" t="s">
        <v>112</v>
      </c>
      <c r="H138" t="s">
        <v>83</v>
      </c>
      <c r="I138" t="s">
        <v>114</v>
      </c>
      <c r="J138" t="s">
        <v>98</v>
      </c>
      <c r="K138" t="s">
        <v>38</v>
      </c>
      <c r="L138">
        <v>3</v>
      </c>
      <c r="M138">
        <v>3</v>
      </c>
      <c r="N138">
        <v>3</v>
      </c>
      <c r="O138" t="s">
        <v>39</v>
      </c>
      <c r="P138" t="s">
        <v>70</v>
      </c>
      <c r="Q138" t="s">
        <v>153</v>
      </c>
      <c r="R138" t="s">
        <v>42</v>
      </c>
      <c r="S138" t="s">
        <v>48</v>
      </c>
      <c r="T138">
        <v>3</v>
      </c>
      <c r="V138">
        <v>3</v>
      </c>
      <c r="W138" t="s">
        <v>126</v>
      </c>
      <c r="X138" t="s">
        <v>84</v>
      </c>
      <c r="Y138" t="s">
        <v>127</v>
      </c>
      <c r="Z138" t="s">
        <v>128</v>
      </c>
      <c r="AA138" t="s">
        <v>227</v>
      </c>
      <c r="AB138">
        <v>1</v>
      </c>
      <c r="AC138">
        <v>1</v>
      </c>
      <c r="AD138">
        <v>1</v>
      </c>
      <c r="AE138" t="s">
        <v>228</v>
      </c>
      <c r="AF138" t="s">
        <v>231</v>
      </c>
      <c r="AG138" t="s">
        <v>235</v>
      </c>
      <c r="AI138">
        <v>0</v>
      </c>
      <c r="AJ138">
        <v>43</v>
      </c>
    </row>
    <row r="139" spans="1:36" x14ac:dyDescent="0.25">
      <c r="A139" t="s">
        <v>1354</v>
      </c>
      <c r="B139">
        <v>137</v>
      </c>
      <c r="C139" t="s">
        <v>53</v>
      </c>
      <c r="D139">
        <v>1</v>
      </c>
      <c r="E139">
        <v>2</v>
      </c>
      <c r="F139">
        <v>2</v>
      </c>
      <c r="G139" t="s">
        <v>112</v>
      </c>
      <c r="H139" t="s">
        <v>113</v>
      </c>
      <c r="I139" t="s">
        <v>97</v>
      </c>
      <c r="K139" t="s">
        <v>38</v>
      </c>
      <c r="L139">
        <v>3</v>
      </c>
      <c r="M139">
        <v>1</v>
      </c>
      <c r="N139">
        <v>2</v>
      </c>
      <c r="O139" t="s">
        <v>67</v>
      </c>
      <c r="P139" t="s">
        <v>40</v>
      </c>
      <c r="S139" t="s">
        <v>33</v>
      </c>
      <c r="T139">
        <v>3</v>
      </c>
      <c r="V139">
        <v>2</v>
      </c>
      <c r="W139" t="s">
        <v>65</v>
      </c>
      <c r="AA139" t="s">
        <v>43</v>
      </c>
      <c r="AB139">
        <v>3</v>
      </c>
      <c r="AD139">
        <v>1</v>
      </c>
      <c r="AE139" t="s">
        <v>135</v>
      </c>
      <c r="AF139" t="s">
        <v>136</v>
      </c>
      <c r="AG139" t="s">
        <v>137</v>
      </c>
      <c r="AI139">
        <v>0</v>
      </c>
      <c r="AJ139">
        <v>20</v>
      </c>
    </row>
    <row r="140" spans="1:36" x14ac:dyDescent="0.25">
      <c r="A140" t="s">
        <v>1633</v>
      </c>
      <c r="B140">
        <v>138</v>
      </c>
      <c r="C140" t="s">
        <v>53</v>
      </c>
      <c r="D140">
        <v>2</v>
      </c>
      <c r="E140">
        <v>1</v>
      </c>
      <c r="F140">
        <v>2</v>
      </c>
      <c r="G140" t="s">
        <v>112</v>
      </c>
      <c r="H140" t="s">
        <v>55</v>
      </c>
      <c r="I140" t="s">
        <v>114</v>
      </c>
      <c r="K140" t="s">
        <v>38</v>
      </c>
      <c r="L140">
        <v>1</v>
      </c>
      <c r="M140">
        <v>1</v>
      </c>
      <c r="N140">
        <v>2</v>
      </c>
      <c r="O140" t="s">
        <v>67</v>
      </c>
      <c r="P140" t="s">
        <v>96</v>
      </c>
      <c r="Q140" t="s">
        <v>41</v>
      </c>
      <c r="S140" t="s">
        <v>33</v>
      </c>
      <c r="T140">
        <v>1</v>
      </c>
      <c r="V140">
        <v>1</v>
      </c>
      <c r="W140" t="s">
        <v>65</v>
      </c>
      <c r="X140" t="s">
        <v>130</v>
      </c>
      <c r="Y140" t="s">
        <v>36</v>
      </c>
      <c r="Z140" t="s">
        <v>134</v>
      </c>
      <c r="AA140" t="s">
        <v>45</v>
      </c>
      <c r="AB140">
        <v>3</v>
      </c>
      <c r="AD140">
        <v>2</v>
      </c>
      <c r="AE140" t="s">
        <v>140</v>
      </c>
      <c r="AF140" t="s">
        <v>141</v>
      </c>
      <c r="AI140">
        <v>0</v>
      </c>
      <c r="AJ140">
        <v>18</v>
      </c>
    </row>
    <row r="141" spans="1:36" x14ac:dyDescent="0.25">
      <c r="A141" t="s">
        <v>1355</v>
      </c>
      <c r="B141">
        <v>139</v>
      </c>
      <c r="C141" t="s">
        <v>53</v>
      </c>
      <c r="D141">
        <v>2</v>
      </c>
      <c r="E141">
        <v>1</v>
      </c>
      <c r="F141">
        <v>2</v>
      </c>
      <c r="G141" t="s">
        <v>112</v>
      </c>
      <c r="H141" t="s">
        <v>113</v>
      </c>
      <c r="I141" t="s">
        <v>114</v>
      </c>
      <c r="J141" t="s">
        <v>116</v>
      </c>
      <c r="K141" t="s">
        <v>38</v>
      </c>
      <c r="L141">
        <v>3</v>
      </c>
      <c r="M141">
        <v>2</v>
      </c>
      <c r="N141">
        <v>2</v>
      </c>
      <c r="O141" t="s">
        <v>67</v>
      </c>
      <c r="P141" t="s">
        <v>40</v>
      </c>
      <c r="S141" t="s">
        <v>33</v>
      </c>
      <c r="T141">
        <v>1</v>
      </c>
      <c r="V141">
        <v>3</v>
      </c>
      <c r="W141" t="s">
        <v>65</v>
      </c>
      <c r="X141" t="s">
        <v>66</v>
      </c>
      <c r="Y141" t="s">
        <v>131</v>
      </c>
      <c r="Z141" t="s">
        <v>133</v>
      </c>
      <c r="AA141" t="s">
        <v>63</v>
      </c>
      <c r="AB141">
        <v>2</v>
      </c>
      <c r="AD141">
        <v>1</v>
      </c>
      <c r="AE141" t="s">
        <v>145</v>
      </c>
      <c r="AF141" t="s">
        <v>91</v>
      </c>
      <c r="AG141" t="s">
        <v>147</v>
      </c>
      <c r="AH141" t="s">
        <v>150</v>
      </c>
      <c r="AI141">
        <v>0</v>
      </c>
      <c r="AJ141">
        <v>24</v>
      </c>
    </row>
    <row r="142" spans="1:36" x14ac:dyDescent="0.25">
      <c r="A142" s="36" t="s">
        <v>1634</v>
      </c>
      <c r="B142">
        <v>140</v>
      </c>
      <c r="C142" t="s">
        <v>53</v>
      </c>
      <c r="D142">
        <v>2</v>
      </c>
      <c r="E142">
        <v>3</v>
      </c>
      <c r="F142">
        <v>2</v>
      </c>
      <c r="G142" t="s">
        <v>112</v>
      </c>
      <c r="H142" t="s">
        <v>83</v>
      </c>
      <c r="I142" t="s">
        <v>97</v>
      </c>
      <c r="J142" t="s">
        <v>98</v>
      </c>
      <c r="K142" t="s">
        <v>38</v>
      </c>
      <c r="L142">
        <v>3</v>
      </c>
      <c r="M142">
        <v>2</v>
      </c>
      <c r="N142">
        <v>3</v>
      </c>
      <c r="O142" t="s">
        <v>67</v>
      </c>
      <c r="P142" t="s">
        <v>40</v>
      </c>
      <c r="Q142" t="s">
        <v>153</v>
      </c>
      <c r="R142" t="s">
        <v>42</v>
      </c>
      <c r="S142" t="s">
        <v>33</v>
      </c>
      <c r="T142">
        <v>1</v>
      </c>
      <c r="V142">
        <v>1</v>
      </c>
      <c r="W142" t="s">
        <v>65</v>
      </c>
      <c r="X142" t="s">
        <v>130</v>
      </c>
      <c r="AA142" t="s">
        <v>227</v>
      </c>
      <c r="AB142">
        <v>3</v>
      </c>
      <c r="AC142">
        <v>2</v>
      </c>
      <c r="AD142">
        <v>2</v>
      </c>
      <c r="AE142" t="s">
        <v>228</v>
      </c>
      <c r="AF142" t="s">
        <v>231</v>
      </c>
      <c r="AG142" t="s">
        <v>235</v>
      </c>
      <c r="AH142" t="s">
        <v>238</v>
      </c>
      <c r="AI142">
        <v>0</v>
      </c>
      <c r="AJ142">
        <v>27</v>
      </c>
    </row>
    <row r="143" spans="1:36" x14ac:dyDescent="0.25">
      <c r="A143" t="s">
        <v>1635</v>
      </c>
      <c r="B143">
        <v>141</v>
      </c>
      <c r="C143" t="s">
        <v>53</v>
      </c>
      <c r="D143">
        <v>2</v>
      </c>
      <c r="E143">
        <v>3</v>
      </c>
      <c r="F143">
        <v>3</v>
      </c>
      <c r="G143" t="s">
        <v>112</v>
      </c>
      <c r="H143" t="s">
        <v>113</v>
      </c>
      <c r="I143" t="s">
        <v>97</v>
      </c>
      <c r="J143" t="s">
        <v>98</v>
      </c>
      <c r="K143" t="s">
        <v>38</v>
      </c>
      <c r="L143">
        <v>3</v>
      </c>
      <c r="M143">
        <v>3</v>
      </c>
      <c r="N143">
        <v>3</v>
      </c>
      <c r="O143" t="s">
        <v>39</v>
      </c>
      <c r="P143" t="s">
        <v>96</v>
      </c>
      <c r="Q143" t="s">
        <v>153</v>
      </c>
      <c r="R143" t="s">
        <v>42</v>
      </c>
      <c r="S143" t="s">
        <v>43</v>
      </c>
      <c r="T143">
        <v>3</v>
      </c>
      <c r="V143">
        <v>3</v>
      </c>
      <c r="W143" t="s">
        <v>73</v>
      </c>
      <c r="X143" t="s">
        <v>99</v>
      </c>
      <c r="Y143" t="s">
        <v>75</v>
      </c>
      <c r="Z143" t="s">
        <v>101</v>
      </c>
      <c r="AA143" t="s">
        <v>45</v>
      </c>
      <c r="AB143">
        <v>3</v>
      </c>
      <c r="AD143">
        <v>1</v>
      </c>
      <c r="AE143" t="s">
        <v>140</v>
      </c>
      <c r="AI143">
        <v>0</v>
      </c>
      <c r="AJ143">
        <v>31</v>
      </c>
    </row>
    <row r="144" spans="1:36" x14ac:dyDescent="0.25">
      <c r="A144" t="s">
        <v>1636</v>
      </c>
      <c r="B144">
        <v>142</v>
      </c>
      <c r="C144" t="s">
        <v>43</v>
      </c>
      <c r="D144">
        <v>3</v>
      </c>
      <c r="F144">
        <v>3</v>
      </c>
      <c r="G144" t="s">
        <v>73</v>
      </c>
      <c r="H144" t="s">
        <v>74</v>
      </c>
      <c r="I144" t="s">
        <v>75</v>
      </c>
      <c r="J144" t="s">
        <v>139</v>
      </c>
      <c r="K144" t="s">
        <v>63</v>
      </c>
      <c r="L144">
        <v>3</v>
      </c>
      <c r="N144">
        <v>3</v>
      </c>
      <c r="O144" t="s">
        <v>103</v>
      </c>
      <c r="P144" t="s">
        <v>91</v>
      </c>
      <c r="Q144" t="s">
        <v>148</v>
      </c>
      <c r="R144" t="s">
        <v>150</v>
      </c>
      <c r="S144" t="s">
        <v>53</v>
      </c>
      <c r="T144">
        <v>1</v>
      </c>
      <c r="U144">
        <v>3</v>
      </c>
      <c r="V144">
        <v>2</v>
      </c>
      <c r="W144" t="s">
        <v>112</v>
      </c>
      <c r="X144" t="s">
        <v>113</v>
      </c>
      <c r="AA144" t="s">
        <v>38</v>
      </c>
      <c r="AB144">
        <v>3</v>
      </c>
      <c r="AC144">
        <v>3</v>
      </c>
      <c r="AD144">
        <v>3</v>
      </c>
      <c r="AE144" t="s">
        <v>39</v>
      </c>
      <c r="AF144" t="s">
        <v>40</v>
      </c>
      <c r="AG144" t="s">
        <v>153</v>
      </c>
      <c r="AH144" t="s">
        <v>42</v>
      </c>
      <c r="AI144">
        <v>0</v>
      </c>
      <c r="AJ144">
        <v>34</v>
      </c>
    </row>
    <row r="145" spans="1:36" x14ac:dyDescent="0.25">
      <c r="A145" s="36" t="s">
        <v>1637</v>
      </c>
      <c r="B145">
        <v>143</v>
      </c>
      <c r="C145" t="s">
        <v>53</v>
      </c>
      <c r="D145">
        <v>2</v>
      </c>
      <c r="E145">
        <v>3</v>
      </c>
      <c r="F145">
        <v>3</v>
      </c>
      <c r="G145" t="s">
        <v>112</v>
      </c>
      <c r="K145" t="s">
        <v>38</v>
      </c>
      <c r="L145">
        <v>1</v>
      </c>
      <c r="M145">
        <v>1</v>
      </c>
      <c r="N145">
        <v>3</v>
      </c>
      <c r="O145" t="s">
        <v>39</v>
      </c>
      <c r="P145" t="s">
        <v>70</v>
      </c>
      <c r="Q145" t="s">
        <v>153</v>
      </c>
      <c r="R145" t="s">
        <v>42</v>
      </c>
      <c r="S145" t="s">
        <v>43</v>
      </c>
      <c r="T145">
        <v>3</v>
      </c>
      <c r="V145">
        <v>1</v>
      </c>
      <c r="W145" t="s">
        <v>73</v>
      </c>
      <c r="X145" t="s">
        <v>74</v>
      </c>
      <c r="Y145" t="s">
        <v>75</v>
      </c>
      <c r="Z145" t="s">
        <v>101</v>
      </c>
      <c r="AA145" t="s">
        <v>227</v>
      </c>
      <c r="AB145">
        <v>1</v>
      </c>
      <c r="AC145">
        <v>1</v>
      </c>
      <c r="AD145">
        <v>1</v>
      </c>
      <c r="AE145" t="s">
        <v>228</v>
      </c>
      <c r="AF145" t="s">
        <v>231</v>
      </c>
      <c r="AG145" t="s">
        <v>235</v>
      </c>
      <c r="AH145" t="s">
        <v>238</v>
      </c>
      <c r="AI145">
        <v>0</v>
      </c>
      <c r="AJ145">
        <v>23</v>
      </c>
    </row>
    <row r="146" spans="1:36" x14ac:dyDescent="0.25">
      <c r="A146" t="s">
        <v>1356</v>
      </c>
      <c r="B146">
        <v>144</v>
      </c>
      <c r="C146" t="s">
        <v>45</v>
      </c>
      <c r="D146">
        <v>3</v>
      </c>
      <c r="F146">
        <v>1</v>
      </c>
      <c r="G146" t="s">
        <v>86</v>
      </c>
      <c r="H146" t="s">
        <v>76</v>
      </c>
      <c r="I146" t="s">
        <v>93</v>
      </c>
      <c r="K146" t="s">
        <v>63</v>
      </c>
      <c r="L146">
        <v>3</v>
      </c>
      <c r="N146">
        <v>1</v>
      </c>
      <c r="O146" t="s">
        <v>103</v>
      </c>
      <c r="P146" t="s">
        <v>95</v>
      </c>
      <c r="Q146" t="s">
        <v>148</v>
      </c>
      <c r="R146" t="s">
        <v>151</v>
      </c>
      <c r="S146" t="s">
        <v>53</v>
      </c>
      <c r="T146">
        <v>2</v>
      </c>
      <c r="U146">
        <v>1</v>
      </c>
      <c r="V146">
        <v>3</v>
      </c>
      <c r="W146" t="s">
        <v>112</v>
      </c>
      <c r="X146" t="s">
        <v>55</v>
      </c>
      <c r="Y146" t="s">
        <v>97</v>
      </c>
      <c r="AA146" t="s">
        <v>38</v>
      </c>
      <c r="AB146">
        <v>1</v>
      </c>
      <c r="AC146">
        <v>1</v>
      </c>
      <c r="AD146">
        <v>2</v>
      </c>
      <c r="AE146" t="s">
        <v>39</v>
      </c>
      <c r="AF146" t="s">
        <v>96</v>
      </c>
      <c r="AI146">
        <v>0</v>
      </c>
      <c r="AJ146">
        <v>20</v>
      </c>
    </row>
    <row r="147" spans="1:36" x14ac:dyDescent="0.25">
      <c r="A147" s="36" t="s">
        <v>1357</v>
      </c>
      <c r="B147">
        <v>145</v>
      </c>
      <c r="C147" t="s">
        <v>45</v>
      </c>
      <c r="D147">
        <v>3</v>
      </c>
      <c r="F147">
        <v>2</v>
      </c>
      <c r="G147" t="s">
        <v>86</v>
      </c>
      <c r="H147" t="s">
        <v>76</v>
      </c>
      <c r="I147" t="s">
        <v>93</v>
      </c>
      <c r="J147" t="s">
        <v>94</v>
      </c>
      <c r="K147" t="s">
        <v>227</v>
      </c>
      <c r="L147">
        <v>3</v>
      </c>
      <c r="M147">
        <v>1</v>
      </c>
      <c r="N147">
        <v>2</v>
      </c>
      <c r="O147" t="s">
        <v>228</v>
      </c>
      <c r="P147" t="s">
        <v>231</v>
      </c>
      <c r="Q147" t="s">
        <v>235</v>
      </c>
      <c r="R147" t="s">
        <v>238</v>
      </c>
      <c r="S147" t="s">
        <v>53</v>
      </c>
      <c r="T147">
        <v>1</v>
      </c>
      <c r="U147">
        <v>3</v>
      </c>
      <c r="V147">
        <v>2</v>
      </c>
      <c r="W147" t="s">
        <v>112</v>
      </c>
      <c r="X147" t="s">
        <v>83</v>
      </c>
      <c r="Y147" t="s">
        <v>105</v>
      </c>
      <c r="Z147" t="s">
        <v>98</v>
      </c>
      <c r="AA147" t="s">
        <v>38</v>
      </c>
      <c r="AB147">
        <v>1</v>
      </c>
      <c r="AC147">
        <v>1</v>
      </c>
      <c r="AD147">
        <v>1</v>
      </c>
      <c r="AE147" t="s">
        <v>39</v>
      </c>
      <c r="AF147" t="s">
        <v>70</v>
      </c>
      <c r="AG147" t="s">
        <v>153</v>
      </c>
      <c r="AI147">
        <v>0</v>
      </c>
      <c r="AJ147">
        <v>26</v>
      </c>
    </row>
    <row r="148" spans="1:36" x14ac:dyDescent="0.25">
      <c r="A148" s="36" t="s">
        <v>1358</v>
      </c>
      <c r="B148">
        <v>146</v>
      </c>
      <c r="C148" t="s">
        <v>63</v>
      </c>
      <c r="D148">
        <v>3</v>
      </c>
      <c r="F148">
        <v>3</v>
      </c>
      <c r="G148" t="s">
        <v>103</v>
      </c>
      <c r="H148" t="s">
        <v>91</v>
      </c>
      <c r="I148" t="s">
        <v>147</v>
      </c>
      <c r="J148" t="s">
        <v>149</v>
      </c>
      <c r="K148" t="s">
        <v>227</v>
      </c>
      <c r="L148">
        <v>3</v>
      </c>
      <c r="M148">
        <v>2</v>
      </c>
      <c r="N148">
        <v>2</v>
      </c>
      <c r="O148" t="s">
        <v>229</v>
      </c>
      <c r="P148" t="s">
        <v>231</v>
      </c>
      <c r="Q148" t="s">
        <v>236</v>
      </c>
      <c r="R148" t="s">
        <v>238</v>
      </c>
      <c r="S148" t="s">
        <v>53</v>
      </c>
      <c r="T148">
        <v>3</v>
      </c>
      <c r="U148">
        <v>3</v>
      </c>
      <c r="V148">
        <v>2</v>
      </c>
      <c r="W148" t="s">
        <v>112</v>
      </c>
      <c r="X148" t="s">
        <v>83</v>
      </c>
      <c r="Y148" t="s">
        <v>97</v>
      </c>
      <c r="Z148" t="s">
        <v>115</v>
      </c>
      <c r="AA148" t="s">
        <v>38</v>
      </c>
      <c r="AB148">
        <v>1</v>
      </c>
      <c r="AC148">
        <v>1</v>
      </c>
      <c r="AD148">
        <v>1</v>
      </c>
      <c r="AE148" t="s">
        <v>39</v>
      </c>
      <c r="AF148" t="s">
        <v>40</v>
      </c>
      <c r="AG148" t="s">
        <v>153</v>
      </c>
      <c r="AI148">
        <v>0</v>
      </c>
      <c r="AJ148">
        <v>29</v>
      </c>
    </row>
    <row r="149" spans="1:36" x14ac:dyDescent="0.25">
      <c r="A149" s="36" t="s">
        <v>1359</v>
      </c>
      <c r="B149">
        <v>147</v>
      </c>
      <c r="C149" t="s">
        <v>53</v>
      </c>
      <c r="D149">
        <v>1</v>
      </c>
      <c r="E149">
        <v>3</v>
      </c>
      <c r="F149">
        <v>3</v>
      </c>
      <c r="G149" t="s">
        <v>112</v>
      </c>
      <c r="H149" t="s">
        <v>113</v>
      </c>
      <c r="I149" t="s">
        <v>105</v>
      </c>
      <c r="J149" t="s">
        <v>98</v>
      </c>
      <c r="K149" t="s">
        <v>227</v>
      </c>
      <c r="L149">
        <v>3</v>
      </c>
      <c r="M149">
        <v>1</v>
      </c>
      <c r="N149">
        <v>3</v>
      </c>
      <c r="O149" t="s">
        <v>228</v>
      </c>
      <c r="P149" t="s">
        <v>231</v>
      </c>
      <c r="Q149" t="s">
        <v>235</v>
      </c>
      <c r="R149" t="s">
        <v>238</v>
      </c>
      <c r="S149" t="s">
        <v>56</v>
      </c>
      <c r="T149">
        <v>3</v>
      </c>
      <c r="V149">
        <v>1</v>
      </c>
      <c r="W149" t="s">
        <v>57</v>
      </c>
      <c r="X149" t="s">
        <v>122</v>
      </c>
      <c r="Y149" t="s">
        <v>87</v>
      </c>
      <c r="AA149" t="s">
        <v>48</v>
      </c>
      <c r="AB149">
        <v>3</v>
      </c>
      <c r="AD149">
        <v>3</v>
      </c>
      <c r="AE149" t="s">
        <v>126</v>
      </c>
      <c r="AF149" t="s">
        <v>84</v>
      </c>
      <c r="AG149" t="s">
        <v>51</v>
      </c>
      <c r="AH149" t="s">
        <v>129</v>
      </c>
      <c r="AI149">
        <v>0</v>
      </c>
      <c r="AJ149">
        <v>30</v>
      </c>
    </row>
    <row r="150" spans="1:36" x14ac:dyDescent="0.25">
      <c r="A150" s="36" t="s">
        <v>1638</v>
      </c>
      <c r="B150">
        <v>148</v>
      </c>
      <c r="C150" t="s">
        <v>53</v>
      </c>
      <c r="D150">
        <v>1</v>
      </c>
      <c r="E150">
        <v>1</v>
      </c>
      <c r="F150">
        <v>2</v>
      </c>
      <c r="G150" t="s">
        <v>112</v>
      </c>
      <c r="H150" t="s">
        <v>113</v>
      </c>
      <c r="I150" t="s">
        <v>97</v>
      </c>
      <c r="K150" t="s">
        <v>227</v>
      </c>
      <c r="L150">
        <v>2</v>
      </c>
      <c r="M150">
        <v>1</v>
      </c>
      <c r="N150">
        <v>3</v>
      </c>
      <c r="O150" t="s">
        <v>228</v>
      </c>
      <c r="P150" t="s">
        <v>231</v>
      </c>
      <c r="Q150" t="s">
        <v>235</v>
      </c>
      <c r="S150" t="s">
        <v>56</v>
      </c>
      <c r="T150">
        <v>3</v>
      </c>
      <c r="V150">
        <v>1</v>
      </c>
      <c r="W150" t="s">
        <v>57</v>
      </c>
      <c r="X150" t="s">
        <v>122</v>
      </c>
      <c r="Y150" t="s">
        <v>85</v>
      </c>
      <c r="AA150" t="s">
        <v>33</v>
      </c>
      <c r="AB150">
        <v>3</v>
      </c>
      <c r="AD150">
        <v>2</v>
      </c>
      <c r="AE150" t="s">
        <v>65</v>
      </c>
      <c r="AF150" t="s">
        <v>130</v>
      </c>
      <c r="AI150">
        <v>0</v>
      </c>
      <c r="AJ150">
        <v>20</v>
      </c>
    </row>
    <row r="151" spans="1:36" x14ac:dyDescent="0.25">
      <c r="A151" s="36" t="s">
        <v>1639</v>
      </c>
      <c r="B151">
        <v>149</v>
      </c>
      <c r="C151" t="s">
        <v>56</v>
      </c>
      <c r="D151">
        <v>3</v>
      </c>
      <c r="F151">
        <v>2</v>
      </c>
      <c r="G151" t="s">
        <v>57</v>
      </c>
      <c r="H151" t="s">
        <v>69</v>
      </c>
      <c r="I151" t="s">
        <v>123</v>
      </c>
      <c r="J151" t="s">
        <v>125</v>
      </c>
      <c r="K151" t="s">
        <v>43</v>
      </c>
      <c r="L151">
        <v>2</v>
      </c>
      <c r="N151">
        <v>1</v>
      </c>
      <c r="O151" t="s">
        <v>135</v>
      </c>
      <c r="P151" t="s">
        <v>136</v>
      </c>
      <c r="Q151" t="s">
        <v>137</v>
      </c>
      <c r="R151" t="s">
        <v>138</v>
      </c>
      <c r="S151" t="s">
        <v>53</v>
      </c>
      <c r="T151">
        <v>2</v>
      </c>
      <c r="U151">
        <v>1</v>
      </c>
      <c r="V151">
        <v>3</v>
      </c>
      <c r="W151" t="s">
        <v>112</v>
      </c>
      <c r="X151" t="s">
        <v>113</v>
      </c>
      <c r="Y151" t="s">
        <v>97</v>
      </c>
      <c r="AA151" t="s">
        <v>227</v>
      </c>
      <c r="AB151">
        <v>2</v>
      </c>
      <c r="AC151">
        <v>1</v>
      </c>
      <c r="AD151">
        <v>3</v>
      </c>
      <c r="AE151" t="s">
        <v>229</v>
      </c>
      <c r="AF151" t="s">
        <v>231</v>
      </c>
      <c r="AG151" t="s">
        <v>235</v>
      </c>
      <c r="AH151" t="s">
        <v>238</v>
      </c>
      <c r="AI151">
        <v>0</v>
      </c>
      <c r="AJ151">
        <v>25</v>
      </c>
    </row>
    <row r="152" spans="1:36" x14ac:dyDescent="0.25">
      <c r="A152" s="36" t="s">
        <v>1360</v>
      </c>
      <c r="B152">
        <v>150</v>
      </c>
      <c r="C152" t="s">
        <v>53</v>
      </c>
      <c r="D152">
        <v>3</v>
      </c>
      <c r="E152">
        <v>3</v>
      </c>
      <c r="F152">
        <v>3</v>
      </c>
      <c r="G152" t="s">
        <v>112</v>
      </c>
      <c r="H152" t="s">
        <v>83</v>
      </c>
      <c r="I152" t="s">
        <v>97</v>
      </c>
      <c r="J152" t="s">
        <v>115</v>
      </c>
      <c r="K152" t="s">
        <v>227</v>
      </c>
      <c r="L152">
        <v>1</v>
      </c>
      <c r="M152">
        <v>1</v>
      </c>
      <c r="N152">
        <v>2</v>
      </c>
      <c r="O152" t="s">
        <v>228</v>
      </c>
      <c r="P152" t="s">
        <v>231</v>
      </c>
      <c r="Q152" t="s">
        <v>235</v>
      </c>
      <c r="S152" t="s">
        <v>56</v>
      </c>
      <c r="T152">
        <v>3</v>
      </c>
      <c r="V152">
        <v>3</v>
      </c>
      <c r="W152" t="s">
        <v>57</v>
      </c>
      <c r="X152" t="s">
        <v>122</v>
      </c>
      <c r="Y152" t="s">
        <v>123</v>
      </c>
      <c r="Z152" t="s">
        <v>124</v>
      </c>
      <c r="AA152" t="s">
        <v>45</v>
      </c>
      <c r="AB152">
        <v>2</v>
      </c>
      <c r="AD152">
        <v>1</v>
      </c>
      <c r="AE152" t="s">
        <v>86</v>
      </c>
      <c r="AI152">
        <v>0</v>
      </c>
      <c r="AJ152">
        <v>31</v>
      </c>
    </row>
    <row r="153" spans="1:36" x14ac:dyDescent="0.25">
      <c r="A153" s="36" t="s">
        <v>1361</v>
      </c>
      <c r="B153">
        <v>151</v>
      </c>
      <c r="C153" t="s">
        <v>56</v>
      </c>
      <c r="D153">
        <v>3</v>
      </c>
      <c r="F153">
        <v>2</v>
      </c>
      <c r="G153" t="s">
        <v>57</v>
      </c>
      <c r="H153" t="s">
        <v>122</v>
      </c>
      <c r="I153" t="s">
        <v>85</v>
      </c>
      <c r="J153" t="s">
        <v>124</v>
      </c>
      <c r="K153" t="s">
        <v>63</v>
      </c>
      <c r="L153">
        <v>2</v>
      </c>
      <c r="N153">
        <v>3</v>
      </c>
      <c r="O153" t="s">
        <v>103</v>
      </c>
      <c r="P153" t="s">
        <v>91</v>
      </c>
      <c r="Q153" t="s">
        <v>148</v>
      </c>
      <c r="R153" t="s">
        <v>150</v>
      </c>
      <c r="S153" t="s">
        <v>53</v>
      </c>
      <c r="T153">
        <v>1</v>
      </c>
      <c r="U153">
        <v>3</v>
      </c>
      <c r="V153">
        <v>3</v>
      </c>
      <c r="W153" t="s">
        <v>112</v>
      </c>
      <c r="X153" t="s">
        <v>83</v>
      </c>
      <c r="Y153" t="s">
        <v>97</v>
      </c>
      <c r="Z153" t="s">
        <v>115</v>
      </c>
      <c r="AA153" t="s">
        <v>227</v>
      </c>
      <c r="AB153">
        <v>1</v>
      </c>
      <c r="AC153">
        <v>1</v>
      </c>
      <c r="AD153">
        <v>1</v>
      </c>
      <c r="AE153" t="s">
        <v>229</v>
      </c>
      <c r="AF153" t="s">
        <v>231</v>
      </c>
      <c r="AG153" t="s">
        <v>235</v>
      </c>
      <c r="AI153">
        <v>0</v>
      </c>
      <c r="AJ153">
        <v>26</v>
      </c>
    </row>
    <row r="154" spans="1:36" x14ac:dyDescent="0.25">
      <c r="A154" s="36" t="s">
        <v>1362</v>
      </c>
      <c r="B154">
        <v>152</v>
      </c>
      <c r="C154" t="s">
        <v>56</v>
      </c>
      <c r="D154">
        <v>3</v>
      </c>
      <c r="F154">
        <v>2</v>
      </c>
      <c r="G154" t="s">
        <v>57</v>
      </c>
      <c r="H154" t="s">
        <v>122</v>
      </c>
      <c r="I154" t="s">
        <v>123</v>
      </c>
      <c r="J154" t="s">
        <v>125</v>
      </c>
      <c r="K154" t="s">
        <v>38</v>
      </c>
      <c r="L154">
        <v>3</v>
      </c>
      <c r="M154">
        <v>3</v>
      </c>
      <c r="N154">
        <v>3</v>
      </c>
      <c r="O154" t="s">
        <v>39</v>
      </c>
      <c r="P154" t="s">
        <v>70</v>
      </c>
      <c r="Q154" t="s">
        <v>153</v>
      </c>
      <c r="R154" t="s">
        <v>42</v>
      </c>
      <c r="S154" t="s">
        <v>53</v>
      </c>
      <c r="T154">
        <v>3</v>
      </c>
      <c r="U154">
        <v>3</v>
      </c>
      <c r="V154">
        <v>3</v>
      </c>
      <c r="W154" t="s">
        <v>112</v>
      </c>
      <c r="X154" t="s">
        <v>55</v>
      </c>
      <c r="Y154" t="s">
        <v>97</v>
      </c>
      <c r="Z154" t="s">
        <v>115</v>
      </c>
      <c r="AA154" t="s">
        <v>227</v>
      </c>
      <c r="AB154">
        <v>2</v>
      </c>
      <c r="AC154">
        <v>1</v>
      </c>
      <c r="AD154">
        <v>2</v>
      </c>
      <c r="AE154" t="s">
        <v>228</v>
      </c>
      <c r="AF154" t="s">
        <v>231</v>
      </c>
      <c r="AI154">
        <v>0</v>
      </c>
      <c r="AJ154">
        <v>46</v>
      </c>
    </row>
    <row r="155" spans="1:36" x14ac:dyDescent="0.25">
      <c r="A155" s="36" t="s">
        <v>1363</v>
      </c>
      <c r="B155">
        <v>153</v>
      </c>
      <c r="C155" t="s">
        <v>53</v>
      </c>
      <c r="D155">
        <v>2</v>
      </c>
      <c r="E155">
        <v>2</v>
      </c>
      <c r="F155">
        <v>3</v>
      </c>
      <c r="G155" t="s">
        <v>112</v>
      </c>
      <c r="H155" t="s">
        <v>113</v>
      </c>
      <c r="I155" t="s">
        <v>105</v>
      </c>
      <c r="J155" t="s">
        <v>116</v>
      </c>
      <c r="K155" t="s">
        <v>227</v>
      </c>
      <c r="L155">
        <v>3</v>
      </c>
      <c r="M155">
        <v>2</v>
      </c>
      <c r="N155">
        <v>3</v>
      </c>
      <c r="O155" t="s">
        <v>228</v>
      </c>
      <c r="P155" t="s">
        <v>231</v>
      </c>
      <c r="Q155" t="s">
        <v>235</v>
      </c>
      <c r="R155" t="s">
        <v>238</v>
      </c>
      <c r="S155" t="s">
        <v>48</v>
      </c>
      <c r="T155">
        <v>3</v>
      </c>
      <c r="V155">
        <v>3</v>
      </c>
      <c r="W155" t="s">
        <v>89</v>
      </c>
      <c r="X155" t="s">
        <v>84</v>
      </c>
      <c r="Y155" t="s">
        <v>90</v>
      </c>
      <c r="Z155" t="s">
        <v>52</v>
      </c>
      <c r="AA155" t="s">
        <v>33</v>
      </c>
      <c r="AB155">
        <v>2</v>
      </c>
      <c r="AD155">
        <v>3</v>
      </c>
      <c r="AE155" t="s">
        <v>65</v>
      </c>
      <c r="AI155">
        <v>0</v>
      </c>
      <c r="AJ155">
        <v>31</v>
      </c>
    </row>
    <row r="156" spans="1:36" x14ac:dyDescent="0.25">
      <c r="A156" s="36" t="s">
        <v>1640</v>
      </c>
      <c r="B156">
        <v>154</v>
      </c>
      <c r="C156" t="s">
        <v>48</v>
      </c>
      <c r="D156">
        <v>3</v>
      </c>
      <c r="F156">
        <v>3</v>
      </c>
      <c r="G156" t="s">
        <v>49</v>
      </c>
      <c r="H156" t="s">
        <v>84</v>
      </c>
      <c r="I156" t="s">
        <v>127</v>
      </c>
      <c r="J156" t="s">
        <v>129</v>
      </c>
      <c r="K156" t="s">
        <v>43</v>
      </c>
      <c r="L156">
        <v>3</v>
      </c>
      <c r="N156">
        <v>3</v>
      </c>
      <c r="O156" t="s">
        <v>73</v>
      </c>
      <c r="P156" t="s">
        <v>99</v>
      </c>
      <c r="Q156" t="s">
        <v>75</v>
      </c>
      <c r="R156" t="s">
        <v>101</v>
      </c>
      <c r="S156" t="s">
        <v>53</v>
      </c>
      <c r="T156">
        <v>3</v>
      </c>
      <c r="U156">
        <v>3</v>
      </c>
      <c r="V156">
        <v>3</v>
      </c>
      <c r="W156" t="s">
        <v>112</v>
      </c>
      <c r="X156" t="s">
        <v>83</v>
      </c>
      <c r="Y156" t="s">
        <v>114</v>
      </c>
      <c r="Z156" t="s">
        <v>115</v>
      </c>
      <c r="AA156" t="s">
        <v>227</v>
      </c>
      <c r="AB156">
        <v>1</v>
      </c>
      <c r="AC156">
        <v>1</v>
      </c>
      <c r="AD156">
        <v>3</v>
      </c>
      <c r="AE156" t="s">
        <v>229</v>
      </c>
      <c r="AF156" t="s">
        <v>231</v>
      </c>
      <c r="AG156" t="s">
        <v>235</v>
      </c>
      <c r="AI156">
        <v>0</v>
      </c>
      <c r="AJ156">
        <v>44</v>
      </c>
    </row>
    <row r="157" spans="1:36" x14ac:dyDescent="0.25">
      <c r="A157" s="36" t="s">
        <v>1364</v>
      </c>
      <c r="B157">
        <v>155</v>
      </c>
      <c r="C157" t="s">
        <v>53</v>
      </c>
      <c r="D157">
        <v>3</v>
      </c>
      <c r="E157">
        <v>3</v>
      </c>
      <c r="F157">
        <v>3</v>
      </c>
      <c r="G157" t="s">
        <v>112</v>
      </c>
      <c r="H157" t="s">
        <v>113</v>
      </c>
      <c r="I157" t="s">
        <v>114</v>
      </c>
      <c r="J157" t="s">
        <v>98</v>
      </c>
      <c r="K157" t="s">
        <v>227</v>
      </c>
      <c r="L157">
        <v>3</v>
      </c>
      <c r="M157">
        <v>3</v>
      </c>
      <c r="N157">
        <v>3</v>
      </c>
      <c r="O157" t="s">
        <v>228</v>
      </c>
      <c r="P157" t="s">
        <v>231</v>
      </c>
      <c r="Q157" t="s">
        <v>235</v>
      </c>
      <c r="R157" t="s">
        <v>237</v>
      </c>
      <c r="S157" t="s">
        <v>48</v>
      </c>
      <c r="T157">
        <v>2</v>
      </c>
      <c r="V157">
        <v>2</v>
      </c>
      <c r="W157" t="s">
        <v>126</v>
      </c>
      <c r="X157" t="s">
        <v>84</v>
      </c>
      <c r="Y157" t="s">
        <v>127</v>
      </c>
      <c r="Z157" t="s">
        <v>129</v>
      </c>
      <c r="AA157" t="s">
        <v>45</v>
      </c>
      <c r="AB157">
        <v>3</v>
      </c>
      <c r="AD157">
        <v>3</v>
      </c>
      <c r="AE157" t="s">
        <v>140</v>
      </c>
      <c r="AF157" t="s">
        <v>76</v>
      </c>
      <c r="AG157" t="s">
        <v>102</v>
      </c>
      <c r="AH157" t="s">
        <v>94</v>
      </c>
      <c r="AI157">
        <v>0</v>
      </c>
      <c r="AJ157">
        <v>39</v>
      </c>
    </row>
    <row r="158" spans="1:36" x14ac:dyDescent="0.25">
      <c r="A158" s="36" t="s">
        <v>1641</v>
      </c>
      <c r="B158">
        <v>156</v>
      </c>
      <c r="C158" t="s">
        <v>53</v>
      </c>
      <c r="D158">
        <v>3</v>
      </c>
      <c r="E158">
        <v>3</v>
      </c>
      <c r="F158">
        <v>3</v>
      </c>
      <c r="G158" t="s">
        <v>112</v>
      </c>
      <c r="H158" t="s">
        <v>55</v>
      </c>
      <c r="I158" t="s">
        <v>114</v>
      </c>
      <c r="J158" t="s">
        <v>116</v>
      </c>
      <c r="K158" t="s">
        <v>227</v>
      </c>
      <c r="L158">
        <v>3</v>
      </c>
      <c r="M158">
        <v>3</v>
      </c>
      <c r="N158">
        <v>3</v>
      </c>
      <c r="O158" t="s">
        <v>229</v>
      </c>
      <c r="P158" t="s">
        <v>231</v>
      </c>
      <c r="Q158" t="s">
        <v>235</v>
      </c>
      <c r="R158" t="s">
        <v>238</v>
      </c>
      <c r="S158" t="s">
        <v>48</v>
      </c>
      <c r="T158">
        <v>3</v>
      </c>
      <c r="V158">
        <v>3</v>
      </c>
      <c r="W158" t="s">
        <v>49</v>
      </c>
      <c r="X158" t="s">
        <v>84</v>
      </c>
      <c r="Y158" t="s">
        <v>90</v>
      </c>
      <c r="Z158" t="s">
        <v>129</v>
      </c>
      <c r="AA158" t="s">
        <v>63</v>
      </c>
      <c r="AB158">
        <v>2</v>
      </c>
      <c r="AD158">
        <v>3</v>
      </c>
      <c r="AE158" t="s">
        <v>103</v>
      </c>
      <c r="AF158" t="s">
        <v>91</v>
      </c>
      <c r="AG158" t="s">
        <v>148</v>
      </c>
      <c r="AH158" t="s">
        <v>150</v>
      </c>
      <c r="AI158">
        <v>0</v>
      </c>
      <c r="AJ158">
        <v>44</v>
      </c>
    </row>
    <row r="159" spans="1:36" x14ac:dyDescent="0.25">
      <c r="A159" s="36" t="s">
        <v>1365</v>
      </c>
      <c r="B159">
        <v>157</v>
      </c>
      <c r="C159" t="s">
        <v>53</v>
      </c>
      <c r="D159">
        <v>3</v>
      </c>
      <c r="E159">
        <v>3</v>
      </c>
      <c r="F159">
        <v>3</v>
      </c>
      <c r="G159" t="s">
        <v>112</v>
      </c>
      <c r="H159" t="s">
        <v>83</v>
      </c>
      <c r="I159" t="s">
        <v>105</v>
      </c>
      <c r="J159" t="s">
        <v>115</v>
      </c>
      <c r="K159" t="s">
        <v>227</v>
      </c>
      <c r="L159">
        <v>3</v>
      </c>
      <c r="M159">
        <v>3</v>
      </c>
      <c r="N159">
        <v>3</v>
      </c>
      <c r="O159" t="s">
        <v>229</v>
      </c>
      <c r="P159" t="s">
        <v>231</v>
      </c>
      <c r="Q159" t="s">
        <v>235</v>
      </c>
      <c r="R159" t="s">
        <v>238</v>
      </c>
      <c r="S159" t="s">
        <v>48</v>
      </c>
      <c r="T159">
        <v>3</v>
      </c>
      <c r="V159">
        <v>2</v>
      </c>
      <c r="W159" t="s">
        <v>126</v>
      </c>
      <c r="X159" t="s">
        <v>84</v>
      </c>
      <c r="Y159" t="s">
        <v>127</v>
      </c>
      <c r="Z159" t="s">
        <v>129</v>
      </c>
      <c r="AA159" t="s">
        <v>38</v>
      </c>
      <c r="AB159">
        <v>3</v>
      </c>
      <c r="AC159">
        <v>3</v>
      </c>
      <c r="AD159">
        <v>3</v>
      </c>
      <c r="AE159" t="s">
        <v>39</v>
      </c>
      <c r="AF159" t="s">
        <v>70</v>
      </c>
      <c r="AG159" t="s">
        <v>153</v>
      </c>
      <c r="AH159" t="s">
        <v>42</v>
      </c>
      <c r="AI159">
        <v>0</v>
      </c>
      <c r="AJ159">
        <v>41</v>
      </c>
    </row>
    <row r="160" spans="1:36" x14ac:dyDescent="0.25">
      <c r="A160" s="36" t="s">
        <v>1366</v>
      </c>
      <c r="B160">
        <v>158</v>
      </c>
      <c r="C160" t="s">
        <v>33</v>
      </c>
      <c r="D160">
        <v>3</v>
      </c>
      <c r="F160">
        <v>2</v>
      </c>
      <c r="G160" t="s">
        <v>65</v>
      </c>
      <c r="H160" t="s">
        <v>130</v>
      </c>
      <c r="I160" t="s">
        <v>36</v>
      </c>
      <c r="J160" t="s">
        <v>37</v>
      </c>
      <c r="K160" t="s">
        <v>43</v>
      </c>
      <c r="L160">
        <v>3</v>
      </c>
      <c r="N160">
        <v>1</v>
      </c>
      <c r="O160" t="s">
        <v>73</v>
      </c>
      <c r="P160" t="s">
        <v>99</v>
      </c>
      <c r="Q160" t="s">
        <v>75</v>
      </c>
      <c r="R160" t="s">
        <v>101</v>
      </c>
      <c r="S160" t="s">
        <v>53</v>
      </c>
      <c r="T160">
        <v>1</v>
      </c>
      <c r="U160">
        <v>2</v>
      </c>
      <c r="V160">
        <v>2</v>
      </c>
      <c r="W160" t="s">
        <v>112</v>
      </c>
      <c r="X160" t="s">
        <v>113</v>
      </c>
      <c r="AA160" t="s">
        <v>227</v>
      </c>
      <c r="AB160">
        <v>3</v>
      </c>
      <c r="AC160">
        <v>2</v>
      </c>
      <c r="AD160">
        <v>3</v>
      </c>
      <c r="AE160" t="s">
        <v>229</v>
      </c>
      <c r="AI160">
        <v>0</v>
      </c>
      <c r="AJ160">
        <v>23</v>
      </c>
    </row>
    <row r="161" spans="1:36" x14ac:dyDescent="0.25">
      <c r="A161" s="36" t="s">
        <v>1367</v>
      </c>
      <c r="B161">
        <v>159</v>
      </c>
      <c r="C161" t="s">
        <v>53</v>
      </c>
      <c r="D161">
        <v>1</v>
      </c>
      <c r="E161">
        <v>1</v>
      </c>
      <c r="F161">
        <v>2</v>
      </c>
      <c r="G161" t="s">
        <v>112</v>
      </c>
      <c r="K161" t="s">
        <v>227</v>
      </c>
      <c r="L161">
        <v>1</v>
      </c>
      <c r="M161">
        <v>1</v>
      </c>
      <c r="N161">
        <v>3</v>
      </c>
      <c r="O161" t="s">
        <v>228</v>
      </c>
      <c r="P161" t="s">
        <v>231</v>
      </c>
      <c r="Q161" t="s">
        <v>234</v>
      </c>
      <c r="S161" t="s">
        <v>33</v>
      </c>
      <c r="T161">
        <v>2</v>
      </c>
      <c r="V161">
        <v>2</v>
      </c>
      <c r="W161" t="s">
        <v>65</v>
      </c>
      <c r="X161" t="s">
        <v>130</v>
      </c>
      <c r="Y161" t="s">
        <v>36</v>
      </c>
      <c r="AA161" t="s">
        <v>45</v>
      </c>
      <c r="AB161">
        <v>3</v>
      </c>
      <c r="AD161">
        <v>1</v>
      </c>
      <c r="AE161" t="s">
        <v>140</v>
      </c>
      <c r="AI161">
        <v>0</v>
      </c>
      <c r="AJ161">
        <v>15</v>
      </c>
    </row>
    <row r="162" spans="1:36" x14ac:dyDescent="0.25">
      <c r="A162" s="36" t="s">
        <v>1642</v>
      </c>
      <c r="B162">
        <v>160</v>
      </c>
      <c r="C162" t="s">
        <v>33</v>
      </c>
      <c r="D162">
        <v>3</v>
      </c>
      <c r="F162">
        <v>3</v>
      </c>
      <c r="G162" t="s">
        <v>65</v>
      </c>
      <c r="H162" t="s">
        <v>66</v>
      </c>
      <c r="I162" t="s">
        <v>36</v>
      </c>
      <c r="J162" t="s">
        <v>133</v>
      </c>
      <c r="K162" t="s">
        <v>63</v>
      </c>
      <c r="L162">
        <v>3</v>
      </c>
      <c r="N162">
        <v>3</v>
      </c>
      <c r="O162" t="s">
        <v>103</v>
      </c>
      <c r="P162" t="s">
        <v>91</v>
      </c>
      <c r="Q162" t="s">
        <v>148</v>
      </c>
      <c r="R162" t="s">
        <v>150</v>
      </c>
      <c r="S162" t="s">
        <v>53</v>
      </c>
      <c r="T162">
        <v>3</v>
      </c>
      <c r="U162">
        <v>3</v>
      </c>
      <c r="V162">
        <v>3</v>
      </c>
      <c r="W162" t="s">
        <v>112</v>
      </c>
      <c r="X162" t="s">
        <v>55</v>
      </c>
      <c r="Y162" t="s">
        <v>97</v>
      </c>
      <c r="Z162" t="s">
        <v>116</v>
      </c>
      <c r="AA162" t="s">
        <v>227</v>
      </c>
      <c r="AB162">
        <v>1</v>
      </c>
      <c r="AC162">
        <v>3</v>
      </c>
      <c r="AD162">
        <v>3</v>
      </c>
      <c r="AE162" t="s">
        <v>229</v>
      </c>
      <c r="AF162" t="s">
        <v>233</v>
      </c>
      <c r="AG162" t="s">
        <v>236</v>
      </c>
      <c r="AI162">
        <v>0</v>
      </c>
      <c r="AJ162">
        <v>44</v>
      </c>
    </row>
    <row r="163" spans="1:36" x14ac:dyDescent="0.25">
      <c r="A163" s="36" t="s">
        <v>1368</v>
      </c>
      <c r="B163">
        <v>161</v>
      </c>
      <c r="C163" t="s">
        <v>33</v>
      </c>
      <c r="D163">
        <v>2</v>
      </c>
      <c r="F163">
        <v>2</v>
      </c>
      <c r="G163" t="s">
        <v>65</v>
      </c>
      <c r="H163" t="s">
        <v>66</v>
      </c>
      <c r="I163" t="s">
        <v>36</v>
      </c>
      <c r="K163" t="s">
        <v>38</v>
      </c>
      <c r="L163">
        <v>3</v>
      </c>
      <c r="M163">
        <v>1</v>
      </c>
      <c r="N163">
        <v>3</v>
      </c>
      <c r="O163" t="s">
        <v>39</v>
      </c>
      <c r="P163" t="s">
        <v>70</v>
      </c>
      <c r="Q163" t="s">
        <v>153</v>
      </c>
      <c r="R163" t="s">
        <v>42</v>
      </c>
      <c r="S163" t="s">
        <v>53</v>
      </c>
      <c r="T163">
        <v>3</v>
      </c>
      <c r="U163">
        <v>3</v>
      </c>
      <c r="V163">
        <v>2</v>
      </c>
      <c r="W163" t="s">
        <v>112</v>
      </c>
      <c r="X163" t="s">
        <v>55</v>
      </c>
      <c r="Y163" t="s">
        <v>97</v>
      </c>
      <c r="AA163" t="s">
        <v>227</v>
      </c>
      <c r="AB163">
        <v>1</v>
      </c>
      <c r="AC163">
        <v>1</v>
      </c>
      <c r="AD163">
        <v>2</v>
      </c>
      <c r="AE163" t="s">
        <v>228</v>
      </c>
      <c r="AF163" t="s">
        <v>231</v>
      </c>
      <c r="AG163" t="s">
        <v>235</v>
      </c>
      <c r="AH163" t="s">
        <v>238</v>
      </c>
      <c r="AI163">
        <v>0</v>
      </c>
      <c r="AJ163">
        <v>26</v>
      </c>
    </row>
    <row r="164" spans="1:36" x14ac:dyDescent="0.25">
      <c r="A164" s="36" t="s">
        <v>1643</v>
      </c>
      <c r="B164">
        <v>162</v>
      </c>
      <c r="C164" t="s">
        <v>53</v>
      </c>
      <c r="D164">
        <v>2</v>
      </c>
      <c r="E164">
        <v>2</v>
      </c>
      <c r="F164">
        <v>3</v>
      </c>
      <c r="G164" t="s">
        <v>112</v>
      </c>
      <c r="H164" t="s">
        <v>113</v>
      </c>
      <c r="I164" t="s">
        <v>97</v>
      </c>
      <c r="J164" t="s">
        <v>98</v>
      </c>
      <c r="K164" t="s">
        <v>227</v>
      </c>
      <c r="L164">
        <v>3</v>
      </c>
      <c r="M164">
        <v>3</v>
      </c>
      <c r="N164">
        <v>3</v>
      </c>
      <c r="O164" t="s">
        <v>229</v>
      </c>
      <c r="P164" t="s">
        <v>231</v>
      </c>
      <c r="Q164" t="s">
        <v>235</v>
      </c>
      <c r="R164" t="s">
        <v>238</v>
      </c>
      <c r="S164" t="s">
        <v>43</v>
      </c>
      <c r="T164">
        <v>3</v>
      </c>
      <c r="V164">
        <v>3</v>
      </c>
      <c r="W164" t="s">
        <v>73</v>
      </c>
      <c r="X164" t="s">
        <v>99</v>
      </c>
      <c r="Y164" t="s">
        <v>75</v>
      </c>
      <c r="Z164" t="s">
        <v>101</v>
      </c>
      <c r="AA164" t="s">
        <v>45</v>
      </c>
      <c r="AB164">
        <v>3</v>
      </c>
      <c r="AD164">
        <v>2</v>
      </c>
      <c r="AE164" t="s">
        <v>86</v>
      </c>
      <c r="AI164">
        <v>0</v>
      </c>
      <c r="AJ164">
        <v>32</v>
      </c>
    </row>
    <row r="165" spans="1:36" x14ac:dyDescent="0.25">
      <c r="A165" s="36" t="s">
        <v>1369</v>
      </c>
      <c r="B165">
        <v>163</v>
      </c>
      <c r="C165" t="s">
        <v>53</v>
      </c>
      <c r="D165">
        <v>2</v>
      </c>
      <c r="E165">
        <v>3</v>
      </c>
      <c r="F165">
        <v>2</v>
      </c>
      <c r="G165" t="s">
        <v>112</v>
      </c>
      <c r="H165" t="s">
        <v>113</v>
      </c>
      <c r="I165" t="s">
        <v>114</v>
      </c>
      <c r="J165" t="s">
        <v>98</v>
      </c>
      <c r="K165" t="s">
        <v>227</v>
      </c>
      <c r="L165">
        <v>3</v>
      </c>
      <c r="M165">
        <v>1</v>
      </c>
      <c r="N165">
        <v>3</v>
      </c>
      <c r="O165" t="s">
        <v>229</v>
      </c>
      <c r="P165" t="s">
        <v>231</v>
      </c>
      <c r="Q165" t="s">
        <v>234</v>
      </c>
      <c r="R165" t="s">
        <v>238</v>
      </c>
      <c r="S165" t="s">
        <v>43</v>
      </c>
      <c r="T165">
        <v>2</v>
      </c>
      <c r="V165">
        <v>1</v>
      </c>
      <c r="W165" t="s">
        <v>135</v>
      </c>
      <c r="X165" t="s">
        <v>74</v>
      </c>
      <c r="AA165" t="s">
        <v>63</v>
      </c>
      <c r="AB165">
        <v>3</v>
      </c>
      <c r="AD165">
        <v>2</v>
      </c>
      <c r="AE165" t="s">
        <v>103</v>
      </c>
      <c r="AF165" t="s">
        <v>91</v>
      </c>
      <c r="AG165" t="s">
        <v>148</v>
      </c>
      <c r="AH165" t="s">
        <v>151</v>
      </c>
      <c r="AI165">
        <v>0</v>
      </c>
      <c r="AJ165">
        <v>26</v>
      </c>
    </row>
    <row r="166" spans="1:36" x14ac:dyDescent="0.25">
      <c r="A166" s="36" t="s">
        <v>1370</v>
      </c>
      <c r="B166">
        <v>164</v>
      </c>
      <c r="C166" t="s">
        <v>53</v>
      </c>
      <c r="D166">
        <v>3</v>
      </c>
      <c r="E166">
        <v>3</v>
      </c>
      <c r="F166">
        <v>3</v>
      </c>
      <c r="G166" t="s">
        <v>112</v>
      </c>
      <c r="H166" t="s">
        <v>113</v>
      </c>
      <c r="I166" t="s">
        <v>97</v>
      </c>
      <c r="J166" t="s">
        <v>98</v>
      </c>
      <c r="K166" t="s">
        <v>227</v>
      </c>
      <c r="L166">
        <v>3</v>
      </c>
      <c r="M166">
        <v>3</v>
      </c>
      <c r="N166">
        <v>3</v>
      </c>
      <c r="O166" t="s">
        <v>229</v>
      </c>
      <c r="P166" t="s">
        <v>231</v>
      </c>
      <c r="Q166" t="s">
        <v>235</v>
      </c>
      <c r="R166" t="s">
        <v>238</v>
      </c>
      <c r="S166" t="s">
        <v>43</v>
      </c>
      <c r="T166">
        <v>3</v>
      </c>
      <c r="V166">
        <v>3</v>
      </c>
      <c r="W166" t="s">
        <v>73</v>
      </c>
      <c r="X166" t="s">
        <v>99</v>
      </c>
      <c r="Y166" t="s">
        <v>75</v>
      </c>
      <c r="Z166" t="s">
        <v>101</v>
      </c>
      <c r="AA166" t="s">
        <v>38</v>
      </c>
      <c r="AB166">
        <v>3</v>
      </c>
      <c r="AC166">
        <v>3</v>
      </c>
      <c r="AD166">
        <v>3</v>
      </c>
      <c r="AE166" t="s">
        <v>39</v>
      </c>
      <c r="AF166" t="s">
        <v>40</v>
      </c>
      <c r="AG166" t="s">
        <v>153</v>
      </c>
      <c r="AH166" t="s">
        <v>42</v>
      </c>
      <c r="AI166">
        <v>0</v>
      </c>
      <c r="AJ166">
        <v>51</v>
      </c>
    </row>
    <row r="167" spans="1:36" x14ac:dyDescent="0.25">
      <c r="A167" s="36" t="s">
        <v>1644</v>
      </c>
      <c r="B167">
        <v>165</v>
      </c>
      <c r="C167" t="s">
        <v>45</v>
      </c>
      <c r="D167">
        <v>3</v>
      </c>
      <c r="F167">
        <v>1</v>
      </c>
      <c r="G167" t="s">
        <v>86</v>
      </c>
      <c r="H167" t="s">
        <v>76</v>
      </c>
      <c r="I167" t="s">
        <v>93</v>
      </c>
      <c r="J167" t="s">
        <v>94</v>
      </c>
      <c r="K167" t="s">
        <v>63</v>
      </c>
      <c r="L167">
        <v>2</v>
      </c>
      <c r="N167">
        <v>2</v>
      </c>
      <c r="O167" t="s">
        <v>103</v>
      </c>
      <c r="P167" t="s">
        <v>95</v>
      </c>
      <c r="Q167" t="s">
        <v>148</v>
      </c>
      <c r="R167" t="s">
        <v>150</v>
      </c>
      <c r="S167" t="s">
        <v>53</v>
      </c>
      <c r="T167">
        <v>1</v>
      </c>
      <c r="U167">
        <v>3</v>
      </c>
      <c r="V167">
        <v>3</v>
      </c>
      <c r="W167" t="s">
        <v>112</v>
      </c>
      <c r="X167" t="s">
        <v>55</v>
      </c>
      <c r="AA167" t="s">
        <v>227</v>
      </c>
      <c r="AB167">
        <v>1</v>
      </c>
      <c r="AC167">
        <v>1</v>
      </c>
      <c r="AD167">
        <v>1</v>
      </c>
      <c r="AE167" t="s">
        <v>229</v>
      </c>
      <c r="AF167" t="s">
        <v>231</v>
      </c>
      <c r="AG167" t="s">
        <v>235</v>
      </c>
      <c r="AI167">
        <v>0</v>
      </c>
      <c r="AJ167">
        <v>22</v>
      </c>
    </row>
    <row r="168" spans="1:36" x14ac:dyDescent="0.25">
      <c r="A168" s="36" t="s">
        <v>1645</v>
      </c>
      <c r="B168">
        <v>166</v>
      </c>
      <c r="C168" t="s">
        <v>45</v>
      </c>
      <c r="D168">
        <v>3</v>
      </c>
      <c r="F168">
        <v>3</v>
      </c>
      <c r="G168" t="s">
        <v>140</v>
      </c>
      <c r="H168" t="s">
        <v>141</v>
      </c>
      <c r="I168" t="s">
        <v>93</v>
      </c>
      <c r="J168" t="s">
        <v>94</v>
      </c>
      <c r="K168" t="s">
        <v>38</v>
      </c>
      <c r="L168">
        <v>3</v>
      </c>
      <c r="M168">
        <v>3</v>
      </c>
      <c r="N168">
        <v>3</v>
      </c>
      <c r="O168" t="s">
        <v>39</v>
      </c>
      <c r="P168" t="s">
        <v>70</v>
      </c>
      <c r="Q168" t="s">
        <v>153</v>
      </c>
      <c r="R168" t="s">
        <v>42</v>
      </c>
      <c r="S168" t="s">
        <v>53</v>
      </c>
      <c r="T168">
        <v>3</v>
      </c>
      <c r="U168">
        <v>3</v>
      </c>
      <c r="V168">
        <v>3</v>
      </c>
      <c r="W168" t="s">
        <v>112</v>
      </c>
      <c r="X168" t="s">
        <v>55</v>
      </c>
      <c r="Y168" t="s">
        <v>97</v>
      </c>
      <c r="Z168" t="s">
        <v>98</v>
      </c>
      <c r="AA168" t="s">
        <v>227</v>
      </c>
      <c r="AB168">
        <v>2</v>
      </c>
      <c r="AC168">
        <v>1</v>
      </c>
      <c r="AD168">
        <v>1</v>
      </c>
      <c r="AE168" t="s">
        <v>228</v>
      </c>
      <c r="AI168">
        <v>0</v>
      </c>
      <c r="AJ168">
        <v>50</v>
      </c>
    </row>
    <row r="169" spans="1:36" x14ac:dyDescent="0.25">
      <c r="A169" s="36" t="s">
        <v>1646</v>
      </c>
      <c r="B169">
        <v>167</v>
      </c>
      <c r="C169" t="s">
        <v>53</v>
      </c>
      <c r="D169">
        <v>3</v>
      </c>
      <c r="E169">
        <v>3</v>
      </c>
      <c r="F169">
        <v>2</v>
      </c>
      <c r="G169" t="s">
        <v>112</v>
      </c>
      <c r="H169" t="s">
        <v>83</v>
      </c>
      <c r="I169" t="s">
        <v>114</v>
      </c>
      <c r="J169" t="s">
        <v>116</v>
      </c>
      <c r="K169" t="s">
        <v>227</v>
      </c>
      <c r="L169">
        <v>3</v>
      </c>
      <c r="M169">
        <v>3</v>
      </c>
      <c r="N169">
        <v>3</v>
      </c>
      <c r="O169" t="s">
        <v>229</v>
      </c>
      <c r="P169" t="s">
        <v>231</v>
      </c>
      <c r="Q169" t="s">
        <v>235</v>
      </c>
      <c r="R169" t="s">
        <v>238</v>
      </c>
      <c r="S169" t="s">
        <v>63</v>
      </c>
      <c r="T169">
        <v>2</v>
      </c>
      <c r="V169">
        <v>2</v>
      </c>
      <c r="W169" t="s">
        <v>103</v>
      </c>
      <c r="X169" t="s">
        <v>91</v>
      </c>
      <c r="Y169" t="s">
        <v>147</v>
      </c>
      <c r="Z169" t="s">
        <v>151</v>
      </c>
      <c r="AA169" t="s">
        <v>38</v>
      </c>
      <c r="AB169">
        <v>3</v>
      </c>
      <c r="AC169">
        <v>3</v>
      </c>
      <c r="AD169">
        <v>3</v>
      </c>
      <c r="AE169" t="s">
        <v>39</v>
      </c>
      <c r="AF169" t="s">
        <v>40</v>
      </c>
      <c r="AG169" t="s">
        <v>154</v>
      </c>
      <c r="AH169" t="s">
        <v>155</v>
      </c>
      <c r="AI169">
        <v>0</v>
      </c>
      <c r="AJ169">
        <v>35</v>
      </c>
    </row>
    <row r="170" spans="1:36" x14ac:dyDescent="0.25">
      <c r="A170" t="s">
        <v>1647</v>
      </c>
      <c r="B170">
        <v>168</v>
      </c>
      <c r="C170" t="s">
        <v>33</v>
      </c>
      <c r="D170">
        <v>2</v>
      </c>
      <c r="F170">
        <v>1</v>
      </c>
      <c r="G170" t="s">
        <v>65</v>
      </c>
      <c r="H170" t="s">
        <v>130</v>
      </c>
      <c r="I170" t="s">
        <v>36</v>
      </c>
      <c r="J170" t="s">
        <v>134</v>
      </c>
      <c r="K170" t="s">
        <v>43</v>
      </c>
      <c r="L170">
        <v>1</v>
      </c>
      <c r="N170">
        <v>1</v>
      </c>
      <c r="O170" t="s">
        <v>135</v>
      </c>
      <c r="P170" t="s">
        <v>74</v>
      </c>
      <c r="Q170" t="s">
        <v>137</v>
      </c>
      <c r="R170" t="s">
        <v>101</v>
      </c>
      <c r="S170" t="s">
        <v>56</v>
      </c>
      <c r="T170">
        <v>3</v>
      </c>
      <c r="V170">
        <v>1</v>
      </c>
      <c r="W170" t="s">
        <v>120</v>
      </c>
      <c r="X170" t="s">
        <v>69</v>
      </c>
      <c r="AA170" t="s">
        <v>48</v>
      </c>
      <c r="AB170">
        <v>1</v>
      </c>
      <c r="AD170">
        <v>1</v>
      </c>
      <c r="AE170" t="s">
        <v>126</v>
      </c>
      <c r="AF170" t="s">
        <v>84</v>
      </c>
      <c r="AI170">
        <v>0</v>
      </c>
      <c r="AJ170">
        <v>15</v>
      </c>
    </row>
    <row r="171" spans="1:36" x14ac:dyDescent="0.25">
      <c r="A171" t="s">
        <v>1371</v>
      </c>
      <c r="B171">
        <v>169</v>
      </c>
      <c r="C171" t="s">
        <v>33</v>
      </c>
      <c r="D171">
        <v>1</v>
      </c>
      <c r="F171">
        <v>2</v>
      </c>
      <c r="G171" t="s">
        <v>65</v>
      </c>
      <c r="H171" t="s">
        <v>130</v>
      </c>
      <c r="I171" t="s">
        <v>36</v>
      </c>
      <c r="J171" t="s">
        <v>37</v>
      </c>
      <c r="K171" t="s">
        <v>45</v>
      </c>
      <c r="L171">
        <v>3</v>
      </c>
      <c r="N171">
        <v>1</v>
      </c>
      <c r="O171" t="s">
        <v>86</v>
      </c>
      <c r="P171" t="s">
        <v>92</v>
      </c>
      <c r="Q171" t="s">
        <v>102</v>
      </c>
      <c r="S171" t="s">
        <v>56</v>
      </c>
      <c r="T171">
        <v>3</v>
      </c>
      <c r="V171">
        <v>2</v>
      </c>
      <c r="W171" t="s">
        <v>120</v>
      </c>
      <c r="X171" t="s">
        <v>69</v>
      </c>
      <c r="AA171" t="s">
        <v>48</v>
      </c>
      <c r="AB171">
        <v>1</v>
      </c>
      <c r="AD171">
        <v>1</v>
      </c>
      <c r="AE171" t="s">
        <v>126</v>
      </c>
      <c r="AF171" t="s">
        <v>84</v>
      </c>
      <c r="AI171">
        <v>0</v>
      </c>
      <c r="AJ171">
        <v>18</v>
      </c>
    </row>
    <row r="172" spans="1:36" x14ac:dyDescent="0.25">
      <c r="A172" t="s">
        <v>1648</v>
      </c>
      <c r="B172">
        <v>170</v>
      </c>
      <c r="C172" t="s">
        <v>56</v>
      </c>
      <c r="D172">
        <v>2</v>
      </c>
      <c r="F172">
        <v>2</v>
      </c>
      <c r="G172" t="s">
        <v>120</v>
      </c>
      <c r="H172" t="s">
        <v>69</v>
      </c>
      <c r="I172" t="s">
        <v>85</v>
      </c>
      <c r="J172" t="s">
        <v>125</v>
      </c>
      <c r="K172" t="s">
        <v>48</v>
      </c>
      <c r="L172">
        <v>3</v>
      </c>
      <c r="N172">
        <v>2</v>
      </c>
      <c r="O172" t="s">
        <v>126</v>
      </c>
      <c r="P172" t="s">
        <v>84</v>
      </c>
      <c r="Q172" t="s">
        <v>127</v>
      </c>
      <c r="R172" t="s">
        <v>129</v>
      </c>
      <c r="S172" t="s">
        <v>33</v>
      </c>
      <c r="T172">
        <v>2</v>
      </c>
      <c r="V172">
        <v>1</v>
      </c>
      <c r="W172" t="s">
        <v>65</v>
      </c>
      <c r="X172" t="s">
        <v>130</v>
      </c>
      <c r="AA172" t="s">
        <v>63</v>
      </c>
      <c r="AB172">
        <v>1</v>
      </c>
      <c r="AD172">
        <v>3</v>
      </c>
      <c r="AE172" t="s">
        <v>103</v>
      </c>
      <c r="AF172" t="s">
        <v>91</v>
      </c>
      <c r="AG172" t="s">
        <v>148</v>
      </c>
      <c r="AH172" t="s">
        <v>151</v>
      </c>
      <c r="AI172">
        <v>0</v>
      </c>
      <c r="AJ172">
        <v>23</v>
      </c>
    </row>
    <row r="173" spans="1:36" x14ac:dyDescent="0.25">
      <c r="A173" t="s">
        <v>1649</v>
      </c>
      <c r="B173">
        <v>171</v>
      </c>
      <c r="C173" t="s">
        <v>33</v>
      </c>
      <c r="D173">
        <v>2</v>
      </c>
      <c r="F173">
        <v>2</v>
      </c>
      <c r="G173" t="s">
        <v>46</v>
      </c>
      <c r="K173" t="s">
        <v>38</v>
      </c>
      <c r="L173">
        <v>1</v>
      </c>
      <c r="M173">
        <v>2</v>
      </c>
      <c r="N173">
        <v>3</v>
      </c>
      <c r="O173" t="s">
        <v>152</v>
      </c>
      <c r="P173" t="s">
        <v>40</v>
      </c>
      <c r="Q173" t="s">
        <v>154</v>
      </c>
      <c r="R173" t="s">
        <v>42</v>
      </c>
      <c r="S173" t="s">
        <v>56</v>
      </c>
      <c r="T173">
        <v>2</v>
      </c>
      <c r="V173">
        <v>2</v>
      </c>
      <c r="W173" t="s">
        <v>120</v>
      </c>
      <c r="X173" t="s">
        <v>69</v>
      </c>
      <c r="Y173" t="s">
        <v>85</v>
      </c>
      <c r="Z173" t="s">
        <v>125</v>
      </c>
      <c r="AA173" t="s">
        <v>48</v>
      </c>
      <c r="AB173">
        <v>1</v>
      </c>
      <c r="AD173">
        <v>1</v>
      </c>
      <c r="AE173" t="s">
        <v>126</v>
      </c>
      <c r="AI173">
        <v>0</v>
      </c>
      <c r="AJ173">
        <v>17</v>
      </c>
    </row>
    <row r="174" spans="1:36" x14ac:dyDescent="0.25">
      <c r="A174" s="36" t="s">
        <v>1372</v>
      </c>
      <c r="B174">
        <v>172</v>
      </c>
      <c r="C174" t="s">
        <v>33</v>
      </c>
      <c r="D174">
        <v>2</v>
      </c>
      <c r="F174">
        <v>3</v>
      </c>
      <c r="G174" t="s">
        <v>65</v>
      </c>
      <c r="K174" t="s">
        <v>227</v>
      </c>
      <c r="L174">
        <v>2</v>
      </c>
      <c r="M174">
        <v>1</v>
      </c>
      <c r="N174">
        <v>1</v>
      </c>
      <c r="O174" t="s">
        <v>228</v>
      </c>
      <c r="P174" t="s">
        <v>231</v>
      </c>
      <c r="Q174" t="s">
        <v>234</v>
      </c>
      <c r="S174" t="s">
        <v>56</v>
      </c>
      <c r="T174">
        <v>2</v>
      </c>
      <c r="V174">
        <v>1</v>
      </c>
      <c r="W174" t="s">
        <v>120</v>
      </c>
      <c r="X174" t="s">
        <v>69</v>
      </c>
      <c r="Y174" t="s">
        <v>123</v>
      </c>
      <c r="AA174" t="s">
        <v>48</v>
      </c>
      <c r="AB174">
        <v>1</v>
      </c>
      <c r="AD174">
        <v>1</v>
      </c>
      <c r="AE174" t="s">
        <v>89</v>
      </c>
      <c r="AF174" t="s">
        <v>84</v>
      </c>
      <c r="AI174">
        <v>0</v>
      </c>
      <c r="AJ174">
        <v>15</v>
      </c>
    </row>
    <row r="175" spans="1:36" x14ac:dyDescent="0.25">
      <c r="A175" t="s">
        <v>1650</v>
      </c>
      <c r="B175">
        <v>173</v>
      </c>
      <c r="C175" t="s">
        <v>43</v>
      </c>
      <c r="D175">
        <v>3</v>
      </c>
      <c r="F175">
        <v>1</v>
      </c>
      <c r="G175" t="s">
        <v>135</v>
      </c>
      <c r="H175" t="s">
        <v>74</v>
      </c>
      <c r="I175" t="s">
        <v>75</v>
      </c>
      <c r="J175" t="s">
        <v>139</v>
      </c>
      <c r="K175" t="s">
        <v>45</v>
      </c>
      <c r="L175">
        <v>3</v>
      </c>
      <c r="N175">
        <v>3</v>
      </c>
      <c r="O175" t="s">
        <v>86</v>
      </c>
      <c r="S175" t="s">
        <v>56</v>
      </c>
      <c r="T175">
        <v>3</v>
      </c>
      <c r="V175">
        <v>3</v>
      </c>
      <c r="W175" t="s">
        <v>120</v>
      </c>
      <c r="X175" t="s">
        <v>122</v>
      </c>
      <c r="AA175" t="s">
        <v>48</v>
      </c>
      <c r="AB175">
        <v>1</v>
      </c>
      <c r="AD175">
        <v>1</v>
      </c>
      <c r="AE175" t="s">
        <v>126</v>
      </c>
      <c r="AF175" t="s">
        <v>84</v>
      </c>
      <c r="AI175">
        <v>0</v>
      </c>
      <c r="AJ175">
        <v>20</v>
      </c>
    </row>
    <row r="176" spans="1:36" x14ac:dyDescent="0.25">
      <c r="A176" t="s">
        <v>1651</v>
      </c>
      <c r="B176">
        <v>174</v>
      </c>
      <c r="C176" t="s">
        <v>43</v>
      </c>
      <c r="D176">
        <v>3</v>
      </c>
      <c r="F176">
        <v>1</v>
      </c>
      <c r="G176" t="s">
        <v>73</v>
      </c>
      <c r="H176" t="s">
        <v>74</v>
      </c>
      <c r="I176" t="s">
        <v>137</v>
      </c>
      <c r="K176" t="s">
        <v>63</v>
      </c>
      <c r="L176">
        <v>1</v>
      </c>
      <c r="N176">
        <v>1</v>
      </c>
      <c r="O176" t="s">
        <v>145</v>
      </c>
      <c r="P176" t="s">
        <v>91</v>
      </c>
      <c r="S176" t="s">
        <v>56</v>
      </c>
      <c r="T176">
        <v>3</v>
      </c>
      <c r="V176">
        <v>1</v>
      </c>
      <c r="W176" t="s">
        <v>120</v>
      </c>
      <c r="X176" t="s">
        <v>122</v>
      </c>
      <c r="AA176" t="s">
        <v>48</v>
      </c>
      <c r="AB176">
        <v>1</v>
      </c>
      <c r="AD176">
        <v>1</v>
      </c>
      <c r="AE176" t="s">
        <v>126</v>
      </c>
      <c r="AF176" t="s">
        <v>84</v>
      </c>
      <c r="AG176" t="s">
        <v>51</v>
      </c>
      <c r="AI176">
        <v>0</v>
      </c>
      <c r="AJ176">
        <v>16</v>
      </c>
    </row>
    <row r="177" spans="1:36" x14ac:dyDescent="0.25">
      <c r="A177" t="s">
        <v>1652</v>
      </c>
      <c r="B177">
        <v>175</v>
      </c>
      <c r="C177" t="s">
        <v>56</v>
      </c>
      <c r="D177">
        <v>3</v>
      </c>
      <c r="F177">
        <v>3</v>
      </c>
      <c r="G177" t="s">
        <v>120</v>
      </c>
      <c r="H177" t="s">
        <v>122</v>
      </c>
      <c r="I177" t="s">
        <v>85</v>
      </c>
      <c r="J177" t="s">
        <v>125</v>
      </c>
      <c r="K177" t="s">
        <v>48</v>
      </c>
      <c r="L177">
        <v>3</v>
      </c>
      <c r="N177">
        <v>3</v>
      </c>
      <c r="O177" t="s">
        <v>126</v>
      </c>
      <c r="P177" t="s">
        <v>84</v>
      </c>
      <c r="Q177" t="s">
        <v>90</v>
      </c>
      <c r="R177" t="s">
        <v>129</v>
      </c>
      <c r="S177" t="s">
        <v>43</v>
      </c>
      <c r="T177">
        <v>1</v>
      </c>
      <c r="V177">
        <v>1</v>
      </c>
      <c r="W177" t="s">
        <v>73</v>
      </c>
      <c r="X177" t="s">
        <v>74</v>
      </c>
      <c r="Y177" t="s">
        <v>75</v>
      </c>
      <c r="Z177" t="s">
        <v>101</v>
      </c>
      <c r="AA177" t="s">
        <v>38</v>
      </c>
      <c r="AB177">
        <v>3</v>
      </c>
      <c r="AC177">
        <v>3</v>
      </c>
      <c r="AD177">
        <v>2</v>
      </c>
      <c r="AE177" t="s">
        <v>39</v>
      </c>
      <c r="AF177" t="s">
        <v>96</v>
      </c>
      <c r="AG177" t="s">
        <v>153</v>
      </c>
      <c r="AH177" t="s">
        <v>42</v>
      </c>
      <c r="AI177">
        <v>0</v>
      </c>
      <c r="AJ177">
        <v>31</v>
      </c>
    </row>
    <row r="178" spans="1:36" x14ac:dyDescent="0.25">
      <c r="A178" s="36" t="s">
        <v>1373</v>
      </c>
      <c r="B178">
        <v>176</v>
      </c>
      <c r="C178" t="s">
        <v>56</v>
      </c>
      <c r="D178">
        <v>3</v>
      </c>
      <c r="F178">
        <v>3</v>
      </c>
      <c r="G178" t="s">
        <v>120</v>
      </c>
      <c r="H178" t="s">
        <v>122</v>
      </c>
      <c r="K178" t="s">
        <v>48</v>
      </c>
      <c r="L178">
        <v>3</v>
      </c>
      <c r="N178">
        <v>3</v>
      </c>
      <c r="O178" t="s">
        <v>126</v>
      </c>
      <c r="P178" t="s">
        <v>84</v>
      </c>
      <c r="Q178" t="s">
        <v>90</v>
      </c>
      <c r="R178" t="s">
        <v>129</v>
      </c>
      <c r="S178" t="s">
        <v>43</v>
      </c>
      <c r="T178">
        <v>3</v>
      </c>
      <c r="V178">
        <v>1</v>
      </c>
      <c r="W178" t="s">
        <v>44</v>
      </c>
      <c r="X178" t="s">
        <v>136</v>
      </c>
      <c r="Y178" t="s">
        <v>137</v>
      </c>
      <c r="Z178" t="s">
        <v>101</v>
      </c>
      <c r="AA178" t="s">
        <v>227</v>
      </c>
      <c r="AB178">
        <v>3</v>
      </c>
      <c r="AC178">
        <v>3</v>
      </c>
      <c r="AD178">
        <v>3</v>
      </c>
      <c r="AE178" t="s">
        <v>229</v>
      </c>
      <c r="AF178" t="s">
        <v>231</v>
      </c>
      <c r="AG178" t="s">
        <v>235</v>
      </c>
      <c r="AH178" t="s">
        <v>238</v>
      </c>
      <c r="AI178">
        <v>0</v>
      </c>
      <c r="AJ178">
        <v>40</v>
      </c>
    </row>
    <row r="179" spans="1:36" x14ac:dyDescent="0.25">
      <c r="A179" t="s">
        <v>1653</v>
      </c>
      <c r="B179">
        <v>177</v>
      </c>
      <c r="C179" t="s">
        <v>56</v>
      </c>
      <c r="D179">
        <v>2</v>
      </c>
      <c r="F179">
        <v>1</v>
      </c>
      <c r="G179" t="s">
        <v>57</v>
      </c>
      <c r="H179" t="s">
        <v>69</v>
      </c>
      <c r="I179" t="s">
        <v>85</v>
      </c>
      <c r="J179" t="s">
        <v>125</v>
      </c>
      <c r="K179" t="s">
        <v>48</v>
      </c>
      <c r="L179">
        <v>1</v>
      </c>
      <c r="N179">
        <v>2</v>
      </c>
      <c r="O179" t="s">
        <v>126</v>
      </c>
      <c r="P179" t="s">
        <v>84</v>
      </c>
      <c r="Q179" t="s">
        <v>127</v>
      </c>
      <c r="R179" t="s">
        <v>129</v>
      </c>
      <c r="S179" t="s">
        <v>45</v>
      </c>
      <c r="T179">
        <v>3</v>
      </c>
      <c r="V179">
        <v>1</v>
      </c>
      <c r="W179" t="s">
        <v>140</v>
      </c>
      <c r="AA179" t="s">
        <v>63</v>
      </c>
      <c r="AB179">
        <v>1</v>
      </c>
      <c r="AD179">
        <v>1</v>
      </c>
      <c r="AE179" t="s">
        <v>145</v>
      </c>
      <c r="AF179" t="s">
        <v>91</v>
      </c>
      <c r="AG179" t="s">
        <v>148</v>
      </c>
      <c r="AH179" t="s">
        <v>151</v>
      </c>
      <c r="AI179">
        <v>0</v>
      </c>
      <c r="AJ179">
        <v>17</v>
      </c>
    </row>
    <row r="180" spans="1:36" x14ac:dyDescent="0.25">
      <c r="A180" t="s">
        <v>1654</v>
      </c>
      <c r="B180">
        <v>178</v>
      </c>
      <c r="C180" t="s">
        <v>56</v>
      </c>
      <c r="D180">
        <v>1</v>
      </c>
      <c r="F180">
        <v>3</v>
      </c>
      <c r="G180" t="s">
        <v>57</v>
      </c>
      <c r="H180" t="s">
        <v>122</v>
      </c>
      <c r="I180" t="s">
        <v>123</v>
      </c>
      <c r="J180" t="s">
        <v>88</v>
      </c>
      <c r="K180" t="s">
        <v>48</v>
      </c>
      <c r="L180">
        <v>3</v>
      </c>
      <c r="N180">
        <v>2</v>
      </c>
      <c r="O180" t="s">
        <v>126</v>
      </c>
      <c r="P180" t="s">
        <v>84</v>
      </c>
      <c r="Q180" t="s">
        <v>90</v>
      </c>
      <c r="R180" t="s">
        <v>129</v>
      </c>
      <c r="S180" t="s">
        <v>45</v>
      </c>
      <c r="T180">
        <v>3</v>
      </c>
      <c r="V180">
        <v>2</v>
      </c>
      <c r="W180" t="s">
        <v>140</v>
      </c>
      <c r="X180" t="s">
        <v>141</v>
      </c>
      <c r="Y180" t="s">
        <v>93</v>
      </c>
      <c r="Z180" t="s">
        <v>143</v>
      </c>
      <c r="AA180" t="s">
        <v>38</v>
      </c>
      <c r="AB180">
        <v>1</v>
      </c>
      <c r="AC180">
        <v>1</v>
      </c>
      <c r="AD180">
        <v>1</v>
      </c>
      <c r="AE180" t="s">
        <v>39</v>
      </c>
      <c r="AF180" t="s">
        <v>96</v>
      </c>
      <c r="AG180" t="s">
        <v>41</v>
      </c>
      <c r="AI180">
        <v>0</v>
      </c>
      <c r="AJ180">
        <v>23</v>
      </c>
    </row>
    <row r="181" spans="1:36" x14ac:dyDescent="0.25">
      <c r="A181" s="36" t="s">
        <v>1374</v>
      </c>
      <c r="B181">
        <v>179</v>
      </c>
      <c r="C181" t="s">
        <v>56</v>
      </c>
      <c r="D181">
        <v>3</v>
      </c>
      <c r="F181">
        <v>2</v>
      </c>
      <c r="G181" t="s">
        <v>68</v>
      </c>
      <c r="K181" t="s">
        <v>48</v>
      </c>
      <c r="L181">
        <v>1</v>
      </c>
      <c r="N181">
        <v>1</v>
      </c>
      <c r="O181" t="s">
        <v>89</v>
      </c>
      <c r="P181" t="s">
        <v>50</v>
      </c>
      <c r="S181" t="s">
        <v>45</v>
      </c>
      <c r="T181">
        <v>3</v>
      </c>
      <c r="V181">
        <v>2</v>
      </c>
      <c r="W181" t="s">
        <v>86</v>
      </c>
      <c r="AA181" t="s">
        <v>227</v>
      </c>
      <c r="AB181">
        <v>3</v>
      </c>
      <c r="AC181">
        <v>1</v>
      </c>
      <c r="AD181">
        <v>1</v>
      </c>
      <c r="AE181" t="s">
        <v>228</v>
      </c>
      <c r="AI181">
        <v>0</v>
      </c>
      <c r="AJ181">
        <v>13</v>
      </c>
    </row>
    <row r="182" spans="1:36" x14ac:dyDescent="0.25">
      <c r="A182" t="s">
        <v>1655</v>
      </c>
      <c r="B182">
        <v>180</v>
      </c>
      <c r="C182" t="s">
        <v>56</v>
      </c>
      <c r="D182">
        <v>3</v>
      </c>
      <c r="F182">
        <v>3</v>
      </c>
      <c r="G182" t="s">
        <v>57</v>
      </c>
      <c r="H182" t="s">
        <v>122</v>
      </c>
      <c r="I182" t="s">
        <v>85</v>
      </c>
      <c r="J182" t="s">
        <v>125</v>
      </c>
      <c r="K182" t="s">
        <v>48</v>
      </c>
      <c r="L182">
        <v>3</v>
      </c>
      <c r="N182">
        <v>3</v>
      </c>
      <c r="O182" t="s">
        <v>49</v>
      </c>
      <c r="P182" t="s">
        <v>71</v>
      </c>
      <c r="Q182" t="s">
        <v>127</v>
      </c>
      <c r="R182" t="s">
        <v>129</v>
      </c>
      <c r="S182" t="s">
        <v>63</v>
      </c>
      <c r="T182">
        <v>1</v>
      </c>
      <c r="V182">
        <v>2</v>
      </c>
      <c r="W182" t="s">
        <v>145</v>
      </c>
      <c r="X182" t="s">
        <v>146</v>
      </c>
      <c r="AA182" t="s">
        <v>38</v>
      </c>
      <c r="AB182">
        <v>2</v>
      </c>
      <c r="AC182">
        <v>3</v>
      </c>
      <c r="AD182">
        <v>3</v>
      </c>
      <c r="AE182" t="s">
        <v>39</v>
      </c>
      <c r="AF182" t="s">
        <v>96</v>
      </c>
      <c r="AG182" t="s">
        <v>41</v>
      </c>
      <c r="AH182" t="s">
        <v>156</v>
      </c>
      <c r="AI182">
        <v>0</v>
      </c>
      <c r="AJ182">
        <v>30</v>
      </c>
    </row>
    <row r="183" spans="1:36" x14ac:dyDescent="0.25">
      <c r="A183" s="36" t="s">
        <v>1375</v>
      </c>
      <c r="B183">
        <v>181</v>
      </c>
      <c r="C183" t="s">
        <v>56</v>
      </c>
      <c r="D183">
        <v>3</v>
      </c>
      <c r="F183">
        <v>1</v>
      </c>
      <c r="G183" t="s">
        <v>57</v>
      </c>
      <c r="H183" t="s">
        <v>122</v>
      </c>
      <c r="I183" t="s">
        <v>85</v>
      </c>
      <c r="J183" t="s">
        <v>125</v>
      </c>
      <c r="K183" t="s">
        <v>48</v>
      </c>
      <c r="L183">
        <v>2</v>
      </c>
      <c r="N183">
        <v>2</v>
      </c>
      <c r="O183" t="s">
        <v>126</v>
      </c>
      <c r="P183" t="s">
        <v>84</v>
      </c>
      <c r="Q183" t="s">
        <v>51</v>
      </c>
      <c r="R183" t="s">
        <v>129</v>
      </c>
      <c r="S183" t="s">
        <v>63</v>
      </c>
      <c r="T183">
        <v>1</v>
      </c>
      <c r="V183">
        <v>1</v>
      </c>
      <c r="W183" t="s">
        <v>145</v>
      </c>
      <c r="X183" t="s">
        <v>146</v>
      </c>
      <c r="AA183" t="s">
        <v>227</v>
      </c>
      <c r="AB183">
        <v>1</v>
      </c>
      <c r="AC183">
        <v>1</v>
      </c>
      <c r="AD183">
        <v>3</v>
      </c>
      <c r="AE183" t="s">
        <v>229</v>
      </c>
      <c r="AF183" t="s">
        <v>231</v>
      </c>
      <c r="AG183" t="s">
        <v>235</v>
      </c>
      <c r="AH183" t="s">
        <v>237</v>
      </c>
      <c r="AI183">
        <v>0</v>
      </c>
      <c r="AJ183">
        <v>20</v>
      </c>
    </row>
    <row r="184" spans="1:36" x14ac:dyDescent="0.25">
      <c r="A184" s="36" t="s">
        <v>1376</v>
      </c>
      <c r="B184">
        <v>182</v>
      </c>
      <c r="C184" t="s">
        <v>56</v>
      </c>
      <c r="D184">
        <v>2</v>
      </c>
      <c r="F184">
        <v>1</v>
      </c>
      <c r="G184" t="s">
        <v>57</v>
      </c>
      <c r="H184" t="s">
        <v>122</v>
      </c>
      <c r="I184" t="s">
        <v>85</v>
      </c>
      <c r="J184" t="s">
        <v>125</v>
      </c>
      <c r="K184" t="s">
        <v>48</v>
      </c>
      <c r="L184">
        <v>2</v>
      </c>
      <c r="N184">
        <v>1</v>
      </c>
      <c r="O184" t="s">
        <v>89</v>
      </c>
      <c r="P184" t="s">
        <v>84</v>
      </c>
      <c r="Q184" t="s">
        <v>127</v>
      </c>
      <c r="R184" t="s">
        <v>129</v>
      </c>
      <c r="S184" t="s">
        <v>38</v>
      </c>
      <c r="T184">
        <v>1</v>
      </c>
      <c r="U184">
        <v>1</v>
      </c>
      <c r="V184">
        <v>2</v>
      </c>
      <c r="W184" t="s">
        <v>39</v>
      </c>
      <c r="X184" t="s">
        <v>96</v>
      </c>
      <c r="Y184" t="s">
        <v>153</v>
      </c>
      <c r="Z184" t="s">
        <v>42</v>
      </c>
      <c r="AA184" t="s">
        <v>227</v>
      </c>
      <c r="AB184">
        <v>2</v>
      </c>
      <c r="AC184">
        <v>1</v>
      </c>
      <c r="AD184">
        <v>1</v>
      </c>
      <c r="AE184" t="s">
        <v>228</v>
      </c>
      <c r="AF184" t="s">
        <v>231</v>
      </c>
      <c r="AI184">
        <v>0</v>
      </c>
      <c r="AJ184">
        <v>18</v>
      </c>
    </row>
    <row r="185" spans="1:36" x14ac:dyDescent="0.25">
      <c r="A185" t="s">
        <v>1656</v>
      </c>
      <c r="B185">
        <v>183</v>
      </c>
      <c r="C185" t="s">
        <v>48</v>
      </c>
      <c r="D185">
        <v>1</v>
      </c>
      <c r="F185">
        <v>1</v>
      </c>
      <c r="G185" t="s">
        <v>126</v>
      </c>
      <c r="H185" t="s">
        <v>50</v>
      </c>
      <c r="I185" t="s">
        <v>90</v>
      </c>
      <c r="J185" t="s">
        <v>129</v>
      </c>
      <c r="K185" t="s">
        <v>43</v>
      </c>
      <c r="L185">
        <v>3</v>
      </c>
      <c r="N185">
        <v>3</v>
      </c>
      <c r="O185" t="s">
        <v>73</v>
      </c>
      <c r="P185" t="s">
        <v>136</v>
      </c>
      <c r="Q185" t="s">
        <v>137</v>
      </c>
      <c r="R185" t="s">
        <v>101</v>
      </c>
      <c r="S185" t="s">
        <v>56</v>
      </c>
      <c r="T185">
        <v>2</v>
      </c>
      <c r="V185">
        <v>2</v>
      </c>
      <c r="W185" t="s">
        <v>120</v>
      </c>
      <c r="X185" t="s">
        <v>69</v>
      </c>
      <c r="Y185" t="s">
        <v>123</v>
      </c>
      <c r="AA185" t="s">
        <v>33</v>
      </c>
      <c r="AB185">
        <v>2</v>
      </c>
      <c r="AD185">
        <v>2</v>
      </c>
      <c r="AE185" t="s">
        <v>65</v>
      </c>
      <c r="AF185" t="s">
        <v>66</v>
      </c>
      <c r="AG185" t="s">
        <v>36</v>
      </c>
      <c r="AI185">
        <v>0</v>
      </c>
      <c r="AJ185">
        <v>23</v>
      </c>
    </row>
    <row r="186" spans="1:36" x14ac:dyDescent="0.25">
      <c r="A186" t="s">
        <v>1377</v>
      </c>
      <c r="B186">
        <v>184</v>
      </c>
      <c r="C186" t="s">
        <v>56</v>
      </c>
      <c r="D186">
        <v>1</v>
      </c>
      <c r="F186">
        <v>1</v>
      </c>
      <c r="G186" t="s">
        <v>120</v>
      </c>
      <c r="H186" t="s">
        <v>69</v>
      </c>
      <c r="I186" t="s">
        <v>87</v>
      </c>
      <c r="K186" t="s">
        <v>33</v>
      </c>
      <c r="L186">
        <v>3</v>
      </c>
      <c r="N186">
        <v>1</v>
      </c>
      <c r="O186" t="s">
        <v>65</v>
      </c>
      <c r="P186" t="s">
        <v>35</v>
      </c>
      <c r="S186" t="s">
        <v>48</v>
      </c>
      <c r="T186">
        <v>1</v>
      </c>
      <c r="V186">
        <v>1</v>
      </c>
      <c r="W186" t="s">
        <v>126</v>
      </c>
      <c r="X186" t="s">
        <v>50</v>
      </c>
      <c r="AA186" t="s">
        <v>45</v>
      </c>
      <c r="AB186">
        <v>3</v>
      </c>
      <c r="AD186">
        <v>1</v>
      </c>
      <c r="AE186" t="s">
        <v>140</v>
      </c>
      <c r="AI186">
        <v>0</v>
      </c>
      <c r="AJ186">
        <v>12</v>
      </c>
    </row>
    <row r="187" spans="1:36" x14ac:dyDescent="0.25">
      <c r="A187" t="s">
        <v>1378</v>
      </c>
      <c r="B187">
        <v>185</v>
      </c>
      <c r="C187" t="s">
        <v>48</v>
      </c>
      <c r="D187">
        <v>2</v>
      </c>
      <c r="F187">
        <v>1</v>
      </c>
      <c r="G187" t="s">
        <v>89</v>
      </c>
      <c r="H187" t="s">
        <v>84</v>
      </c>
      <c r="I187" t="s">
        <v>90</v>
      </c>
      <c r="K187" t="s">
        <v>63</v>
      </c>
      <c r="L187">
        <v>3</v>
      </c>
      <c r="N187">
        <v>3</v>
      </c>
      <c r="O187" t="s">
        <v>145</v>
      </c>
      <c r="P187" t="s">
        <v>146</v>
      </c>
      <c r="Q187" t="s">
        <v>148</v>
      </c>
      <c r="R187" t="s">
        <v>150</v>
      </c>
      <c r="S187" t="s">
        <v>56</v>
      </c>
      <c r="T187">
        <v>3</v>
      </c>
      <c r="V187">
        <v>3</v>
      </c>
      <c r="W187" t="s">
        <v>57</v>
      </c>
      <c r="X187" t="s">
        <v>121</v>
      </c>
      <c r="Y187" t="s">
        <v>123</v>
      </c>
      <c r="Z187" t="s">
        <v>88</v>
      </c>
      <c r="AA187" t="s">
        <v>33</v>
      </c>
      <c r="AB187">
        <v>2</v>
      </c>
      <c r="AD187">
        <v>1</v>
      </c>
      <c r="AE187" t="s">
        <v>34</v>
      </c>
      <c r="AI187">
        <v>0</v>
      </c>
      <c r="AJ187">
        <v>28</v>
      </c>
    </row>
    <row r="188" spans="1:36" x14ac:dyDescent="0.25">
      <c r="A188" t="s">
        <v>1379</v>
      </c>
      <c r="B188">
        <v>186</v>
      </c>
      <c r="C188" t="s">
        <v>48</v>
      </c>
      <c r="D188">
        <v>2</v>
      </c>
      <c r="F188">
        <v>2</v>
      </c>
      <c r="G188" t="s">
        <v>89</v>
      </c>
      <c r="H188" t="s">
        <v>84</v>
      </c>
      <c r="I188" t="s">
        <v>90</v>
      </c>
      <c r="K188" t="s">
        <v>38</v>
      </c>
      <c r="L188">
        <v>1</v>
      </c>
      <c r="M188">
        <v>1</v>
      </c>
      <c r="N188">
        <v>2</v>
      </c>
      <c r="O188" t="s">
        <v>67</v>
      </c>
      <c r="P188" t="s">
        <v>96</v>
      </c>
      <c r="Q188" t="s">
        <v>154</v>
      </c>
      <c r="S188" t="s">
        <v>56</v>
      </c>
      <c r="T188">
        <v>1</v>
      </c>
      <c r="V188">
        <v>1</v>
      </c>
      <c r="W188" t="s">
        <v>57</v>
      </c>
      <c r="X188" t="s">
        <v>122</v>
      </c>
      <c r="Y188" t="s">
        <v>85</v>
      </c>
      <c r="AA188" t="s">
        <v>33</v>
      </c>
      <c r="AB188">
        <v>1</v>
      </c>
      <c r="AD188">
        <v>2</v>
      </c>
      <c r="AE188" t="s">
        <v>65</v>
      </c>
      <c r="AI188">
        <v>0</v>
      </c>
      <c r="AJ188">
        <v>14</v>
      </c>
    </row>
    <row r="189" spans="1:36" x14ac:dyDescent="0.25">
      <c r="A189" s="36" t="s">
        <v>1380</v>
      </c>
      <c r="B189">
        <v>187</v>
      </c>
      <c r="C189" t="s">
        <v>56</v>
      </c>
      <c r="D189">
        <v>2</v>
      </c>
      <c r="F189">
        <v>2</v>
      </c>
      <c r="G189" t="s">
        <v>57</v>
      </c>
      <c r="H189" t="s">
        <v>122</v>
      </c>
      <c r="I189" t="s">
        <v>85</v>
      </c>
      <c r="J189" t="s">
        <v>125</v>
      </c>
      <c r="K189" t="s">
        <v>33</v>
      </c>
      <c r="L189">
        <v>3</v>
      </c>
      <c r="N189">
        <v>2</v>
      </c>
      <c r="O189" t="s">
        <v>65</v>
      </c>
      <c r="P189" t="s">
        <v>35</v>
      </c>
      <c r="Q189" t="s">
        <v>36</v>
      </c>
      <c r="R189" t="s">
        <v>133</v>
      </c>
      <c r="S189" t="s">
        <v>48</v>
      </c>
      <c r="T189">
        <v>1</v>
      </c>
      <c r="V189">
        <v>1</v>
      </c>
      <c r="W189" t="s">
        <v>126</v>
      </c>
      <c r="X189" t="s">
        <v>50</v>
      </c>
      <c r="AA189" t="s">
        <v>227</v>
      </c>
      <c r="AB189">
        <v>1</v>
      </c>
      <c r="AC189">
        <v>2</v>
      </c>
      <c r="AD189">
        <v>3</v>
      </c>
      <c r="AE189" t="s">
        <v>228</v>
      </c>
      <c r="AF189" t="s">
        <v>232</v>
      </c>
      <c r="AG189" t="s">
        <v>235</v>
      </c>
      <c r="AH189" t="s">
        <v>237</v>
      </c>
      <c r="AI189">
        <v>0</v>
      </c>
      <c r="AJ189">
        <v>23</v>
      </c>
    </row>
    <row r="190" spans="1:36" x14ac:dyDescent="0.25">
      <c r="A190" t="s">
        <v>1657</v>
      </c>
      <c r="B190">
        <v>188</v>
      </c>
      <c r="C190" t="s">
        <v>43</v>
      </c>
      <c r="D190">
        <v>3</v>
      </c>
      <c r="F190">
        <v>1</v>
      </c>
      <c r="G190" t="s">
        <v>135</v>
      </c>
      <c r="K190" t="s">
        <v>45</v>
      </c>
      <c r="L190">
        <v>3</v>
      </c>
      <c r="N190">
        <v>2</v>
      </c>
      <c r="O190" t="s">
        <v>140</v>
      </c>
      <c r="P190" t="s">
        <v>141</v>
      </c>
      <c r="Q190" t="s">
        <v>142</v>
      </c>
      <c r="R190" t="s">
        <v>144</v>
      </c>
      <c r="S190" t="s">
        <v>56</v>
      </c>
      <c r="T190">
        <v>2</v>
      </c>
      <c r="V190">
        <v>3</v>
      </c>
      <c r="W190" t="s">
        <v>120</v>
      </c>
      <c r="X190" t="s">
        <v>69</v>
      </c>
      <c r="Y190" t="s">
        <v>87</v>
      </c>
      <c r="Z190" t="s">
        <v>124</v>
      </c>
      <c r="AA190" t="s">
        <v>33</v>
      </c>
      <c r="AB190">
        <v>1</v>
      </c>
      <c r="AD190">
        <v>3</v>
      </c>
      <c r="AE190" t="s">
        <v>65</v>
      </c>
      <c r="AF190" t="s">
        <v>35</v>
      </c>
      <c r="AI190">
        <v>0</v>
      </c>
      <c r="AJ190">
        <v>22</v>
      </c>
    </row>
    <row r="191" spans="1:36" x14ac:dyDescent="0.25">
      <c r="A191" t="s">
        <v>1381</v>
      </c>
      <c r="B191">
        <v>189</v>
      </c>
      <c r="C191" t="s">
        <v>43</v>
      </c>
      <c r="D191">
        <v>2</v>
      </c>
      <c r="F191">
        <v>1</v>
      </c>
      <c r="G191" t="s">
        <v>44</v>
      </c>
      <c r="K191" t="s">
        <v>63</v>
      </c>
      <c r="L191">
        <v>2</v>
      </c>
      <c r="N191">
        <v>2</v>
      </c>
      <c r="O191" t="s">
        <v>145</v>
      </c>
      <c r="P191" t="s">
        <v>146</v>
      </c>
      <c r="Q191" t="s">
        <v>148</v>
      </c>
      <c r="R191" t="s">
        <v>149</v>
      </c>
      <c r="S191" t="s">
        <v>56</v>
      </c>
      <c r="T191">
        <v>3</v>
      </c>
      <c r="V191">
        <v>1</v>
      </c>
      <c r="W191" t="s">
        <v>57</v>
      </c>
      <c r="X191" t="s">
        <v>122</v>
      </c>
      <c r="Y191" t="s">
        <v>123</v>
      </c>
      <c r="Z191" t="s">
        <v>125</v>
      </c>
      <c r="AA191" t="s">
        <v>33</v>
      </c>
      <c r="AB191">
        <v>1</v>
      </c>
      <c r="AD191">
        <v>3</v>
      </c>
      <c r="AE191" t="s">
        <v>34</v>
      </c>
      <c r="AI191">
        <v>0</v>
      </c>
      <c r="AJ191">
        <v>19</v>
      </c>
    </row>
    <row r="192" spans="1:36" x14ac:dyDescent="0.25">
      <c r="A192" t="s">
        <v>1382</v>
      </c>
      <c r="B192">
        <v>190</v>
      </c>
      <c r="C192" t="s">
        <v>43</v>
      </c>
      <c r="D192">
        <v>2</v>
      </c>
      <c r="F192">
        <v>1</v>
      </c>
      <c r="G192" t="s">
        <v>73</v>
      </c>
      <c r="H192" t="s">
        <v>136</v>
      </c>
      <c r="I192" t="s">
        <v>137</v>
      </c>
      <c r="K192" t="s">
        <v>38</v>
      </c>
      <c r="L192">
        <v>2</v>
      </c>
      <c r="M192">
        <v>1</v>
      </c>
      <c r="N192">
        <v>2</v>
      </c>
      <c r="O192" t="s">
        <v>67</v>
      </c>
      <c r="P192" t="s">
        <v>40</v>
      </c>
      <c r="Q192" t="s">
        <v>154</v>
      </c>
      <c r="S192" t="s">
        <v>56</v>
      </c>
      <c r="T192">
        <v>1</v>
      </c>
      <c r="V192">
        <v>1</v>
      </c>
      <c r="W192" t="s">
        <v>120</v>
      </c>
      <c r="X192" t="s">
        <v>122</v>
      </c>
      <c r="Y192" t="s">
        <v>123</v>
      </c>
      <c r="AA192" t="s">
        <v>33</v>
      </c>
      <c r="AB192">
        <v>1</v>
      </c>
      <c r="AD192">
        <v>2</v>
      </c>
      <c r="AE192" t="s">
        <v>65</v>
      </c>
      <c r="AI192">
        <v>0</v>
      </c>
      <c r="AJ192">
        <v>15</v>
      </c>
    </row>
    <row r="193" spans="1:36" x14ac:dyDescent="0.25">
      <c r="A193" s="36" t="s">
        <v>1658</v>
      </c>
      <c r="B193">
        <v>191</v>
      </c>
      <c r="C193" t="s">
        <v>56</v>
      </c>
      <c r="D193">
        <v>2</v>
      </c>
      <c r="F193">
        <v>1</v>
      </c>
      <c r="G193" t="s">
        <v>57</v>
      </c>
      <c r="H193" t="s">
        <v>122</v>
      </c>
      <c r="I193" t="s">
        <v>85</v>
      </c>
      <c r="J193" t="s">
        <v>125</v>
      </c>
      <c r="K193" t="s">
        <v>33</v>
      </c>
      <c r="L193">
        <v>1</v>
      </c>
      <c r="N193">
        <v>3</v>
      </c>
      <c r="O193" t="s">
        <v>65</v>
      </c>
      <c r="P193" t="s">
        <v>35</v>
      </c>
      <c r="Q193" t="s">
        <v>131</v>
      </c>
      <c r="S193" t="s">
        <v>43</v>
      </c>
      <c r="T193">
        <v>2</v>
      </c>
      <c r="V193">
        <v>1</v>
      </c>
      <c r="W193" t="s">
        <v>44</v>
      </c>
      <c r="AA193" t="s">
        <v>227</v>
      </c>
      <c r="AB193">
        <v>3</v>
      </c>
      <c r="AC193">
        <v>1</v>
      </c>
      <c r="AD193">
        <v>3</v>
      </c>
      <c r="AE193" t="s">
        <v>228</v>
      </c>
      <c r="AI193">
        <v>0</v>
      </c>
      <c r="AJ193">
        <v>17</v>
      </c>
    </row>
    <row r="194" spans="1:36" x14ac:dyDescent="0.25">
      <c r="A194" t="s">
        <v>1659</v>
      </c>
      <c r="B194">
        <v>192</v>
      </c>
      <c r="C194" t="s">
        <v>56</v>
      </c>
      <c r="D194">
        <v>2</v>
      </c>
      <c r="F194">
        <v>1</v>
      </c>
      <c r="G194" t="s">
        <v>57</v>
      </c>
      <c r="H194" t="s">
        <v>122</v>
      </c>
      <c r="K194" t="s">
        <v>33</v>
      </c>
      <c r="L194">
        <v>2</v>
      </c>
      <c r="N194">
        <v>2</v>
      </c>
      <c r="O194" t="s">
        <v>34</v>
      </c>
      <c r="S194" t="s">
        <v>45</v>
      </c>
      <c r="T194">
        <v>2</v>
      </c>
      <c r="V194">
        <v>1</v>
      </c>
      <c r="W194" t="s">
        <v>140</v>
      </c>
      <c r="AA194" t="s">
        <v>63</v>
      </c>
      <c r="AB194">
        <v>1</v>
      </c>
      <c r="AD194">
        <v>1</v>
      </c>
      <c r="AE194" t="s">
        <v>72</v>
      </c>
      <c r="AF194" t="s">
        <v>91</v>
      </c>
      <c r="AI194">
        <v>0</v>
      </c>
      <c r="AJ194">
        <v>10</v>
      </c>
    </row>
    <row r="195" spans="1:36" x14ac:dyDescent="0.25">
      <c r="A195" t="s">
        <v>1660</v>
      </c>
      <c r="B195">
        <v>193</v>
      </c>
      <c r="C195" t="s">
        <v>45</v>
      </c>
      <c r="D195">
        <v>3</v>
      </c>
      <c r="F195">
        <v>3</v>
      </c>
      <c r="G195" t="s">
        <v>140</v>
      </c>
      <c r="H195" t="s">
        <v>76</v>
      </c>
      <c r="I195" t="s">
        <v>142</v>
      </c>
      <c r="J195" t="s">
        <v>143</v>
      </c>
      <c r="K195" t="s">
        <v>38</v>
      </c>
      <c r="L195">
        <v>3</v>
      </c>
      <c r="M195">
        <v>3</v>
      </c>
      <c r="N195">
        <v>2</v>
      </c>
      <c r="O195" t="s">
        <v>67</v>
      </c>
      <c r="P195" t="s">
        <v>96</v>
      </c>
      <c r="Q195" t="s">
        <v>154</v>
      </c>
      <c r="R195" t="s">
        <v>42</v>
      </c>
      <c r="S195" t="s">
        <v>56</v>
      </c>
      <c r="T195">
        <v>3</v>
      </c>
      <c r="V195">
        <v>3</v>
      </c>
      <c r="W195" t="s">
        <v>57</v>
      </c>
      <c r="X195" t="s">
        <v>122</v>
      </c>
      <c r="Y195" t="s">
        <v>87</v>
      </c>
      <c r="Z195" t="s">
        <v>124</v>
      </c>
      <c r="AA195" t="s">
        <v>33</v>
      </c>
      <c r="AB195">
        <v>1</v>
      </c>
      <c r="AD195">
        <v>2</v>
      </c>
      <c r="AE195" t="s">
        <v>65</v>
      </c>
      <c r="AI195">
        <v>0</v>
      </c>
      <c r="AJ195">
        <v>28</v>
      </c>
    </row>
    <row r="196" spans="1:36" x14ac:dyDescent="0.25">
      <c r="A196" s="36" t="s">
        <v>1383</v>
      </c>
      <c r="B196">
        <v>194</v>
      </c>
      <c r="C196" t="s">
        <v>56</v>
      </c>
      <c r="D196">
        <v>1</v>
      </c>
      <c r="F196">
        <v>2</v>
      </c>
      <c r="G196" t="s">
        <v>57</v>
      </c>
      <c r="H196" t="s">
        <v>122</v>
      </c>
      <c r="I196" t="s">
        <v>85</v>
      </c>
      <c r="K196" t="s">
        <v>33</v>
      </c>
      <c r="L196">
        <v>2</v>
      </c>
      <c r="N196">
        <v>3</v>
      </c>
      <c r="O196" t="s">
        <v>65</v>
      </c>
      <c r="S196" t="s">
        <v>45</v>
      </c>
      <c r="T196">
        <v>3</v>
      </c>
      <c r="V196">
        <v>1</v>
      </c>
      <c r="W196" t="s">
        <v>140</v>
      </c>
      <c r="AA196" t="s">
        <v>227</v>
      </c>
      <c r="AB196">
        <v>2</v>
      </c>
      <c r="AC196">
        <v>1</v>
      </c>
      <c r="AD196">
        <v>3</v>
      </c>
      <c r="AE196" t="s">
        <v>228</v>
      </c>
      <c r="AI196">
        <v>0</v>
      </c>
      <c r="AJ196">
        <v>16</v>
      </c>
    </row>
    <row r="197" spans="1:36" x14ac:dyDescent="0.25">
      <c r="A197" t="s">
        <v>1384</v>
      </c>
      <c r="B197">
        <v>195</v>
      </c>
      <c r="C197" t="s">
        <v>63</v>
      </c>
      <c r="D197">
        <v>3</v>
      </c>
      <c r="F197">
        <v>3</v>
      </c>
      <c r="G197" t="s">
        <v>145</v>
      </c>
      <c r="H197" t="s">
        <v>146</v>
      </c>
      <c r="I197" t="s">
        <v>148</v>
      </c>
      <c r="J197" t="s">
        <v>150</v>
      </c>
      <c r="K197" t="s">
        <v>38</v>
      </c>
      <c r="L197">
        <v>3</v>
      </c>
      <c r="M197">
        <v>2</v>
      </c>
      <c r="N197">
        <v>2</v>
      </c>
      <c r="O197" t="s">
        <v>67</v>
      </c>
      <c r="P197" t="s">
        <v>40</v>
      </c>
      <c r="Q197" t="s">
        <v>154</v>
      </c>
      <c r="R197" t="s">
        <v>156</v>
      </c>
      <c r="S197" t="s">
        <v>56</v>
      </c>
      <c r="T197">
        <v>3</v>
      </c>
      <c r="V197">
        <v>3</v>
      </c>
      <c r="W197" t="s">
        <v>57</v>
      </c>
      <c r="X197" t="s">
        <v>122</v>
      </c>
      <c r="Y197" t="s">
        <v>123</v>
      </c>
      <c r="Z197" t="s">
        <v>88</v>
      </c>
      <c r="AA197" t="s">
        <v>33</v>
      </c>
      <c r="AB197">
        <v>1</v>
      </c>
      <c r="AD197">
        <v>2</v>
      </c>
      <c r="AE197" t="s">
        <v>65</v>
      </c>
      <c r="AI197">
        <v>0</v>
      </c>
      <c r="AJ197">
        <v>26</v>
      </c>
    </row>
    <row r="198" spans="1:36" x14ac:dyDescent="0.25">
      <c r="A198" s="36" t="s">
        <v>1385</v>
      </c>
      <c r="B198">
        <v>196</v>
      </c>
      <c r="C198" t="s">
        <v>56</v>
      </c>
      <c r="D198">
        <v>3</v>
      </c>
      <c r="F198">
        <v>1</v>
      </c>
      <c r="G198" t="s">
        <v>57</v>
      </c>
      <c r="H198" t="s">
        <v>122</v>
      </c>
      <c r="I198" t="s">
        <v>87</v>
      </c>
      <c r="K198" t="s">
        <v>33</v>
      </c>
      <c r="L198">
        <v>1</v>
      </c>
      <c r="N198">
        <v>3</v>
      </c>
      <c r="O198" t="s">
        <v>34</v>
      </c>
      <c r="S198" t="s">
        <v>63</v>
      </c>
      <c r="T198">
        <v>2</v>
      </c>
      <c r="V198">
        <v>1</v>
      </c>
      <c r="W198" t="s">
        <v>145</v>
      </c>
      <c r="X198" t="s">
        <v>146</v>
      </c>
      <c r="Y198" t="s">
        <v>104</v>
      </c>
      <c r="AA198" t="s">
        <v>227</v>
      </c>
      <c r="AB198">
        <v>1</v>
      </c>
      <c r="AC198">
        <v>1</v>
      </c>
      <c r="AD198">
        <v>1</v>
      </c>
      <c r="AE198" t="s">
        <v>228</v>
      </c>
      <c r="AF198" t="s">
        <v>231</v>
      </c>
      <c r="AI198">
        <v>0</v>
      </c>
      <c r="AJ198">
        <v>14</v>
      </c>
    </row>
    <row r="199" spans="1:36" x14ac:dyDescent="0.25">
      <c r="A199" s="36" t="s">
        <v>1386</v>
      </c>
      <c r="B199">
        <v>197</v>
      </c>
      <c r="C199" t="s">
        <v>38</v>
      </c>
      <c r="D199">
        <v>1</v>
      </c>
      <c r="E199">
        <v>1</v>
      </c>
      <c r="F199">
        <v>2</v>
      </c>
      <c r="G199" t="s">
        <v>67</v>
      </c>
      <c r="H199" t="s">
        <v>96</v>
      </c>
      <c r="I199" t="s">
        <v>154</v>
      </c>
      <c r="K199" t="s">
        <v>227</v>
      </c>
      <c r="L199">
        <v>2</v>
      </c>
      <c r="M199">
        <v>1</v>
      </c>
      <c r="N199">
        <v>2</v>
      </c>
      <c r="O199" t="s">
        <v>228</v>
      </c>
      <c r="P199" t="s">
        <v>231</v>
      </c>
      <c r="S199" t="s">
        <v>56</v>
      </c>
      <c r="T199">
        <v>2</v>
      </c>
      <c r="V199">
        <v>1</v>
      </c>
      <c r="W199" t="s">
        <v>57</v>
      </c>
      <c r="X199" t="s">
        <v>122</v>
      </c>
      <c r="AA199" t="s">
        <v>33</v>
      </c>
      <c r="AB199">
        <v>1</v>
      </c>
      <c r="AD199">
        <v>2</v>
      </c>
      <c r="AE199" t="s">
        <v>65</v>
      </c>
      <c r="AI199">
        <v>0</v>
      </c>
      <c r="AJ199">
        <v>13</v>
      </c>
    </row>
    <row r="200" spans="1:36" x14ac:dyDescent="0.25">
      <c r="A200" t="s">
        <v>1387</v>
      </c>
      <c r="B200">
        <v>198</v>
      </c>
      <c r="C200" t="s">
        <v>48</v>
      </c>
      <c r="D200">
        <v>1</v>
      </c>
      <c r="F200">
        <v>1</v>
      </c>
      <c r="G200" t="s">
        <v>126</v>
      </c>
      <c r="H200" t="s">
        <v>50</v>
      </c>
      <c r="K200" t="s">
        <v>33</v>
      </c>
      <c r="L200">
        <v>3</v>
      </c>
      <c r="N200">
        <v>3</v>
      </c>
      <c r="O200" t="s">
        <v>65</v>
      </c>
      <c r="P200" t="s">
        <v>66</v>
      </c>
      <c r="Q200" t="s">
        <v>132</v>
      </c>
      <c r="S200" t="s">
        <v>56</v>
      </c>
      <c r="T200">
        <v>2</v>
      </c>
      <c r="V200">
        <v>2</v>
      </c>
      <c r="W200" t="s">
        <v>120</v>
      </c>
      <c r="X200" t="s">
        <v>122</v>
      </c>
      <c r="Y200" t="s">
        <v>87</v>
      </c>
      <c r="Z200" t="s">
        <v>124</v>
      </c>
      <c r="AA200" t="s">
        <v>43</v>
      </c>
      <c r="AB200">
        <v>3</v>
      </c>
      <c r="AD200">
        <v>1</v>
      </c>
      <c r="AE200" t="s">
        <v>44</v>
      </c>
      <c r="AF200" t="s">
        <v>136</v>
      </c>
      <c r="AI200">
        <v>0</v>
      </c>
      <c r="AJ200">
        <v>19</v>
      </c>
    </row>
    <row r="201" spans="1:36" x14ac:dyDescent="0.25">
      <c r="A201" t="s">
        <v>1388</v>
      </c>
      <c r="B201">
        <v>199</v>
      </c>
      <c r="C201" t="s">
        <v>48</v>
      </c>
      <c r="D201">
        <v>1</v>
      </c>
      <c r="F201">
        <v>1</v>
      </c>
      <c r="G201" t="s">
        <v>126</v>
      </c>
      <c r="H201" t="s">
        <v>50</v>
      </c>
      <c r="I201" t="s">
        <v>90</v>
      </c>
      <c r="J201" t="s">
        <v>129</v>
      </c>
      <c r="K201" t="s">
        <v>45</v>
      </c>
      <c r="L201">
        <v>3</v>
      </c>
      <c r="N201">
        <v>1</v>
      </c>
      <c r="O201" t="s">
        <v>140</v>
      </c>
      <c r="P201" t="s">
        <v>141</v>
      </c>
      <c r="Q201" t="s">
        <v>93</v>
      </c>
      <c r="S201" t="s">
        <v>56</v>
      </c>
      <c r="T201">
        <v>3</v>
      </c>
      <c r="V201">
        <v>1</v>
      </c>
      <c r="W201" t="s">
        <v>57</v>
      </c>
      <c r="X201" t="s">
        <v>69</v>
      </c>
      <c r="AA201" t="s">
        <v>43</v>
      </c>
      <c r="AB201">
        <v>3</v>
      </c>
      <c r="AD201">
        <v>1</v>
      </c>
      <c r="AE201" t="s">
        <v>135</v>
      </c>
      <c r="AF201" t="s">
        <v>136</v>
      </c>
      <c r="AI201">
        <v>0</v>
      </c>
      <c r="AJ201">
        <v>17</v>
      </c>
    </row>
    <row r="202" spans="1:36" x14ac:dyDescent="0.25">
      <c r="A202" t="s">
        <v>1389</v>
      </c>
      <c r="B202">
        <v>200</v>
      </c>
      <c r="C202" t="s">
        <v>56</v>
      </c>
      <c r="D202">
        <v>3</v>
      </c>
      <c r="F202">
        <v>1</v>
      </c>
      <c r="G202" t="s">
        <v>57</v>
      </c>
      <c r="H202" t="s">
        <v>122</v>
      </c>
      <c r="K202" t="s">
        <v>43</v>
      </c>
      <c r="L202">
        <v>3</v>
      </c>
      <c r="N202">
        <v>1</v>
      </c>
      <c r="O202" t="s">
        <v>44</v>
      </c>
      <c r="P202" t="s">
        <v>99</v>
      </c>
      <c r="Q202" t="s">
        <v>75</v>
      </c>
      <c r="S202" t="s">
        <v>48</v>
      </c>
      <c r="T202">
        <v>1</v>
      </c>
      <c r="V202">
        <v>1</v>
      </c>
      <c r="W202" t="s">
        <v>126</v>
      </c>
      <c r="X202" t="s">
        <v>84</v>
      </c>
      <c r="AA202" t="s">
        <v>63</v>
      </c>
      <c r="AB202">
        <v>1</v>
      </c>
      <c r="AD202">
        <v>2</v>
      </c>
      <c r="AE202" t="s">
        <v>145</v>
      </c>
      <c r="AF202" t="s">
        <v>146</v>
      </c>
      <c r="AG202" t="s">
        <v>148</v>
      </c>
      <c r="AI202">
        <v>0</v>
      </c>
      <c r="AJ202">
        <v>15</v>
      </c>
    </row>
    <row r="203" spans="1:36" x14ac:dyDescent="0.25">
      <c r="A203" t="s">
        <v>1390</v>
      </c>
      <c r="B203">
        <v>201</v>
      </c>
      <c r="C203" t="s">
        <v>48</v>
      </c>
      <c r="D203">
        <v>3</v>
      </c>
      <c r="F203">
        <v>3</v>
      </c>
      <c r="G203" t="s">
        <v>126</v>
      </c>
      <c r="H203" t="s">
        <v>84</v>
      </c>
      <c r="I203" t="s">
        <v>90</v>
      </c>
      <c r="J203" t="s">
        <v>129</v>
      </c>
      <c r="K203" t="s">
        <v>38</v>
      </c>
      <c r="L203">
        <v>3</v>
      </c>
      <c r="M203">
        <v>3</v>
      </c>
      <c r="N203">
        <v>3</v>
      </c>
      <c r="O203" t="s">
        <v>39</v>
      </c>
      <c r="P203" t="s">
        <v>96</v>
      </c>
      <c r="Q203" t="s">
        <v>154</v>
      </c>
      <c r="R203" t="s">
        <v>42</v>
      </c>
      <c r="S203" t="s">
        <v>56</v>
      </c>
      <c r="T203">
        <v>3</v>
      </c>
      <c r="V203">
        <v>3</v>
      </c>
      <c r="W203" t="s">
        <v>57</v>
      </c>
      <c r="X203" t="s">
        <v>122</v>
      </c>
      <c r="Y203" t="s">
        <v>123</v>
      </c>
      <c r="Z203" t="s">
        <v>124</v>
      </c>
      <c r="AA203" t="s">
        <v>43</v>
      </c>
      <c r="AB203">
        <v>3</v>
      </c>
      <c r="AD203">
        <v>1</v>
      </c>
      <c r="AE203" t="s">
        <v>44</v>
      </c>
      <c r="AF203" t="s">
        <v>136</v>
      </c>
      <c r="AG203" t="s">
        <v>137</v>
      </c>
      <c r="AI203">
        <v>0</v>
      </c>
      <c r="AJ203">
        <v>35</v>
      </c>
    </row>
    <row r="204" spans="1:36" x14ac:dyDescent="0.25">
      <c r="A204" s="36" t="s">
        <v>1391</v>
      </c>
      <c r="B204">
        <v>202</v>
      </c>
      <c r="C204" t="s">
        <v>56</v>
      </c>
      <c r="D204">
        <v>3</v>
      </c>
      <c r="F204">
        <v>1</v>
      </c>
      <c r="G204" t="s">
        <v>57</v>
      </c>
      <c r="H204" t="s">
        <v>69</v>
      </c>
      <c r="I204" t="s">
        <v>85</v>
      </c>
      <c r="J204" t="s">
        <v>125</v>
      </c>
      <c r="K204" t="s">
        <v>43</v>
      </c>
      <c r="L204">
        <v>3</v>
      </c>
      <c r="N204">
        <v>2</v>
      </c>
      <c r="O204" t="s">
        <v>135</v>
      </c>
      <c r="P204" t="s">
        <v>99</v>
      </c>
      <c r="Q204" t="s">
        <v>75</v>
      </c>
      <c r="R204" t="s">
        <v>139</v>
      </c>
      <c r="S204" t="s">
        <v>48</v>
      </c>
      <c r="T204">
        <v>1</v>
      </c>
      <c r="V204">
        <v>1</v>
      </c>
      <c r="W204" t="s">
        <v>126</v>
      </c>
      <c r="X204" t="s">
        <v>84</v>
      </c>
      <c r="AA204" t="s">
        <v>227</v>
      </c>
      <c r="AB204">
        <v>1</v>
      </c>
      <c r="AC204">
        <v>2</v>
      </c>
      <c r="AD204">
        <v>3</v>
      </c>
      <c r="AE204" t="s">
        <v>229</v>
      </c>
      <c r="AF204" t="s">
        <v>232</v>
      </c>
      <c r="AG204" t="s">
        <v>235</v>
      </c>
      <c r="AI204">
        <v>0</v>
      </c>
      <c r="AJ204">
        <v>23</v>
      </c>
    </row>
    <row r="205" spans="1:36" x14ac:dyDescent="0.25">
      <c r="A205" t="s">
        <v>1392</v>
      </c>
      <c r="B205">
        <v>203</v>
      </c>
      <c r="C205" t="s">
        <v>33</v>
      </c>
      <c r="D205">
        <v>3</v>
      </c>
      <c r="F205">
        <v>3</v>
      </c>
      <c r="G205" t="s">
        <v>65</v>
      </c>
      <c r="H205" t="s">
        <v>66</v>
      </c>
      <c r="K205" t="s">
        <v>45</v>
      </c>
      <c r="L205">
        <v>3</v>
      </c>
      <c r="N205">
        <v>1</v>
      </c>
      <c r="O205" t="s">
        <v>140</v>
      </c>
      <c r="S205" t="s">
        <v>56</v>
      </c>
      <c r="T205">
        <v>2</v>
      </c>
      <c r="V205">
        <v>2</v>
      </c>
      <c r="W205" t="s">
        <v>120</v>
      </c>
      <c r="X205" t="s">
        <v>69</v>
      </c>
      <c r="Y205" t="s">
        <v>87</v>
      </c>
      <c r="AA205" t="s">
        <v>43</v>
      </c>
      <c r="AB205">
        <v>1</v>
      </c>
      <c r="AD205">
        <v>1</v>
      </c>
      <c r="AE205" t="s">
        <v>44</v>
      </c>
      <c r="AF205" t="s">
        <v>136</v>
      </c>
      <c r="AG205" t="s">
        <v>137</v>
      </c>
      <c r="AI205">
        <v>0</v>
      </c>
      <c r="AJ205">
        <v>17</v>
      </c>
    </row>
    <row r="206" spans="1:36" x14ac:dyDescent="0.25">
      <c r="A206" t="s">
        <v>1393</v>
      </c>
      <c r="B206">
        <v>204</v>
      </c>
      <c r="C206" t="s">
        <v>33</v>
      </c>
      <c r="D206">
        <v>1</v>
      </c>
      <c r="F206">
        <v>2</v>
      </c>
      <c r="G206" t="s">
        <v>65</v>
      </c>
      <c r="K206" t="s">
        <v>63</v>
      </c>
      <c r="L206">
        <v>3</v>
      </c>
      <c r="N206">
        <v>2</v>
      </c>
      <c r="O206" t="s">
        <v>103</v>
      </c>
      <c r="P206" t="s">
        <v>146</v>
      </c>
      <c r="S206" t="s">
        <v>56</v>
      </c>
      <c r="T206">
        <v>3</v>
      </c>
      <c r="V206">
        <v>1</v>
      </c>
      <c r="W206" t="s">
        <v>57</v>
      </c>
      <c r="X206" t="s">
        <v>122</v>
      </c>
      <c r="Y206" t="s">
        <v>87</v>
      </c>
      <c r="Z206" t="s">
        <v>125</v>
      </c>
      <c r="AA206" t="s">
        <v>43</v>
      </c>
      <c r="AB206">
        <v>2</v>
      </c>
      <c r="AD206">
        <v>1</v>
      </c>
      <c r="AE206" t="s">
        <v>44</v>
      </c>
      <c r="AF206" t="s">
        <v>136</v>
      </c>
      <c r="AG206" t="s">
        <v>75</v>
      </c>
      <c r="AH206" t="s">
        <v>139</v>
      </c>
      <c r="AI206">
        <v>0</v>
      </c>
      <c r="AJ206">
        <v>19</v>
      </c>
    </row>
    <row r="207" spans="1:36" x14ac:dyDescent="0.25">
      <c r="A207" t="s">
        <v>1394</v>
      </c>
      <c r="B207">
        <v>205</v>
      </c>
      <c r="C207" t="s">
        <v>56</v>
      </c>
      <c r="D207">
        <v>2</v>
      </c>
      <c r="F207">
        <v>1</v>
      </c>
      <c r="G207" t="s">
        <v>120</v>
      </c>
      <c r="H207" t="s">
        <v>69</v>
      </c>
      <c r="I207" t="s">
        <v>87</v>
      </c>
      <c r="K207" t="s">
        <v>43</v>
      </c>
      <c r="L207">
        <v>2</v>
      </c>
      <c r="N207">
        <v>1</v>
      </c>
      <c r="O207" t="s">
        <v>44</v>
      </c>
      <c r="P207" t="s">
        <v>136</v>
      </c>
      <c r="S207" t="s">
        <v>33</v>
      </c>
      <c r="T207">
        <v>2</v>
      </c>
      <c r="V207">
        <v>2</v>
      </c>
      <c r="W207" t="s">
        <v>65</v>
      </c>
      <c r="X207" t="s">
        <v>66</v>
      </c>
      <c r="AA207" t="s">
        <v>38</v>
      </c>
      <c r="AB207">
        <v>1</v>
      </c>
      <c r="AC207">
        <v>1</v>
      </c>
      <c r="AD207">
        <v>2</v>
      </c>
      <c r="AE207" t="s">
        <v>39</v>
      </c>
      <c r="AF207" t="s">
        <v>96</v>
      </c>
      <c r="AI207">
        <v>0</v>
      </c>
      <c r="AJ207">
        <v>14</v>
      </c>
    </row>
    <row r="208" spans="1:36" x14ac:dyDescent="0.25">
      <c r="A208" s="36" t="s">
        <v>1395</v>
      </c>
      <c r="B208">
        <v>206</v>
      </c>
      <c r="C208" t="s">
        <v>56</v>
      </c>
      <c r="D208">
        <v>3</v>
      </c>
      <c r="F208">
        <v>1</v>
      </c>
      <c r="G208" t="s">
        <v>57</v>
      </c>
      <c r="K208" t="s">
        <v>43</v>
      </c>
      <c r="L208">
        <v>3</v>
      </c>
      <c r="N208">
        <v>3</v>
      </c>
      <c r="O208" t="s">
        <v>135</v>
      </c>
      <c r="S208" t="s">
        <v>33</v>
      </c>
      <c r="T208">
        <v>2</v>
      </c>
      <c r="V208">
        <v>2</v>
      </c>
      <c r="W208" t="s">
        <v>65</v>
      </c>
      <c r="AA208" t="s">
        <v>227</v>
      </c>
      <c r="AB208">
        <v>1</v>
      </c>
      <c r="AC208">
        <v>3</v>
      </c>
      <c r="AD208">
        <v>3</v>
      </c>
      <c r="AE208" t="s">
        <v>229</v>
      </c>
      <c r="AI208">
        <v>0</v>
      </c>
      <c r="AJ208">
        <v>16</v>
      </c>
    </row>
    <row r="209" spans="1:36" x14ac:dyDescent="0.25">
      <c r="A209" t="s">
        <v>1396</v>
      </c>
      <c r="B209">
        <v>207</v>
      </c>
      <c r="C209" t="s">
        <v>56</v>
      </c>
      <c r="D209">
        <v>3</v>
      </c>
      <c r="F209">
        <v>1</v>
      </c>
      <c r="G209" t="s">
        <v>57</v>
      </c>
      <c r="H209" t="s">
        <v>122</v>
      </c>
      <c r="I209" t="s">
        <v>123</v>
      </c>
      <c r="J209" t="s">
        <v>125</v>
      </c>
      <c r="K209" t="s">
        <v>43</v>
      </c>
      <c r="L209">
        <v>2</v>
      </c>
      <c r="N209">
        <v>1</v>
      </c>
      <c r="O209" t="s">
        <v>135</v>
      </c>
      <c r="S209" t="s">
        <v>45</v>
      </c>
      <c r="T209">
        <v>3</v>
      </c>
      <c r="V209">
        <v>1</v>
      </c>
      <c r="W209" t="s">
        <v>140</v>
      </c>
      <c r="AA209" t="s">
        <v>63</v>
      </c>
      <c r="AB209">
        <v>2</v>
      </c>
      <c r="AD209">
        <v>3</v>
      </c>
      <c r="AE209" t="s">
        <v>145</v>
      </c>
      <c r="AF209" t="s">
        <v>146</v>
      </c>
      <c r="AG209" t="s">
        <v>148</v>
      </c>
      <c r="AI209">
        <v>0</v>
      </c>
      <c r="AJ209">
        <v>18</v>
      </c>
    </row>
    <row r="210" spans="1:36" x14ac:dyDescent="0.25">
      <c r="A210" t="s">
        <v>1397</v>
      </c>
      <c r="B210">
        <v>208</v>
      </c>
      <c r="C210" t="s">
        <v>45</v>
      </c>
      <c r="D210">
        <v>3</v>
      </c>
      <c r="F210">
        <v>1</v>
      </c>
      <c r="G210" t="s">
        <v>140</v>
      </c>
      <c r="H210" t="s">
        <v>76</v>
      </c>
      <c r="K210" t="s">
        <v>38</v>
      </c>
      <c r="L210">
        <v>1</v>
      </c>
      <c r="M210">
        <v>1</v>
      </c>
      <c r="N210">
        <v>2</v>
      </c>
      <c r="O210" t="s">
        <v>39</v>
      </c>
      <c r="P210" t="s">
        <v>96</v>
      </c>
      <c r="Q210" t="s">
        <v>154</v>
      </c>
      <c r="R210" t="s">
        <v>155</v>
      </c>
      <c r="S210" t="s">
        <v>56</v>
      </c>
      <c r="T210">
        <v>3</v>
      </c>
      <c r="V210">
        <v>1</v>
      </c>
      <c r="W210" t="s">
        <v>57</v>
      </c>
      <c r="X210" t="s">
        <v>121</v>
      </c>
      <c r="AA210" t="s">
        <v>43</v>
      </c>
      <c r="AB210">
        <v>1</v>
      </c>
      <c r="AD210">
        <v>1</v>
      </c>
      <c r="AE210" t="s">
        <v>73</v>
      </c>
      <c r="AI210">
        <v>0</v>
      </c>
      <c r="AJ210">
        <v>14</v>
      </c>
    </row>
    <row r="211" spans="1:36" x14ac:dyDescent="0.25">
      <c r="A211" s="36" t="s">
        <v>1398</v>
      </c>
      <c r="B211">
        <v>209</v>
      </c>
      <c r="C211" t="s">
        <v>56</v>
      </c>
      <c r="D211">
        <v>1</v>
      </c>
      <c r="F211">
        <v>1</v>
      </c>
      <c r="G211" t="s">
        <v>57</v>
      </c>
      <c r="H211" t="s">
        <v>122</v>
      </c>
      <c r="I211" t="s">
        <v>123</v>
      </c>
      <c r="J211" t="s">
        <v>88</v>
      </c>
      <c r="K211" t="s">
        <v>43</v>
      </c>
      <c r="L211">
        <v>1</v>
      </c>
      <c r="N211">
        <v>1</v>
      </c>
      <c r="O211" t="s">
        <v>73</v>
      </c>
      <c r="S211" t="s">
        <v>45</v>
      </c>
      <c r="T211">
        <v>3</v>
      </c>
      <c r="V211">
        <v>1</v>
      </c>
      <c r="W211" t="s">
        <v>140</v>
      </c>
      <c r="X211" t="s">
        <v>76</v>
      </c>
      <c r="AA211" t="s">
        <v>227</v>
      </c>
      <c r="AB211">
        <v>2</v>
      </c>
      <c r="AC211">
        <v>1</v>
      </c>
      <c r="AD211">
        <v>1</v>
      </c>
      <c r="AE211" t="s">
        <v>228</v>
      </c>
      <c r="AF211" t="s">
        <v>231</v>
      </c>
      <c r="AI211">
        <v>0</v>
      </c>
      <c r="AJ211">
        <v>12</v>
      </c>
    </row>
    <row r="212" spans="1:36" x14ac:dyDescent="0.25">
      <c r="A212" t="s">
        <v>1399</v>
      </c>
      <c r="B212">
        <v>210</v>
      </c>
      <c r="C212" t="s">
        <v>56</v>
      </c>
      <c r="D212">
        <v>3</v>
      </c>
      <c r="F212">
        <v>3</v>
      </c>
      <c r="G212" t="s">
        <v>57</v>
      </c>
      <c r="H212" t="s">
        <v>122</v>
      </c>
      <c r="I212" t="s">
        <v>123</v>
      </c>
      <c r="J212" t="s">
        <v>88</v>
      </c>
      <c r="K212" t="s">
        <v>43</v>
      </c>
      <c r="L212">
        <v>2</v>
      </c>
      <c r="N212">
        <v>1</v>
      </c>
      <c r="O212" t="s">
        <v>44</v>
      </c>
      <c r="P212" t="s">
        <v>136</v>
      </c>
      <c r="S212" t="s">
        <v>63</v>
      </c>
      <c r="T212">
        <v>3</v>
      </c>
      <c r="V212">
        <v>3</v>
      </c>
      <c r="W212" t="s">
        <v>145</v>
      </c>
      <c r="X212" t="s">
        <v>146</v>
      </c>
      <c r="Y212" t="s">
        <v>148</v>
      </c>
      <c r="Z212" t="s">
        <v>150</v>
      </c>
      <c r="AA212" t="s">
        <v>38</v>
      </c>
      <c r="AB212">
        <v>1</v>
      </c>
      <c r="AC212">
        <v>1</v>
      </c>
      <c r="AD212">
        <v>2</v>
      </c>
      <c r="AE212" t="s">
        <v>39</v>
      </c>
      <c r="AF212" t="s">
        <v>96</v>
      </c>
      <c r="AI212">
        <v>0</v>
      </c>
      <c r="AJ212">
        <v>24</v>
      </c>
    </row>
    <row r="213" spans="1:36" x14ac:dyDescent="0.25">
      <c r="A213" s="36" t="s">
        <v>1400</v>
      </c>
      <c r="B213">
        <v>211</v>
      </c>
      <c r="C213" t="s">
        <v>56</v>
      </c>
      <c r="D213">
        <v>3</v>
      </c>
      <c r="F213">
        <v>1</v>
      </c>
      <c r="G213" t="s">
        <v>57</v>
      </c>
      <c r="H213" t="s">
        <v>122</v>
      </c>
      <c r="I213" t="s">
        <v>87</v>
      </c>
      <c r="K213" t="s">
        <v>43</v>
      </c>
      <c r="L213">
        <v>3</v>
      </c>
      <c r="N213">
        <v>1</v>
      </c>
      <c r="O213" t="s">
        <v>135</v>
      </c>
      <c r="P213" t="s">
        <v>136</v>
      </c>
      <c r="Q213" t="s">
        <v>137</v>
      </c>
      <c r="R213" t="s">
        <v>138</v>
      </c>
      <c r="S213" t="s">
        <v>63</v>
      </c>
      <c r="T213">
        <v>1</v>
      </c>
      <c r="V213">
        <v>2</v>
      </c>
      <c r="W213" t="s">
        <v>145</v>
      </c>
      <c r="X213" t="s">
        <v>146</v>
      </c>
      <c r="AA213" t="s">
        <v>227</v>
      </c>
      <c r="AB213">
        <v>2</v>
      </c>
      <c r="AC213">
        <v>2</v>
      </c>
      <c r="AD213">
        <v>3</v>
      </c>
      <c r="AE213" t="s">
        <v>229</v>
      </c>
      <c r="AI213">
        <v>0</v>
      </c>
      <c r="AJ213">
        <v>21</v>
      </c>
    </row>
    <row r="214" spans="1:36" x14ac:dyDescent="0.25">
      <c r="A214" s="36" t="s">
        <v>1401</v>
      </c>
      <c r="B214">
        <v>212</v>
      </c>
      <c r="C214" t="s">
        <v>56</v>
      </c>
      <c r="D214">
        <v>3</v>
      </c>
      <c r="F214">
        <v>1</v>
      </c>
      <c r="G214" t="s">
        <v>57</v>
      </c>
      <c r="H214" t="s">
        <v>122</v>
      </c>
      <c r="I214" t="s">
        <v>85</v>
      </c>
      <c r="K214" t="s">
        <v>43</v>
      </c>
      <c r="L214">
        <v>1</v>
      </c>
      <c r="N214">
        <v>1</v>
      </c>
      <c r="O214" t="s">
        <v>44</v>
      </c>
      <c r="P214" t="s">
        <v>136</v>
      </c>
      <c r="Q214" t="s">
        <v>137</v>
      </c>
      <c r="S214" t="s">
        <v>38</v>
      </c>
      <c r="T214">
        <v>1</v>
      </c>
      <c r="U214">
        <v>1</v>
      </c>
      <c r="V214">
        <v>2</v>
      </c>
      <c r="W214" t="s">
        <v>39</v>
      </c>
      <c r="X214" t="s">
        <v>96</v>
      </c>
      <c r="AA214" t="s">
        <v>227</v>
      </c>
      <c r="AB214">
        <v>2</v>
      </c>
      <c r="AC214">
        <v>1</v>
      </c>
      <c r="AD214">
        <v>2</v>
      </c>
      <c r="AE214" t="s">
        <v>229</v>
      </c>
      <c r="AF214" t="s">
        <v>231</v>
      </c>
      <c r="AG214" t="s">
        <v>235</v>
      </c>
      <c r="AI214">
        <v>0</v>
      </c>
      <c r="AJ214">
        <v>17</v>
      </c>
    </row>
    <row r="215" spans="1:36" x14ac:dyDescent="0.25">
      <c r="A215" t="s">
        <v>1402</v>
      </c>
      <c r="B215">
        <v>213</v>
      </c>
      <c r="C215" t="s">
        <v>56</v>
      </c>
      <c r="D215">
        <v>3</v>
      </c>
      <c r="F215">
        <v>2</v>
      </c>
      <c r="G215" t="s">
        <v>120</v>
      </c>
      <c r="H215" t="s">
        <v>121</v>
      </c>
      <c r="I215" t="s">
        <v>123</v>
      </c>
      <c r="K215" t="s">
        <v>45</v>
      </c>
      <c r="L215">
        <v>3</v>
      </c>
      <c r="N215">
        <v>1</v>
      </c>
      <c r="O215" t="s">
        <v>140</v>
      </c>
      <c r="P215" t="s">
        <v>141</v>
      </c>
      <c r="Q215" t="s">
        <v>93</v>
      </c>
      <c r="R215" t="s">
        <v>143</v>
      </c>
      <c r="S215" t="s">
        <v>48</v>
      </c>
      <c r="T215">
        <v>2</v>
      </c>
      <c r="V215">
        <v>2</v>
      </c>
      <c r="W215" t="s">
        <v>126</v>
      </c>
      <c r="X215" t="s">
        <v>50</v>
      </c>
      <c r="Y215" t="s">
        <v>90</v>
      </c>
      <c r="Z215" t="s">
        <v>129</v>
      </c>
      <c r="AA215" t="s">
        <v>33</v>
      </c>
      <c r="AB215">
        <v>1</v>
      </c>
      <c r="AD215">
        <v>3</v>
      </c>
      <c r="AE215" t="s">
        <v>65</v>
      </c>
      <c r="AI215">
        <v>0</v>
      </c>
      <c r="AJ215">
        <v>21</v>
      </c>
    </row>
    <row r="216" spans="1:36" x14ac:dyDescent="0.25">
      <c r="A216" t="s">
        <v>1403</v>
      </c>
      <c r="B216">
        <v>214</v>
      </c>
      <c r="C216" t="s">
        <v>56</v>
      </c>
      <c r="D216">
        <v>3</v>
      </c>
      <c r="F216">
        <v>1</v>
      </c>
      <c r="G216" t="s">
        <v>120</v>
      </c>
      <c r="H216" t="s">
        <v>121</v>
      </c>
      <c r="I216" t="s">
        <v>123</v>
      </c>
      <c r="J216" t="s">
        <v>124</v>
      </c>
      <c r="K216" t="s">
        <v>45</v>
      </c>
      <c r="L216">
        <v>3</v>
      </c>
      <c r="N216">
        <v>2</v>
      </c>
      <c r="O216" t="s">
        <v>140</v>
      </c>
      <c r="P216" t="s">
        <v>141</v>
      </c>
      <c r="Q216" t="s">
        <v>93</v>
      </c>
      <c r="R216" t="s">
        <v>143</v>
      </c>
      <c r="S216" t="s">
        <v>48</v>
      </c>
      <c r="T216">
        <v>2</v>
      </c>
      <c r="V216">
        <v>3</v>
      </c>
      <c r="W216" t="s">
        <v>126</v>
      </c>
      <c r="X216" t="s">
        <v>84</v>
      </c>
      <c r="Y216" t="s">
        <v>90</v>
      </c>
      <c r="Z216" t="s">
        <v>128</v>
      </c>
      <c r="AA216" t="s">
        <v>43</v>
      </c>
      <c r="AB216">
        <v>1</v>
      </c>
      <c r="AD216">
        <v>1</v>
      </c>
      <c r="AE216" t="s">
        <v>73</v>
      </c>
      <c r="AF216" t="s">
        <v>136</v>
      </c>
      <c r="AI216">
        <v>0</v>
      </c>
      <c r="AJ216">
        <v>23</v>
      </c>
    </row>
    <row r="217" spans="1:36" x14ac:dyDescent="0.25">
      <c r="A217" t="s">
        <v>1404</v>
      </c>
      <c r="B217">
        <v>215</v>
      </c>
      <c r="C217" t="s">
        <v>48</v>
      </c>
      <c r="D217">
        <v>3</v>
      </c>
      <c r="F217">
        <v>3</v>
      </c>
      <c r="G217" t="s">
        <v>126</v>
      </c>
      <c r="H217" t="s">
        <v>84</v>
      </c>
      <c r="I217" t="s">
        <v>90</v>
      </c>
      <c r="J217" t="s">
        <v>128</v>
      </c>
      <c r="K217" t="s">
        <v>63</v>
      </c>
      <c r="L217">
        <v>1</v>
      </c>
      <c r="N217">
        <v>1</v>
      </c>
      <c r="O217" t="s">
        <v>103</v>
      </c>
      <c r="P217" t="s">
        <v>146</v>
      </c>
      <c r="S217" t="s">
        <v>56</v>
      </c>
      <c r="T217">
        <v>3</v>
      </c>
      <c r="V217">
        <v>1</v>
      </c>
      <c r="W217" t="s">
        <v>57</v>
      </c>
      <c r="X217" t="s">
        <v>122</v>
      </c>
      <c r="Y217" t="s">
        <v>123</v>
      </c>
      <c r="Z217" t="s">
        <v>124</v>
      </c>
      <c r="AA217" t="s">
        <v>45</v>
      </c>
      <c r="AB217">
        <v>3</v>
      </c>
      <c r="AD217">
        <v>3</v>
      </c>
      <c r="AE217" t="s">
        <v>86</v>
      </c>
      <c r="AF217" t="s">
        <v>76</v>
      </c>
      <c r="AG217" t="s">
        <v>93</v>
      </c>
      <c r="AH217" t="s">
        <v>144</v>
      </c>
      <c r="AI217">
        <v>0</v>
      </c>
      <c r="AJ217">
        <v>34</v>
      </c>
    </row>
    <row r="218" spans="1:36" x14ac:dyDescent="0.25">
      <c r="A218" t="s">
        <v>1405</v>
      </c>
      <c r="B218">
        <v>216</v>
      </c>
      <c r="C218" t="s">
        <v>56</v>
      </c>
      <c r="D218">
        <v>3</v>
      </c>
      <c r="F218">
        <v>1</v>
      </c>
      <c r="G218" t="s">
        <v>57</v>
      </c>
      <c r="H218" t="s">
        <v>122</v>
      </c>
      <c r="I218" t="s">
        <v>123</v>
      </c>
      <c r="K218" t="s">
        <v>45</v>
      </c>
      <c r="L218">
        <v>3</v>
      </c>
      <c r="N218">
        <v>1</v>
      </c>
      <c r="O218" t="s">
        <v>86</v>
      </c>
      <c r="P218" t="s">
        <v>141</v>
      </c>
      <c r="Q218" t="s">
        <v>93</v>
      </c>
      <c r="R218" t="s">
        <v>143</v>
      </c>
      <c r="S218" t="s">
        <v>48</v>
      </c>
      <c r="T218">
        <v>2</v>
      </c>
      <c r="V218">
        <v>2</v>
      </c>
      <c r="W218" t="s">
        <v>126</v>
      </c>
      <c r="X218" t="s">
        <v>84</v>
      </c>
      <c r="Y218" t="s">
        <v>90</v>
      </c>
      <c r="Z218" t="s">
        <v>128</v>
      </c>
      <c r="AA218" t="s">
        <v>38</v>
      </c>
      <c r="AB218">
        <v>1</v>
      </c>
      <c r="AC218">
        <v>1</v>
      </c>
      <c r="AD218">
        <v>2</v>
      </c>
      <c r="AE218" t="s">
        <v>39</v>
      </c>
      <c r="AF218" t="s">
        <v>96</v>
      </c>
      <c r="AI218">
        <v>0</v>
      </c>
      <c r="AJ218">
        <v>21</v>
      </c>
    </row>
    <row r="219" spans="1:36" x14ac:dyDescent="0.25">
      <c r="A219" s="36" t="s">
        <v>1406</v>
      </c>
      <c r="B219">
        <v>217</v>
      </c>
      <c r="C219" t="s">
        <v>48</v>
      </c>
      <c r="D219">
        <v>3</v>
      </c>
      <c r="F219">
        <v>1</v>
      </c>
      <c r="G219" t="s">
        <v>126</v>
      </c>
      <c r="H219" t="s">
        <v>50</v>
      </c>
      <c r="I219" t="s">
        <v>90</v>
      </c>
      <c r="J219" t="s">
        <v>128</v>
      </c>
      <c r="K219" t="s">
        <v>227</v>
      </c>
      <c r="L219">
        <v>2</v>
      </c>
      <c r="M219">
        <v>2</v>
      </c>
      <c r="N219">
        <v>3</v>
      </c>
      <c r="O219" t="s">
        <v>228</v>
      </c>
      <c r="P219" t="s">
        <v>231</v>
      </c>
      <c r="S219" t="s">
        <v>56</v>
      </c>
      <c r="T219">
        <v>3</v>
      </c>
      <c r="V219">
        <v>1</v>
      </c>
      <c r="W219" t="s">
        <v>57</v>
      </c>
      <c r="X219" t="s">
        <v>122</v>
      </c>
      <c r="Y219" t="s">
        <v>123</v>
      </c>
      <c r="AA219" t="s">
        <v>45</v>
      </c>
      <c r="AB219">
        <v>2</v>
      </c>
      <c r="AD219">
        <v>1</v>
      </c>
      <c r="AE219" t="s">
        <v>86</v>
      </c>
      <c r="AI219">
        <v>0</v>
      </c>
      <c r="AJ219">
        <v>19</v>
      </c>
    </row>
    <row r="220" spans="1:36" x14ac:dyDescent="0.25">
      <c r="A220" t="s">
        <v>1407</v>
      </c>
      <c r="B220">
        <v>218</v>
      </c>
      <c r="C220" t="s">
        <v>33</v>
      </c>
      <c r="D220">
        <v>3</v>
      </c>
      <c r="F220">
        <v>2</v>
      </c>
      <c r="G220" t="s">
        <v>65</v>
      </c>
      <c r="H220" t="s">
        <v>66</v>
      </c>
      <c r="K220" t="s">
        <v>43</v>
      </c>
      <c r="L220">
        <v>3</v>
      </c>
      <c r="N220">
        <v>1</v>
      </c>
      <c r="O220" t="s">
        <v>73</v>
      </c>
      <c r="P220" t="s">
        <v>136</v>
      </c>
      <c r="Q220" t="s">
        <v>75</v>
      </c>
      <c r="R220" t="s">
        <v>139</v>
      </c>
      <c r="S220" t="s">
        <v>56</v>
      </c>
      <c r="T220">
        <v>3</v>
      </c>
      <c r="V220">
        <v>1</v>
      </c>
      <c r="W220" t="s">
        <v>120</v>
      </c>
      <c r="X220" t="s">
        <v>69</v>
      </c>
      <c r="Y220" t="s">
        <v>87</v>
      </c>
      <c r="AA220" t="s">
        <v>45</v>
      </c>
      <c r="AB220">
        <v>3</v>
      </c>
      <c r="AD220">
        <v>1</v>
      </c>
      <c r="AE220" t="s">
        <v>140</v>
      </c>
      <c r="AI220">
        <v>0</v>
      </c>
      <c r="AJ220">
        <v>20</v>
      </c>
    </row>
    <row r="221" spans="1:36" x14ac:dyDescent="0.25">
      <c r="A221" t="s">
        <v>1408</v>
      </c>
      <c r="B221">
        <v>219</v>
      </c>
      <c r="C221" t="s">
        <v>56</v>
      </c>
      <c r="D221">
        <v>3</v>
      </c>
      <c r="F221">
        <v>3</v>
      </c>
      <c r="G221" t="s">
        <v>57</v>
      </c>
      <c r="H221" t="s">
        <v>122</v>
      </c>
      <c r="I221" t="s">
        <v>87</v>
      </c>
      <c r="J221" t="s">
        <v>124</v>
      </c>
      <c r="K221" t="s">
        <v>45</v>
      </c>
      <c r="L221">
        <v>3</v>
      </c>
      <c r="N221">
        <v>3</v>
      </c>
      <c r="O221" t="s">
        <v>140</v>
      </c>
      <c r="P221" t="s">
        <v>141</v>
      </c>
      <c r="Q221" t="s">
        <v>93</v>
      </c>
      <c r="R221" t="s">
        <v>94</v>
      </c>
      <c r="S221" t="s">
        <v>33</v>
      </c>
      <c r="T221">
        <v>1</v>
      </c>
      <c r="V221">
        <v>3</v>
      </c>
      <c r="W221" t="s">
        <v>65</v>
      </c>
      <c r="AA221" t="s">
        <v>63</v>
      </c>
      <c r="AB221">
        <v>3</v>
      </c>
      <c r="AD221">
        <v>3</v>
      </c>
      <c r="AE221" t="s">
        <v>145</v>
      </c>
      <c r="AF221" t="s">
        <v>146</v>
      </c>
      <c r="AG221" t="s">
        <v>148</v>
      </c>
      <c r="AH221" t="s">
        <v>150</v>
      </c>
      <c r="AI221">
        <v>0</v>
      </c>
      <c r="AJ221">
        <v>29</v>
      </c>
    </row>
    <row r="222" spans="1:36" x14ac:dyDescent="0.25">
      <c r="A222" t="s">
        <v>1409</v>
      </c>
      <c r="B222">
        <v>220</v>
      </c>
      <c r="C222" t="s">
        <v>33</v>
      </c>
      <c r="D222">
        <v>2</v>
      </c>
      <c r="F222">
        <v>3</v>
      </c>
      <c r="G222" t="s">
        <v>65</v>
      </c>
      <c r="H222" t="s">
        <v>35</v>
      </c>
      <c r="K222" t="s">
        <v>38</v>
      </c>
      <c r="L222">
        <v>1</v>
      </c>
      <c r="M222">
        <v>1</v>
      </c>
      <c r="N222">
        <v>2</v>
      </c>
      <c r="O222" t="s">
        <v>39</v>
      </c>
      <c r="P222" t="s">
        <v>96</v>
      </c>
      <c r="S222" t="s">
        <v>56</v>
      </c>
      <c r="T222">
        <v>3</v>
      </c>
      <c r="V222">
        <v>1</v>
      </c>
      <c r="W222" t="s">
        <v>57</v>
      </c>
      <c r="X222" t="s">
        <v>69</v>
      </c>
      <c r="AA222" t="s">
        <v>45</v>
      </c>
      <c r="AB222">
        <v>2</v>
      </c>
      <c r="AD222">
        <v>1</v>
      </c>
      <c r="AE222" t="s">
        <v>86</v>
      </c>
      <c r="AI222">
        <v>0</v>
      </c>
      <c r="AJ222">
        <v>14</v>
      </c>
    </row>
    <row r="223" spans="1:36" x14ac:dyDescent="0.25">
      <c r="A223" s="36" t="s">
        <v>1410</v>
      </c>
      <c r="B223">
        <v>221</v>
      </c>
      <c r="C223" t="s">
        <v>33</v>
      </c>
      <c r="D223">
        <v>2</v>
      </c>
      <c r="F223">
        <v>2</v>
      </c>
      <c r="G223" t="s">
        <v>65</v>
      </c>
      <c r="H223" t="s">
        <v>35</v>
      </c>
      <c r="K223" t="s">
        <v>227</v>
      </c>
      <c r="L223">
        <v>1</v>
      </c>
      <c r="M223">
        <v>1</v>
      </c>
      <c r="N223">
        <v>2</v>
      </c>
      <c r="O223" t="s">
        <v>228</v>
      </c>
      <c r="P223" t="s">
        <v>231</v>
      </c>
      <c r="S223" t="s">
        <v>56</v>
      </c>
      <c r="T223">
        <v>2</v>
      </c>
      <c r="V223">
        <v>1</v>
      </c>
      <c r="W223" t="s">
        <v>57</v>
      </c>
      <c r="AA223" t="s">
        <v>45</v>
      </c>
      <c r="AB223">
        <v>3</v>
      </c>
      <c r="AD223">
        <v>1</v>
      </c>
      <c r="AE223" t="s">
        <v>140</v>
      </c>
      <c r="AI223">
        <v>0</v>
      </c>
      <c r="AJ223">
        <v>12</v>
      </c>
    </row>
    <row r="224" spans="1:36" x14ac:dyDescent="0.25">
      <c r="A224" t="s">
        <v>1411</v>
      </c>
      <c r="B224">
        <v>222</v>
      </c>
      <c r="C224" t="s">
        <v>56</v>
      </c>
      <c r="D224">
        <v>3</v>
      </c>
      <c r="F224">
        <v>1</v>
      </c>
      <c r="G224" t="s">
        <v>57</v>
      </c>
      <c r="H224" t="s">
        <v>122</v>
      </c>
      <c r="I224" t="s">
        <v>87</v>
      </c>
      <c r="K224" t="s">
        <v>45</v>
      </c>
      <c r="L224">
        <v>3</v>
      </c>
      <c r="N224">
        <v>1</v>
      </c>
      <c r="O224" t="s">
        <v>86</v>
      </c>
      <c r="P224" t="s">
        <v>141</v>
      </c>
      <c r="S224" t="s">
        <v>43</v>
      </c>
      <c r="T224">
        <v>1</v>
      </c>
      <c r="V224">
        <v>3</v>
      </c>
      <c r="W224" t="s">
        <v>135</v>
      </c>
      <c r="X224" t="s">
        <v>136</v>
      </c>
      <c r="Y224" t="s">
        <v>137</v>
      </c>
      <c r="AA224" t="s">
        <v>63</v>
      </c>
      <c r="AB224">
        <v>1</v>
      </c>
      <c r="AD224">
        <v>1</v>
      </c>
      <c r="AE224" t="s">
        <v>145</v>
      </c>
      <c r="AF224" t="s">
        <v>146</v>
      </c>
      <c r="AG224" t="s">
        <v>148</v>
      </c>
      <c r="AI224">
        <v>0</v>
      </c>
      <c r="AJ224">
        <v>17</v>
      </c>
    </row>
    <row r="225" spans="1:36" x14ac:dyDescent="0.25">
      <c r="A225" t="s">
        <v>1412</v>
      </c>
      <c r="B225">
        <v>223</v>
      </c>
      <c r="C225" t="s">
        <v>43</v>
      </c>
      <c r="D225">
        <v>2</v>
      </c>
      <c r="F225">
        <v>1</v>
      </c>
      <c r="G225" t="s">
        <v>135</v>
      </c>
      <c r="H225" t="s">
        <v>136</v>
      </c>
      <c r="I225" t="s">
        <v>75</v>
      </c>
      <c r="K225" t="s">
        <v>38</v>
      </c>
      <c r="L225">
        <v>1</v>
      </c>
      <c r="M225">
        <v>1</v>
      </c>
      <c r="N225">
        <v>2</v>
      </c>
      <c r="O225" t="s">
        <v>67</v>
      </c>
      <c r="P225" t="s">
        <v>96</v>
      </c>
      <c r="Q225" t="s">
        <v>154</v>
      </c>
      <c r="S225" t="s">
        <v>56</v>
      </c>
      <c r="T225">
        <v>1</v>
      </c>
      <c r="V225">
        <v>2</v>
      </c>
      <c r="W225" t="s">
        <v>120</v>
      </c>
      <c r="X225" t="s">
        <v>69</v>
      </c>
      <c r="Y225" t="s">
        <v>123</v>
      </c>
      <c r="AA225" t="s">
        <v>45</v>
      </c>
      <c r="AB225">
        <v>2</v>
      </c>
      <c r="AD225">
        <v>1</v>
      </c>
      <c r="AE225" t="s">
        <v>140</v>
      </c>
      <c r="AI225">
        <v>0</v>
      </c>
      <c r="AJ225">
        <v>15</v>
      </c>
    </row>
    <row r="226" spans="1:36" x14ac:dyDescent="0.25">
      <c r="A226" s="36" t="s">
        <v>1413</v>
      </c>
      <c r="B226">
        <v>224</v>
      </c>
      <c r="C226" t="s">
        <v>56</v>
      </c>
      <c r="D226">
        <v>3</v>
      </c>
      <c r="F226">
        <v>1</v>
      </c>
      <c r="G226" t="s">
        <v>57</v>
      </c>
      <c r="H226" t="s">
        <v>122</v>
      </c>
      <c r="I226" t="s">
        <v>85</v>
      </c>
      <c r="K226" t="s">
        <v>45</v>
      </c>
      <c r="L226">
        <v>2</v>
      </c>
      <c r="N226">
        <v>1</v>
      </c>
      <c r="O226" t="s">
        <v>140</v>
      </c>
      <c r="S226" t="s">
        <v>43</v>
      </c>
      <c r="T226">
        <v>2</v>
      </c>
      <c r="V226">
        <v>1</v>
      </c>
      <c r="W226" t="s">
        <v>135</v>
      </c>
      <c r="AA226" t="s">
        <v>227</v>
      </c>
      <c r="AB226">
        <v>1</v>
      </c>
      <c r="AC226">
        <v>1</v>
      </c>
      <c r="AD226">
        <v>3</v>
      </c>
      <c r="AE226" t="s">
        <v>228</v>
      </c>
      <c r="AF226" t="s">
        <v>231</v>
      </c>
      <c r="AG226" t="s">
        <v>235</v>
      </c>
      <c r="AI226">
        <v>0</v>
      </c>
      <c r="AJ226">
        <v>14</v>
      </c>
    </row>
    <row r="227" spans="1:36" x14ac:dyDescent="0.25">
      <c r="A227" t="s">
        <v>1414</v>
      </c>
      <c r="B227">
        <v>225</v>
      </c>
      <c r="C227" t="s">
        <v>63</v>
      </c>
      <c r="D227">
        <v>2</v>
      </c>
      <c r="F227">
        <v>2</v>
      </c>
      <c r="G227" t="s">
        <v>145</v>
      </c>
      <c r="H227" t="s">
        <v>146</v>
      </c>
      <c r="I227" t="s">
        <v>104</v>
      </c>
      <c r="J227" t="s">
        <v>150</v>
      </c>
      <c r="K227" t="s">
        <v>38</v>
      </c>
      <c r="L227">
        <v>2</v>
      </c>
      <c r="M227">
        <v>1</v>
      </c>
      <c r="N227">
        <v>2</v>
      </c>
      <c r="O227" t="s">
        <v>39</v>
      </c>
      <c r="P227" t="s">
        <v>96</v>
      </c>
      <c r="Q227" t="s">
        <v>154</v>
      </c>
      <c r="R227" t="s">
        <v>42</v>
      </c>
      <c r="S227" t="s">
        <v>56</v>
      </c>
      <c r="T227">
        <v>3</v>
      </c>
      <c r="V227">
        <v>1</v>
      </c>
      <c r="W227" t="s">
        <v>57</v>
      </c>
      <c r="X227" t="s">
        <v>122</v>
      </c>
      <c r="Y227" t="s">
        <v>123</v>
      </c>
      <c r="Z227" t="s">
        <v>124</v>
      </c>
      <c r="AA227" t="s">
        <v>45</v>
      </c>
      <c r="AB227">
        <v>3</v>
      </c>
      <c r="AD227">
        <v>1</v>
      </c>
      <c r="AE227" t="s">
        <v>86</v>
      </c>
      <c r="AI227">
        <v>0</v>
      </c>
      <c r="AJ227">
        <v>21</v>
      </c>
    </row>
    <row r="228" spans="1:36" x14ac:dyDescent="0.25">
      <c r="A228" s="36" t="s">
        <v>1415</v>
      </c>
      <c r="B228">
        <v>226</v>
      </c>
      <c r="C228" t="s">
        <v>56</v>
      </c>
      <c r="D228">
        <v>3</v>
      </c>
      <c r="F228">
        <v>1</v>
      </c>
      <c r="G228" t="s">
        <v>57</v>
      </c>
      <c r="H228" t="s">
        <v>122</v>
      </c>
      <c r="I228" t="s">
        <v>85</v>
      </c>
      <c r="K228" t="s">
        <v>45</v>
      </c>
      <c r="L228">
        <v>3</v>
      </c>
      <c r="N228">
        <v>1</v>
      </c>
      <c r="O228" t="s">
        <v>86</v>
      </c>
      <c r="P228" t="s">
        <v>141</v>
      </c>
      <c r="Q228" t="s">
        <v>102</v>
      </c>
      <c r="S228" t="s">
        <v>63</v>
      </c>
      <c r="T228">
        <v>1</v>
      </c>
      <c r="V228">
        <v>2</v>
      </c>
      <c r="W228" t="s">
        <v>145</v>
      </c>
      <c r="X228" t="s">
        <v>146</v>
      </c>
      <c r="AA228" t="s">
        <v>227</v>
      </c>
      <c r="AB228">
        <v>1</v>
      </c>
      <c r="AC228">
        <v>1</v>
      </c>
      <c r="AD228">
        <v>3</v>
      </c>
      <c r="AE228" t="s">
        <v>229</v>
      </c>
      <c r="AF228" t="s">
        <v>231</v>
      </c>
      <c r="AG228" t="s">
        <v>235</v>
      </c>
      <c r="AI228">
        <v>0</v>
      </c>
      <c r="AJ228">
        <v>18</v>
      </c>
    </row>
    <row r="229" spans="1:36" x14ac:dyDescent="0.25">
      <c r="A229" s="36" t="s">
        <v>1416</v>
      </c>
      <c r="B229">
        <v>227</v>
      </c>
      <c r="C229" t="s">
        <v>38</v>
      </c>
      <c r="D229">
        <v>1</v>
      </c>
      <c r="E229">
        <v>1</v>
      </c>
      <c r="F229">
        <v>2</v>
      </c>
      <c r="G229" t="s">
        <v>39</v>
      </c>
      <c r="H229" t="s">
        <v>96</v>
      </c>
      <c r="K229" t="s">
        <v>227</v>
      </c>
      <c r="L229">
        <v>1</v>
      </c>
      <c r="M229">
        <v>1</v>
      </c>
      <c r="N229">
        <v>3</v>
      </c>
      <c r="O229" t="s">
        <v>228</v>
      </c>
      <c r="P229" t="s">
        <v>231</v>
      </c>
      <c r="Q229" t="s">
        <v>234</v>
      </c>
      <c r="S229" t="s">
        <v>56</v>
      </c>
      <c r="T229">
        <v>3</v>
      </c>
      <c r="V229">
        <v>1</v>
      </c>
      <c r="W229" t="s">
        <v>57</v>
      </c>
      <c r="X229" t="s">
        <v>69</v>
      </c>
      <c r="AA229" t="s">
        <v>45</v>
      </c>
      <c r="AB229">
        <v>2</v>
      </c>
      <c r="AD229">
        <v>1</v>
      </c>
      <c r="AE229" t="s">
        <v>140</v>
      </c>
      <c r="AI229">
        <v>0</v>
      </c>
      <c r="AJ229">
        <v>14</v>
      </c>
    </row>
    <row r="230" spans="1:36" x14ac:dyDescent="0.25">
      <c r="A230" t="s">
        <v>1417</v>
      </c>
      <c r="B230">
        <v>228</v>
      </c>
      <c r="C230" t="s">
        <v>56</v>
      </c>
      <c r="D230">
        <v>3</v>
      </c>
      <c r="F230">
        <v>1</v>
      </c>
      <c r="G230" t="s">
        <v>120</v>
      </c>
      <c r="H230" t="s">
        <v>122</v>
      </c>
      <c r="I230" t="s">
        <v>87</v>
      </c>
      <c r="J230" t="s">
        <v>125</v>
      </c>
      <c r="K230" t="s">
        <v>63</v>
      </c>
      <c r="L230">
        <v>2</v>
      </c>
      <c r="N230">
        <v>1</v>
      </c>
      <c r="O230" t="s">
        <v>145</v>
      </c>
      <c r="P230" t="s">
        <v>91</v>
      </c>
      <c r="Q230" t="s">
        <v>148</v>
      </c>
      <c r="S230" t="s">
        <v>48</v>
      </c>
      <c r="T230">
        <v>3</v>
      </c>
      <c r="V230">
        <v>1</v>
      </c>
      <c r="W230" t="s">
        <v>49</v>
      </c>
      <c r="X230" t="s">
        <v>84</v>
      </c>
      <c r="Y230" t="s">
        <v>127</v>
      </c>
      <c r="Z230" t="s">
        <v>52</v>
      </c>
      <c r="AA230" t="s">
        <v>33</v>
      </c>
      <c r="AB230">
        <v>2</v>
      </c>
      <c r="AD230">
        <v>2</v>
      </c>
      <c r="AE230" t="s">
        <v>34</v>
      </c>
      <c r="AI230">
        <v>0</v>
      </c>
      <c r="AJ230">
        <v>19</v>
      </c>
    </row>
    <row r="231" spans="1:36" x14ac:dyDescent="0.25">
      <c r="A231" t="s">
        <v>1418</v>
      </c>
      <c r="B231">
        <v>229</v>
      </c>
      <c r="C231" t="s">
        <v>56</v>
      </c>
      <c r="D231">
        <v>2</v>
      </c>
      <c r="F231">
        <v>2</v>
      </c>
      <c r="G231" t="s">
        <v>120</v>
      </c>
      <c r="H231" t="s">
        <v>122</v>
      </c>
      <c r="I231" t="s">
        <v>87</v>
      </c>
      <c r="K231" t="s">
        <v>63</v>
      </c>
      <c r="L231">
        <v>2</v>
      </c>
      <c r="N231">
        <v>1</v>
      </c>
      <c r="O231" t="s">
        <v>145</v>
      </c>
      <c r="P231" t="s">
        <v>91</v>
      </c>
      <c r="Q231" t="s">
        <v>147</v>
      </c>
      <c r="R231" t="s">
        <v>151</v>
      </c>
      <c r="S231" t="s">
        <v>48</v>
      </c>
      <c r="T231">
        <v>2</v>
      </c>
      <c r="V231">
        <v>1</v>
      </c>
      <c r="W231" t="s">
        <v>49</v>
      </c>
      <c r="X231" t="s">
        <v>84</v>
      </c>
      <c r="Y231" t="s">
        <v>127</v>
      </c>
      <c r="Z231" t="s">
        <v>52</v>
      </c>
      <c r="AA231" t="s">
        <v>43</v>
      </c>
      <c r="AB231">
        <v>2</v>
      </c>
      <c r="AD231">
        <v>1</v>
      </c>
      <c r="AE231" t="s">
        <v>73</v>
      </c>
      <c r="AF231" t="s">
        <v>74</v>
      </c>
      <c r="AI231">
        <v>0</v>
      </c>
      <c r="AJ231">
        <v>18</v>
      </c>
    </row>
    <row r="232" spans="1:36" x14ac:dyDescent="0.25">
      <c r="A232" t="s">
        <v>1419</v>
      </c>
      <c r="B232">
        <v>230</v>
      </c>
      <c r="C232" t="s">
        <v>56</v>
      </c>
      <c r="D232">
        <v>2</v>
      </c>
      <c r="F232">
        <v>1</v>
      </c>
      <c r="G232" t="s">
        <v>57</v>
      </c>
      <c r="H232" t="s">
        <v>122</v>
      </c>
      <c r="K232" t="s">
        <v>63</v>
      </c>
      <c r="L232">
        <v>2</v>
      </c>
      <c r="N232">
        <v>1</v>
      </c>
      <c r="O232" t="s">
        <v>145</v>
      </c>
      <c r="P232" t="s">
        <v>91</v>
      </c>
      <c r="S232" t="s">
        <v>48</v>
      </c>
      <c r="T232">
        <v>1</v>
      </c>
      <c r="V232">
        <v>1</v>
      </c>
      <c r="W232" t="s">
        <v>49</v>
      </c>
      <c r="X232" t="s">
        <v>84</v>
      </c>
      <c r="Y232" t="s">
        <v>127</v>
      </c>
      <c r="AA232" t="s">
        <v>45</v>
      </c>
      <c r="AB232">
        <v>2</v>
      </c>
      <c r="AD232">
        <v>1</v>
      </c>
      <c r="AE232" t="s">
        <v>86</v>
      </c>
      <c r="AI232">
        <v>0</v>
      </c>
      <c r="AJ232">
        <v>11</v>
      </c>
    </row>
    <row r="233" spans="1:36" x14ac:dyDescent="0.25">
      <c r="A233" t="s">
        <v>1420</v>
      </c>
      <c r="B233">
        <v>231</v>
      </c>
      <c r="C233" t="s">
        <v>56</v>
      </c>
      <c r="D233">
        <v>2</v>
      </c>
      <c r="F233">
        <v>1</v>
      </c>
      <c r="G233" t="s">
        <v>57</v>
      </c>
      <c r="H233" t="s">
        <v>121</v>
      </c>
      <c r="I233" t="s">
        <v>85</v>
      </c>
      <c r="J233" t="s">
        <v>125</v>
      </c>
      <c r="K233" t="s">
        <v>63</v>
      </c>
      <c r="L233">
        <v>1</v>
      </c>
      <c r="N233">
        <v>1</v>
      </c>
      <c r="O233" t="s">
        <v>103</v>
      </c>
      <c r="P233" t="s">
        <v>91</v>
      </c>
      <c r="Q233" t="s">
        <v>147</v>
      </c>
      <c r="R233" t="s">
        <v>151</v>
      </c>
      <c r="S233" t="s">
        <v>48</v>
      </c>
      <c r="T233">
        <v>1</v>
      </c>
      <c r="V233">
        <v>1</v>
      </c>
      <c r="W233" t="s">
        <v>49</v>
      </c>
      <c r="X233" t="s">
        <v>50</v>
      </c>
      <c r="Y233" t="s">
        <v>127</v>
      </c>
      <c r="AA233" t="s">
        <v>38</v>
      </c>
      <c r="AB233">
        <v>3</v>
      </c>
      <c r="AC233">
        <v>1</v>
      </c>
      <c r="AD233">
        <v>2</v>
      </c>
      <c r="AE233" t="s">
        <v>39</v>
      </c>
      <c r="AF233" t="s">
        <v>96</v>
      </c>
      <c r="AI233">
        <v>0</v>
      </c>
      <c r="AJ233">
        <v>17</v>
      </c>
    </row>
    <row r="234" spans="1:36" x14ac:dyDescent="0.25">
      <c r="A234" s="36" t="s">
        <v>1421</v>
      </c>
      <c r="B234">
        <v>232</v>
      </c>
      <c r="C234" t="s">
        <v>56</v>
      </c>
      <c r="D234">
        <v>2</v>
      </c>
      <c r="F234">
        <v>1</v>
      </c>
      <c r="G234" t="s">
        <v>120</v>
      </c>
      <c r="H234" t="s">
        <v>69</v>
      </c>
      <c r="K234" t="s">
        <v>63</v>
      </c>
      <c r="L234">
        <v>2</v>
      </c>
      <c r="N234">
        <v>1</v>
      </c>
      <c r="O234" t="s">
        <v>103</v>
      </c>
      <c r="P234" t="s">
        <v>91</v>
      </c>
      <c r="Q234" t="s">
        <v>148</v>
      </c>
      <c r="R234" t="s">
        <v>149</v>
      </c>
      <c r="S234" t="s">
        <v>48</v>
      </c>
      <c r="T234">
        <v>3</v>
      </c>
      <c r="V234">
        <v>1</v>
      </c>
      <c r="W234" t="s">
        <v>49</v>
      </c>
      <c r="AA234" t="s">
        <v>227</v>
      </c>
      <c r="AB234">
        <v>2</v>
      </c>
      <c r="AC234">
        <v>1</v>
      </c>
      <c r="AD234">
        <v>2</v>
      </c>
      <c r="AE234" t="s">
        <v>229</v>
      </c>
      <c r="AF234" t="s">
        <v>231</v>
      </c>
      <c r="AG234" t="s">
        <v>235</v>
      </c>
      <c r="AI234">
        <v>0</v>
      </c>
      <c r="AJ234">
        <v>18</v>
      </c>
    </row>
    <row r="235" spans="1:36" x14ac:dyDescent="0.25">
      <c r="A235" t="s">
        <v>1422</v>
      </c>
      <c r="B235">
        <v>233</v>
      </c>
      <c r="C235" t="s">
        <v>33</v>
      </c>
      <c r="D235">
        <v>2</v>
      </c>
      <c r="F235">
        <v>3</v>
      </c>
      <c r="G235" t="s">
        <v>34</v>
      </c>
      <c r="H235" t="s">
        <v>66</v>
      </c>
      <c r="K235" t="s">
        <v>43</v>
      </c>
      <c r="L235">
        <v>3</v>
      </c>
      <c r="N235">
        <v>1</v>
      </c>
      <c r="O235" t="s">
        <v>135</v>
      </c>
      <c r="P235" t="s">
        <v>136</v>
      </c>
      <c r="S235" t="s">
        <v>56</v>
      </c>
      <c r="T235">
        <v>2</v>
      </c>
      <c r="V235">
        <v>1</v>
      </c>
      <c r="W235" t="s">
        <v>120</v>
      </c>
      <c r="AA235" t="s">
        <v>63</v>
      </c>
      <c r="AB235">
        <v>1</v>
      </c>
      <c r="AD235">
        <v>2</v>
      </c>
      <c r="AE235" t="s">
        <v>145</v>
      </c>
      <c r="AF235" t="s">
        <v>146</v>
      </c>
      <c r="AG235" t="s">
        <v>104</v>
      </c>
      <c r="AI235">
        <v>0</v>
      </c>
      <c r="AJ235">
        <v>16</v>
      </c>
    </row>
    <row r="236" spans="1:36" x14ac:dyDescent="0.25">
      <c r="A236" t="s">
        <v>1423</v>
      </c>
      <c r="B236">
        <v>234</v>
      </c>
      <c r="C236" t="s">
        <v>56</v>
      </c>
      <c r="D236">
        <v>2</v>
      </c>
      <c r="F236">
        <v>2</v>
      </c>
      <c r="G236" t="s">
        <v>68</v>
      </c>
      <c r="H236" t="s">
        <v>122</v>
      </c>
      <c r="K236" t="s">
        <v>63</v>
      </c>
      <c r="L236">
        <v>2</v>
      </c>
      <c r="N236">
        <v>1</v>
      </c>
      <c r="O236" t="s">
        <v>145</v>
      </c>
      <c r="P236" t="s">
        <v>146</v>
      </c>
      <c r="S236" t="s">
        <v>33</v>
      </c>
      <c r="T236">
        <v>1</v>
      </c>
      <c r="V236">
        <v>2</v>
      </c>
      <c r="W236" t="s">
        <v>34</v>
      </c>
      <c r="AA236" t="s">
        <v>45</v>
      </c>
      <c r="AB236">
        <v>3</v>
      </c>
      <c r="AD236">
        <v>1</v>
      </c>
      <c r="AE236" t="s">
        <v>86</v>
      </c>
      <c r="AF236" t="s">
        <v>141</v>
      </c>
      <c r="AI236">
        <v>0</v>
      </c>
      <c r="AJ236">
        <v>13</v>
      </c>
    </row>
    <row r="237" spans="1:36" x14ac:dyDescent="0.25">
      <c r="A237" t="s">
        <v>1424</v>
      </c>
      <c r="B237">
        <v>235</v>
      </c>
      <c r="C237" t="s">
        <v>33</v>
      </c>
      <c r="D237">
        <v>3</v>
      </c>
      <c r="F237">
        <v>1</v>
      </c>
      <c r="G237" t="s">
        <v>34</v>
      </c>
      <c r="H237" t="s">
        <v>66</v>
      </c>
      <c r="K237" t="s">
        <v>38</v>
      </c>
      <c r="L237">
        <v>1</v>
      </c>
      <c r="M237">
        <v>1</v>
      </c>
      <c r="N237">
        <v>2</v>
      </c>
      <c r="O237" t="s">
        <v>39</v>
      </c>
      <c r="P237" t="s">
        <v>96</v>
      </c>
      <c r="Q237" t="s">
        <v>41</v>
      </c>
      <c r="S237" t="s">
        <v>56</v>
      </c>
      <c r="T237">
        <v>1</v>
      </c>
      <c r="V237">
        <v>1</v>
      </c>
      <c r="W237" t="s">
        <v>57</v>
      </c>
      <c r="X237" t="s">
        <v>121</v>
      </c>
      <c r="AA237" t="s">
        <v>63</v>
      </c>
      <c r="AB237">
        <v>1</v>
      </c>
      <c r="AD237">
        <v>1</v>
      </c>
      <c r="AE237" t="s">
        <v>72</v>
      </c>
      <c r="AF237" t="s">
        <v>95</v>
      </c>
      <c r="AG237" t="s">
        <v>147</v>
      </c>
      <c r="AI237">
        <v>0</v>
      </c>
      <c r="AJ237">
        <v>13</v>
      </c>
    </row>
    <row r="238" spans="1:36" x14ac:dyDescent="0.25">
      <c r="A238" s="36" t="s">
        <v>1425</v>
      </c>
      <c r="B238">
        <v>236</v>
      </c>
      <c r="C238" t="s">
        <v>56</v>
      </c>
      <c r="D238">
        <v>2</v>
      </c>
      <c r="F238">
        <v>1</v>
      </c>
      <c r="G238" t="s">
        <v>68</v>
      </c>
      <c r="K238" t="s">
        <v>63</v>
      </c>
      <c r="L238">
        <v>2</v>
      </c>
      <c r="N238">
        <v>1</v>
      </c>
      <c r="O238" t="s">
        <v>72</v>
      </c>
      <c r="P238" t="s">
        <v>95</v>
      </c>
      <c r="Q238" t="s">
        <v>147</v>
      </c>
      <c r="R238" t="s">
        <v>149</v>
      </c>
      <c r="S238" t="s">
        <v>33</v>
      </c>
      <c r="T238">
        <v>1</v>
      </c>
      <c r="V238">
        <v>2</v>
      </c>
      <c r="W238" t="s">
        <v>34</v>
      </c>
      <c r="X238" t="s">
        <v>35</v>
      </c>
      <c r="AA238" t="s">
        <v>227</v>
      </c>
      <c r="AB238">
        <v>3</v>
      </c>
      <c r="AC238">
        <v>1</v>
      </c>
      <c r="AD238">
        <v>1</v>
      </c>
      <c r="AE238" t="s">
        <v>228</v>
      </c>
      <c r="AF238" t="s">
        <v>231</v>
      </c>
      <c r="AI238">
        <v>0</v>
      </c>
      <c r="AJ238">
        <v>15</v>
      </c>
    </row>
    <row r="239" spans="1:36" x14ac:dyDescent="0.25">
      <c r="A239" t="s">
        <v>1426</v>
      </c>
      <c r="B239">
        <v>237</v>
      </c>
      <c r="C239" t="s">
        <v>56</v>
      </c>
      <c r="D239">
        <v>3</v>
      </c>
      <c r="F239">
        <v>3</v>
      </c>
      <c r="G239" t="s">
        <v>120</v>
      </c>
      <c r="H239" t="s">
        <v>69</v>
      </c>
      <c r="I239" t="s">
        <v>87</v>
      </c>
      <c r="J239" t="s">
        <v>125</v>
      </c>
      <c r="K239" t="s">
        <v>63</v>
      </c>
      <c r="L239">
        <v>3</v>
      </c>
      <c r="N239">
        <v>3</v>
      </c>
      <c r="O239" t="s">
        <v>145</v>
      </c>
      <c r="P239" t="s">
        <v>146</v>
      </c>
      <c r="Q239" t="s">
        <v>147</v>
      </c>
      <c r="R239" t="s">
        <v>151</v>
      </c>
      <c r="S239" t="s">
        <v>43</v>
      </c>
      <c r="T239">
        <v>3</v>
      </c>
      <c r="V239">
        <v>3</v>
      </c>
      <c r="W239" t="s">
        <v>73</v>
      </c>
      <c r="X239" t="s">
        <v>99</v>
      </c>
      <c r="Y239" t="s">
        <v>75</v>
      </c>
      <c r="Z239" t="s">
        <v>139</v>
      </c>
      <c r="AA239" t="s">
        <v>45</v>
      </c>
      <c r="AB239">
        <v>3</v>
      </c>
      <c r="AD239">
        <v>1</v>
      </c>
      <c r="AE239" t="s">
        <v>86</v>
      </c>
      <c r="AI239">
        <v>0</v>
      </c>
      <c r="AJ239">
        <v>35</v>
      </c>
    </row>
    <row r="240" spans="1:36" x14ac:dyDescent="0.25">
      <c r="A240" t="s">
        <v>1427</v>
      </c>
      <c r="B240">
        <v>238</v>
      </c>
      <c r="C240" t="s">
        <v>56</v>
      </c>
      <c r="D240">
        <v>1</v>
      </c>
      <c r="F240">
        <v>1</v>
      </c>
      <c r="G240" t="s">
        <v>57</v>
      </c>
      <c r="H240" t="s">
        <v>121</v>
      </c>
      <c r="I240" t="s">
        <v>87</v>
      </c>
      <c r="J240" t="s">
        <v>125</v>
      </c>
      <c r="K240" t="s">
        <v>63</v>
      </c>
      <c r="L240">
        <v>3</v>
      </c>
      <c r="N240">
        <v>3</v>
      </c>
      <c r="O240" t="s">
        <v>103</v>
      </c>
      <c r="P240" t="s">
        <v>146</v>
      </c>
      <c r="Q240" t="s">
        <v>148</v>
      </c>
      <c r="R240" t="s">
        <v>151</v>
      </c>
      <c r="S240" t="s">
        <v>43</v>
      </c>
      <c r="T240">
        <v>3</v>
      </c>
      <c r="V240">
        <v>3</v>
      </c>
      <c r="W240" t="s">
        <v>73</v>
      </c>
      <c r="X240" t="s">
        <v>99</v>
      </c>
      <c r="Y240" t="s">
        <v>75</v>
      </c>
      <c r="Z240" t="s">
        <v>139</v>
      </c>
      <c r="AA240" t="s">
        <v>38</v>
      </c>
      <c r="AB240">
        <v>1</v>
      </c>
      <c r="AC240">
        <v>1</v>
      </c>
      <c r="AD240">
        <v>1</v>
      </c>
      <c r="AE240" t="s">
        <v>39</v>
      </c>
      <c r="AF240" t="s">
        <v>96</v>
      </c>
      <c r="AI240">
        <v>0</v>
      </c>
      <c r="AJ240">
        <v>30</v>
      </c>
    </row>
    <row r="241" spans="1:36" x14ac:dyDescent="0.25">
      <c r="A241" s="36" t="s">
        <v>1428</v>
      </c>
      <c r="B241">
        <v>239</v>
      </c>
      <c r="C241" t="s">
        <v>56</v>
      </c>
      <c r="D241">
        <v>2</v>
      </c>
      <c r="F241">
        <v>2</v>
      </c>
      <c r="G241" t="s">
        <v>120</v>
      </c>
      <c r="H241" t="s">
        <v>122</v>
      </c>
      <c r="I241" t="s">
        <v>87</v>
      </c>
      <c r="J241" t="s">
        <v>88</v>
      </c>
      <c r="K241" t="s">
        <v>63</v>
      </c>
      <c r="L241">
        <v>1</v>
      </c>
      <c r="N241">
        <v>2</v>
      </c>
      <c r="O241" t="s">
        <v>145</v>
      </c>
      <c r="P241" t="s">
        <v>91</v>
      </c>
      <c r="Q241" t="s">
        <v>148</v>
      </c>
      <c r="R241" t="s">
        <v>151</v>
      </c>
      <c r="S241" t="s">
        <v>43</v>
      </c>
      <c r="T241">
        <v>2</v>
      </c>
      <c r="V241">
        <v>1</v>
      </c>
      <c r="W241" t="s">
        <v>73</v>
      </c>
      <c r="X241" t="s">
        <v>136</v>
      </c>
      <c r="AA241" t="s">
        <v>227</v>
      </c>
      <c r="AB241">
        <v>1</v>
      </c>
      <c r="AC241">
        <v>1</v>
      </c>
      <c r="AD241">
        <v>3</v>
      </c>
      <c r="AE241" t="s">
        <v>229</v>
      </c>
      <c r="AF241" t="s">
        <v>231</v>
      </c>
      <c r="AG241" t="s">
        <v>235</v>
      </c>
      <c r="AH241" t="s">
        <v>238</v>
      </c>
      <c r="AI241">
        <v>0</v>
      </c>
      <c r="AJ241">
        <v>20</v>
      </c>
    </row>
    <row r="242" spans="1:36" x14ac:dyDescent="0.25">
      <c r="A242" t="s">
        <v>1429</v>
      </c>
      <c r="B242">
        <v>240</v>
      </c>
      <c r="C242" t="s">
        <v>56</v>
      </c>
      <c r="D242">
        <v>2</v>
      </c>
      <c r="F242">
        <v>3</v>
      </c>
      <c r="G242" t="s">
        <v>57</v>
      </c>
      <c r="H242" t="s">
        <v>122</v>
      </c>
      <c r="K242" t="s">
        <v>63</v>
      </c>
      <c r="L242">
        <v>2</v>
      </c>
      <c r="N242">
        <v>1</v>
      </c>
      <c r="O242" t="s">
        <v>103</v>
      </c>
      <c r="P242" t="s">
        <v>91</v>
      </c>
      <c r="Q242" t="s">
        <v>147</v>
      </c>
      <c r="R242" t="s">
        <v>151</v>
      </c>
      <c r="S242" t="s">
        <v>45</v>
      </c>
      <c r="T242">
        <v>3</v>
      </c>
      <c r="V242">
        <v>1</v>
      </c>
      <c r="W242" t="s">
        <v>86</v>
      </c>
      <c r="X242" t="s">
        <v>76</v>
      </c>
      <c r="AA242" t="s">
        <v>38</v>
      </c>
      <c r="AB242">
        <v>1</v>
      </c>
      <c r="AC242">
        <v>1</v>
      </c>
      <c r="AD242">
        <v>3</v>
      </c>
      <c r="AE242" t="s">
        <v>39</v>
      </c>
      <c r="AF242" t="s">
        <v>96</v>
      </c>
      <c r="AG242" t="s">
        <v>153</v>
      </c>
      <c r="AI242">
        <v>0</v>
      </c>
      <c r="AJ242">
        <v>19</v>
      </c>
    </row>
    <row r="243" spans="1:36" x14ac:dyDescent="0.25">
      <c r="A243" s="36" t="s">
        <v>1430</v>
      </c>
      <c r="B243">
        <v>241</v>
      </c>
      <c r="C243" t="s">
        <v>56</v>
      </c>
      <c r="D243">
        <v>2</v>
      </c>
      <c r="F243">
        <v>1</v>
      </c>
      <c r="G243" t="s">
        <v>57</v>
      </c>
      <c r="H243" t="s">
        <v>122</v>
      </c>
      <c r="K243" t="s">
        <v>63</v>
      </c>
      <c r="L243">
        <v>3</v>
      </c>
      <c r="N243">
        <v>3</v>
      </c>
      <c r="O243" t="s">
        <v>145</v>
      </c>
      <c r="P243" t="s">
        <v>91</v>
      </c>
      <c r="Q243" t="s">
        <v>148</v>
      </c>
      <c r="R243" t="s">
        <v>151</v>
      </c>
      <c r="S243" t="s">
        <v>45</v>
      </c>
      <c r="T243">
        <v>3</v>
      </c>
      <c r="V243">
        <v>1</v>
      </c>
      <c r="W243" t="s">
        <v>86</v>
      </c>
      <c r="AA243" t="s">
        <v>227</v>
      </c>
      <c r="AB243">
        <v>3</v>
      </c>
      <c r="AC243">
        <v>3</v>
      </c>
      <c r="AD243">
        <v>3</v>
      </c>
      <c r="AE243" t="s">
        <v>229</v>
      </c>
      <c r="AF243" t="s">
        <v>231</v>
      </c>
      <c r="AG243" t="s">
        <v>236</v>
      </c>
      <c r="AH243" t="s">
        <v>238</v>
      </c>
      <c r="AI243">
        <v>0</v>
      </c>
      <c r="AJ243">
        <v>26</v>
      </c>
    </row>
    <row r="244" spans="1:36" x14ac:dyDescent="0.25">
      <c r="A244" s="36" t="s">
        <v>1431</v>
      </c>
      <c r="B244">
        <v>242</v>
      </c>
      <c r="C244" t="s">
        <v>56</v>
      </c>
      <c r="D244">
        <v>3</v>
      </c>
      <c r="F244">
        <v>3</v>
      </c>
      <c r="G244" t="s">
        <v>57</v>
      </c>
      <c r="H244" t="s">
        <v>122</v>
      </c>
      <c r="I244" t="s">
        <v>85</v>
      </c>
      <c r="J244" t="s">
        <v>125</v>
      </c>
      <c r="K244" t="s">
        <v>63</v>
      </c>
      <c r="L244">
        <v>3</v>
      </c>
      <c r="N244">
        <v>3</v>
      </c>
      <c r="O244" t="s">
        <v>103</v>
      </c>
      <c r="P244" t="s">
        <v>91</v>
      </c>
      <c r="Q244" t="s">
        <v>148</v>
      </c>
      <c r="R244" t="s">
        <v>150</v>
      </c>
      <c r="S244" t="s">
        <v>38</v>
      </c>
      <c r="T244">
        <v>1</v>
      </c>
      <c r="U244">
        <v>1</v>
      </c>
      <c r="V244">
        <v>2</v>
      </c>
      <c r="W244" t="s">
        <v>39</v>
      </c>
      <c r="X244" t="s">
        <v>96</v>
      </c>
      <c r="AA244" t="s">
        <v>227</v>
      </c>
      <c r="AB244">
        <v>3</v>
      </c>
      <c r="AC244">
        <v>3</v>
      </c>
      <c r="AD244">
        <v>3</v>
      </c>
      <c r="AE244" t="s">
        <v>229</v>
      </c>
      <c r="AF244" t="s">
        <v>232</v>
      </c>
      <c r="AG244" t="s">
        <v>235</v>
      </c>
      <c r="AH244" t="s">
        <v>238</v>
      </c>
      <c r="AI244">
        <v>0</v>
      </c>
      <c r="AJ244">
        <v>41</v>
      </c>
    </row>
    <row r="245" spans="1:36" x14ac:dyDescent="0.25">
      <c r="A245" t="s">
        <v>1432</v>
      </c>
      <c r="B245">
        <v>243</v>
      </c>
      <c r="C245" t="s">
        <v>56</v>
      </c>
      <c r="D245">
        <v>3</v>
      </c>
      <c r="F245">
        <v>1</v>
      </c>
      <c r="G245" t="s">
        <v>120</v>
      </c>
      <c r="H245" t="s">
        <v>122</v>
      </c>
      <c r="K245" t="s">
        <v>38</v>
      </c>
      <c r="L245">
        <v>1</v>
      </c>
      <c r="M245">
        <v>1</v>
      </c>
      <c r="N245">
        <v>2</v>
      </c>
      <c r="O245" t="s">
        <v>39</v>
      </c>
      <c r="P245" t="s">
        <v>40</v>
      </c>
      <c r="Q245" t="s">
        <v>154</v>
      </c>
      <c r="S245" t="s">
        <v>48</v>
      </c>
      <c r="T245">
        <v>1</v>
      </c>
      <c r="V245">
        <v>1</v>
      </c>
      <c r="W245" t="s">
        <v>49</v>
      </c>
      <c r="X245" t="s">
        <v>84</v>
      </c>
      <c r="Y245" t="s">
        <v>90</v>
      </c>
      <c r="AA245" t="s">
        <v>33</v>
      </c>
      <c r="AB245">
        <v>1</v>
      </c>
      <c r="AD245">
        <v>2</v>
      </c>
      <c r="AE245" t="s">
        <v>65</v>
      </c>
      <c r="AF245" t="s">
        <v>66</v>
      </c>
      <c r="AG245" t="s">
        <v>131</v>
      </c>
      <c r="AI245">
        <v>0</v>
      </c>
      <c r="AJ245">
        <v>15</v>
      </c>
    </row>
    <row r="246" spans="1:36" x14ac:dyDescent="0.25">
      <c r="A246" t="s">
        <v>1433</v>
      </c>
      <c r="B246">
        <v>244</v>
      </c>
      <c r="C246" t="s">
        <v>56</v>
      </c>
      <c r="D246">
        <v>2</v>
      </c>
      <c r="F246">
        <v>1</v>
      </c>
      <c r="G246" t="s">
        <v>57</v>
      </c>
      <c r="K246" t="s">
        <v>38</v>
      </c>
      <c r="L246">
        <v>1</v>
      </c>
      <c r="M246">
        <v>1</v>
      </c>
      <c r="N246">
        <v>2</v>
      </c>
      <c r="O246" t="s">
        <v>39</v>
      </c>
      <c r="P246" t="s">
        <v>96</v>
      </c>
      <c r="Q246" t="s">
        <v>154</v>
      </c>
      <c r="R246" t="s">
        <v>155</v>
      </c>
      <c r="S246" t="s">
        <v>48</v>
      </c>
      <c r="T246">
        <v>1</v>
      </c>
      <c r="V246">
        <v>1</v>
      </c>
      <c r="W246" t="s">
        <v>126</v>
      </c>
      <c r="X246" t="s">
        <v>84</v>
      </c>
      <c r="Y246" t="s">
        <v>127</v>
      </c>
      <c r="AA246" t="s">
        <v>43</v>
      </c>
      <c r="AB246">
        <v>1</v>
      </c>
      <c r="AD246">
        <v>1</v>
      </c>
      <c r="AE246" t="s">
        <v>73</v>
      </c>
      <c r="AF246" t="s">
        <v>99</v>
      </c>
      <c r="AG246" t="s">
        <v>75</v>
      </c>
      <c r="AH246" t="s">
        <v>101</v>
      </c>
      <c r="AI246">
        <v>0</v>
      </c>
      <c r="AJ246">
        <v>14</v>
      </c>
    </row>
    <row r="247" spans="1:36" x14ac:dyDescent="0.25">
      <c r="A247" t="s">
        <v>1434</v>
      </c>
      <c r="B247">
        <v>245</v>
      </c>
      <c r="C247" t="s">
        <v>48</v>
      </c>
      <c r="D247">
        <v>2</v>
      </c>
      <c r="F247">
        <v>1</v>
      </c>
      <c r="G247" t="s">
        <v>49</v>
      </c>
      <c r="H247" t="s">
        <v>84</v>
      </c>
      <c r="I247" t="s">
        <v>127</v>
      </c>
      <c r="J247" t="s">
        <v>129</v>
      </c>
      <c r="K247" t="s">
        <v>45</v>
      </c>
      <c r="L247">
        <v>3</v>
      </c>
      <c r="N247">
        <v>2</v>
      </c>
      <c r="O247" t="s">
        <v>140</v>
      </c>
      <c r="P247" t="s">
        <v>76</v>
      </c>
      <c r="S247" t="s">
        <v>56</v>
      </c>
      <c r="T247">
        <v>3</v>
      </c>
      <c r="V247">
        <v>2</v>
      </c>
      <c r="W247" t="s">
        <v>120</v>
      </c>
      <c r="X247" t="s">
        <v>122</v>
      </c>
      <c r="AA247" t="s">
        <v>38</v>
      </c>
      <c r="AB247">
        <v>1</v>
      </c>
      <c r="AC247">
        <v>1</v>
      </c>
      <c r="AD247">
        <v>2</v>
      </c>
      <c r="AE247" t="s">
        <v>39</v>
      </c>
      <c r="AF247" t="s">
        <v>96</v>
      </c>
      <c r="AI247">
        <v>0</v>
      </c>
      <c r="AJ247">
        <v>19</v>
      </c>
    </row>
    <row r="248" spans="1:36" x14ac:dyDescent="0.25">
      <c r="A248" t="s">
        <v>1435</v>
      </c>
      <c r="B248">
        <v>246</v>
      </c>
      <c r="C248" t="s">
        <v>48</v>
      </c>
      <c r="D248">
        <v>3</v>
      </c>
      <c r="F248">
        <v>3</v>
      </c>
      <c r="G248" t="s">
        <v>49</v>
      </c>
      <c r="H248" t="s">
        <v>84</v>
      </c>
      <c r="I248" t="s">
        <v>90</v>
      </c>
      <c r="J248" t="s">
        <v>129</v>
      </c>
      <c r="K248" t="s">
        <v>63</v>
      </c>
      <c r="L248">
        <v>3</v>
      </c>
      <c r="N248">
        <v>3</v>
      </c>
      <c r="O248" t="s">
        <v>103</v>
      </c>
      <c r="P248" t="s">
        <v>146</v>
      </c>
      <c r="Q248" t="s">
        <v>104</v>
      </c>
      <c r="R248" t="s">
        <v>149</v>
      </c>
      <c r="S248" t="s">
        <v>56</v>
      </c>
      <c r="T248">
        <v>3</v>
      </c>
      <c r="V248">
        <v>1</v>
      </c>
      <c r="W248" t="s">
        <v>57</v>
      </c>
      <c r="X248" t="s">
        <v>122</v>
      </c>
      <c r="Y248" t="s">
        <v>85</v>
      </c>
      <c r="AA248" t="s">
        <v>38</v>
      </c>
      <c r="AB248">
        <v>3</v>
      </c>
      <c r="AC248">
        <v>3</v>
      </c>
      <c r="AD248">
        <v>3</v>
      </c>
      <c r="AE248" t="s">
        <v>39</v>
      </c>
      <c r="AF248" t="s">
        <v>40</v>
      </c>
      <c r="AG248" t="s">
        <v>153</v>
      </c>
      <c r="AH248" t="s">
        <v>42</v>
      </c>
      <c r="AI248">
        <v>0</v>
      </c>
      <c r="AJ248">
        <v>43</v>
      </c>
    </row>
    <row r="249" spans="1:36" x14ac:dyDescent="0.25">
      <c r="A249" s="36" t="s">
        <v>1436</v>
      </c>
      <c r="B249">
        <v>247</v>
      </c>
      <c r="C249" t="s">
        <v>56</v>
      </c>
      <c r="D249">
        <v>3</v>
      </c>
      <c r="F249">
        <v>1</v>
      </c>
      <c r="G249" t="s">
        <v>57</v>
      </c>
      <c r="K249" t="s">
        <v>38</v>
      </c>
      <c r="L249">
        <v>1</v>
      </c>
      <c r="M249">
        <v>1</v>
      </c>
      <c r="N249">
        <v>1</v>
      </c>
      <c r="O249" t="s">
        <v>39</v>
      </c>
      <c r="P249" t="s">
        <v>70</v>
      </c>
      <c r="Q249" t="s">
        <v>41</v>
      </c>
      <c r="R249" t="s">
        <v>156</v>
      </c>
      <c r="S249" t="s">
        <v>48</v>
      </c>
      <c r="T249">
        <v>1</v>
      </c>
      <c r="V249">
        <v>1</v>
      </c>
      <c r="W249" t="s">
        <v>126</v>
      </c>
      <c r="X249" t="s">
        <v>84</v>
      </c>
      <c r="AA249" t="s">
        <v>227</v>
      </c>
      <c r="AB249">
        <v>2</v>
      </c>
      <c r="AC249">
        <v>1</v>
      </c>
      <c r="AD249">
        <v>1</v>
      </c>
      <c r="AE249" t="s">
        <v>228</v>
      </c>
      <c r="AF249" t="s">
        <v>231</v>
      </c>
      <c r="AG249" t="s">
        <v>235</v>
      </c>
      <c r="AI249">
        <v>0</v>
      </c>
      <c r="AJ249">
        <v>14</v>
      </c>
    </row>
    <row r="250" spans="1:36" x14ac:dyDescent="0.25">
      <c r="A250" t="s">
        <v>1437</v>
      </c>
      <c r="B250">
        <v>248</v>
      </c>
      <c r="C250" t="s">
        <v>56</v>
      </c>
      <c r="D250">
        <v>3</v>
      </c>
      <c r="F250">
        <v>1</v>
      </c>
      <c r="G250" t="s">
        <v>120</v>
      </c>
      <c r="K250" t="s">
        <v>38</v>
      </c>
      <c r="L250">
        <v>1</v>
      </c>
      <c r="M250">
        <v>2</v>
      </c>
      <c r="N250">
        <v>2</v>
      </c>
      <c r="O250" t="s">
        <v>67</v>
      </c>
      <c r="S250" t="s">
        <v>33</v>
      </c>
      <c r="T250">
        <v>1</v>
      </c>
      <c r="V250">
        <v>3</v>
      </c>
      <c r="W250" t="s">
        <v>65</v>
      </c>
      <c r="AA250" t="s">
        <v>43</v>
      </c>
      <c r="AB250">
        <v>2</v>
      </c>
      <c r="AD250">
        <v>1</v>
      </c>
      <c r="AE250" t="s">
        <v>73</v>
      </c>
      <c r="AF250" t="s">
        <v>136</v>
      </c>
      <c r="AG250" t="s">
        <v>137</v>
      </c>
      <c r="AH250" t="s">
        <v>101</v>
      </c>
      <c r="AI250">
        <v>0</v>
      </c>
      <c r="AJ250">
        <v>15</v>
      </c>
    </row>
    <row r="251" spans="1:36" x14ac:dyDescent="0.25">
      <c r="A251" t="s">
        <v>1438</v>
      </c>
      <c r="B251">
        <v>249</v>
      </c>
      <c r="C251" t="s">
        <v>56</v>
      </c>
      <c r="D251">
        <v>3</v>
      </c>
      <c r="F251">
        <v>3</v>
      </c>
      <c r="G251" t="s">
        <v>120</v>
      </c>
      <c r="K251" t="s">
        <v>38</v>
      </c>
      <c r="L251">
        <v>1</v>
      </c>
      <c r="M251">
        <v>1</v>
      </c>
      <c r="N251">
        <v>2</v>
      </c>
      <c r="O251" t="s">
        <v>67</v>
      </c>
      <c r="P251" t="s">
        <v>40</v>
      </c>
      <c r="Q251" t="s">
        <v>153</v>
      </c>
      <c r="S251" t="s">
        <v>33</v>
      </c>
      <c r="T251">
        <v>1</v>
      </c>
      <c r="V251">
        <v>2</v>
      </c>
      <c r="W251" t="s">
        <v>65</v>
      </c>
      <c r="AA251" t="s">
        <v>45</v>
      </c>
      <c r="AB251">
        <v>3</v>
      </c>
      <c r="AD251">
        <v>2</v>
      </c>
      <c r="AE251" t="s">
        <v>140</v>
      </c>
      <c r="AF251" t="s">
        <v>76</v>
      </c>
      <c r="AI251">
        <v>0</v>
      </c>
      <c r="AJ251">
        <v>16</v>
      </c>
    </row>
    <row r="252" spans="1:36" x14ac:dyDescent="0.25">
      <c r="A252" t="s">
        <v>1439</v>
      </c>
      <c r="B252">
        <v>250</v>
      </c>
      <c r="C252" t="s">
        <v>56</v>
      </c>
      <c r="D252">
        <v>3</v>
      </c>
      <c r="F252">
        <v>2</v>
      </c>
      <c r="G252" t="s">
        <v>57</v>
      </c>
      <c r="H252" t="s">
        <v>122</v>
      </c>
      <c r="I252" t="s">
        <v>85</v>
      </c>
      <c r="K252" t="s">
        <v>38</v>
      </c>
      <c r="L252">
        <v>1</v>
      </c>
      <c r="M252">
        <v>1</v>
      </c>
      <c r="N252">
        <v>2</v>
      </c>
      <c r="O252" t="s">
        <v>39</v>
      </c>
      <c r="P252" t="s">
        <v>40</v>
      </c>
      <c r="Q252" t="s">
        <v>153</v>
      </c>
      <c r="R252" t="s">
        <v>155</v>
      </c>
      <c r="S252" t="s">
        <v>33</v>
      </c>
      <c r="T252">
        <v>3</v>
      </c>
      <c r="V252">
        <v>3</v>
      </c>
      <c r="W252" t="s">
        <v>65</v>
      </c>
      <c r="AA252" t="s">
        <v>63</v>
      </c>
      <c r="AB252">
        <v>1</v>
      </c>
      <c r="AD252">
        <v>2</v>
      </c>
      <c r="AE252" t="s">
        <v>103</v>
      </c>
      <c r="AF252" t="s">
        <v>146</v>
      </c>
      <c r="AG252" t="s">
        <v>147</v>
      </c>
      <c r="AH252" t="s">
        <v>151</v>
      </c>
      <c r="AI252">
        <v>0</v>
      </c>
      <c r="AJ252">
        <v>21</v>
      </c>
    </row>
    <row r="253" spans="1:36" x14ac:dyDescent="0.25">
      <c r="A253" s="36" t="s">
        <v>1440</v>
      </c>
      <c r="B253">
        <v>251</v>
      </c>
      <c r="C253" t="s">
        <v>56</v>
      </c>
      <c r="D253">
        <v>1</v>
      </c>
      <c r="F253">
        <v>1</v>
      </c>
      <c r="G253" t="s">
        <v>57</v>
      </c>
      <c r="H253" t="s">
        <v>122</v>
      </c>
      <c r="I253" t="s">
        <v>85</v>
      </c>
      <c r="J253" t="s">
        <v>125</v>
      </c>
      <c r="K253" t="s">
        <v>38</v>
      </c>
      <c r="L253">
        <v>1</v>
      </c>
      <c r="M253">
        <v>1</v>
      </c>
      <c r="N253">
        <v>2</v>
      </c>
      <c r="O253" t="s">
        <v>67</v>
      </c>
      <c r="P253" t="s">
        <v>70</v>
      </c>
      <c r="Q253" t="s">
        <v>153</v>
      </c>
      <c r="S253" t="s">
        <v>33</v>
      </c>
      <c r="T253">
        <v>1</v>
      </c>
      <c r="V253">
        <v>2</v>
      </c>
      <c r="W253" t="s">
        <v>65</v>
      </c>
      <c r="AA253" t="s">
        <v>227</v>
      </c>
      <c r="AB253">
        <v>1</v>
      </c>
      <c r="AC253">
        <v>1</v>
      </c>
      <c r="AD253">
        <v>2</v>
      </c>
      <c r="AE253" t="s">
        <v>228</v>
      </c>
      <c r="AF253" t="s">
        <v>231</v>
      </c>
      <c r="AG253" t="s">
        <v>235</v>
      </c>
      <c r="AI253">
        <v>0</v>
      </c>
      <c r="AJ253">
        <v>14</v>
      </c>
    </row>
    <row r="254" spans="1:36" x14ac:dyDescent="0.25">
      <c r="A254" t="s">
        <v>1441</v>
      </c>
      <c r="B254">
        <v>252</v>
      </c>
      <c r="C254" t="s">
        <v>56</v>
      </c>
      <c r="D254">
        <v>1</v>
      </c>
      <c r="F254">
        <v>1</v>
      </c>
      <c r="G254" t="s">
        <v>120</v>
      </c>
      <c r="H254" t="s">
        <v>122</v>
      </c>
      <c r="I254" t="s">
        <v>87</v>
      </c>
      <c r="J254" t="s">
        <v>88</v>
      </c>
      <c r="K254" t="s">
        <v>38</v>
      </c>
      <c r="L254">
        <v>1</v>
      </c>
      <c r="M254">
        <v>1</v>
      </c>
      <c r="N254">
        <v>2</v>
      </c>
      <c r="O254" t="s">
        <v>39</v>
      </c>
      <c r="P254" t="s">
        <v>96</v>
      </c>
      <c r="Q254" t="s">
        <v>153</v>
      </c>
      <c r="S254" t="s">
        <v>43</v>
      </c>
      <c r="T254">
        <v>1</v>
      </c>
      <c r="V254">
        <v>1</v>
      </c>
      <c r="W254" t="s">
        <v>44</v>
      </c>
      <c r="X254" t="s">
        <v>136</v>
      </c>
      <c r="AA254" t="s">
        <v>45</v>
      </c>
      <c r="AB254">
        <v>3</v>
      </c>
      <c r="AD254">
        <v>1</v>
      </c>
      <c r="AE254" t="s">
        <v>140</v>
      </c>
      <c r="AF254" t="s">
        <v>141</v>
      </c>
      <c r="AI254">
        <v>0</v>
      </c>
      <c r="AJ254">
        <v>14</v>
      </c>
    </row>
    <row r="255" spans="1:36" x14ac:dyDescent="0.25">
      <c r="A255" t="s">
        <v>1442</v>
      </c>
      <c r="B255">
        <v>253</v>
      </c>
      <c r="C255" t="s">
        <v>56</v>
      </c>
      <c r="D255">
        <v>3</v>
      </c>
      <c r="F255">
        <v>1</v>
      </c>
      <c r="G255" t="s">
        <v>120</v>
      </c>
      <c r="H255" t="s">
        <v>122</v>
      </c>
      <c r="I255" t="s">
        <v>87</v>
      </c>
      <c r="J255" t="s">
        <v>88</v>
      </c>
      <c r="K255" t="s">
        <v>38</v>
      </c>
      <c r="L255">
        <v>2</v>
      </c>
      <c r="M255">
        <v>1</v>
      </c>
      <c r="N255">
        <v>3</v>
      </c>
      <c r="O255" t="s">
        <v>39</v>
      </c>
      <c r="P255" t="s">
        <v>96</v>
      </c>
      <c r="Q255" t="s">
        <v>41</v>
      </c>
      <c r="R255" t="s">
        <v>42</v>
      </c>
      <c r="S255" t="s">
        <v>43</v>
      </c>
      <c r="T255">
        <v>1</v>
      </c>
      <c r="V255">
        <v>1</v>
      </c>
      <c r="W255" t="s">
        <v>73</v>
      </c>
      <c r="X255" t="s">
        <v>136</v>
      </c>
      <c r="AA255" t="s">
        <v>63</v>
      </c>
      <c r="AB255">
        <v>3</v>
      </c>
      <c r="AD255">
        <v>1</v>
      </c>
      <c r="AE255" t="s">
        <v>103</v>
      </c>
      <c r="AF255" t="s">
        <v>146</v>
      </c>
      <c r="AG255" t="s">
        <v>147</v>
      </c>
      <c r="AH255" t="s">
        <v>151</v>
      </c>
      <c r="AI255">
        <v>0</v>
      </c>
      <c r="AJ255">
        <v>22</v>
      </c>
    </row>
    <row r="256" spans="1:36" x14ac:dyDescent="0.25">
      <c r="A256" s="36" t="s">
        <v>1443</v>
      </c>
      <c r="B256">
        <v>254</v>
      </c>
      <c r="C256" t="s">
        <v>56</v>
      </c>
      <c r="D256">
        <v>3</v>
      </c>
      <c r="F256">
        <v>1</v>
      </c>
      <c r="G256" t="s">
        <v>120</v>
      </c>
      <c r="H256" t="s">
        <v>69</v>
      </c>
      <c r="I256" t="s">
        <v>85</v>
      </c>
      <c r="K256" t="s">
        <v>38</v>
      </c>
      <c r="L256">
        <v>3</v>
      </c>
      <c r="M256">
        <v>1</v>
      </c>
      <c r="N256">
        <v>2</v>
      </c>
      <c r="O256" t="s">
        <v>39</v>
      </c>
      <c r="P256" t="s">
        <v>70</v>
      </c>
      <c r="Q256" t="s">
        <v>41</v>
      </c>
      <c r="R256" t="s">
        <v>42</v>
      </c>
      <c r="S256" t="s">
        <v>43</v>
      </c>
      <c r="T256">
        <v>1</v>
      </c>
      <c r="V256">
        <v>1</v>
      </c>
      <c r="W256" t="s">
        <v>44</v>
      </c>
      <c r="X256" t="s">
        <v>136</v>
      </c>
      <c r="Y256" t="s">
        <v>137</v>
      </c>
      <c r="AA256" t="s">
        <v>227</v>
      </c>
      <c r="AB256">
        <v>3</v>
      </c>
      <c r="AC256">
        <v>1</v>
      </c>
      <c r="AD256">
        <v>2</v>
      </c>
      <c r="AE256" t="s">
        <v>229</v>
      </c>
      <c r="AF256" t="s">
        <v>231</v>
      </c>
      <c r="AG256" t="s">
        <v>235</v>
      </c>
      <c r="AI256">
        <v>0</v>
      </c>
      <c r="AJ256">
        <v>21</v>
      </c>
    </row>
    <row r="257" spans="1:36" x14ac:dyDescent="0.25">
      <c r="A257" t="s">
        <v>1444</v>
      </c>
      <c r="B257">
        <v>255</v>
      </c>
      <c r="C257" t="s">
        <v>45</v>
      </c>
      <c r="D257">
        <v>2</v>
      </c>
      <c r="F257">
        <v>1</v>
      </c>
      <c r="G257" t="s">
        <v>140</v>
      </c>
      <c r="K257" t="s">
        <v>63</v>
      </c>
      <c r="L257">
        <v>2</v>
      </c>
      <c r="N257">
        <v>1</v>
      </c>
      <c r="O257" t="s">
        <v>103</v>
      </c>
      <c r="P257" t="s">
        <v>146</v>
      </c>
      <c r="Q257" t="s">
        <v>147</v>
      </c>
      <c r="S257" t="s">
        <v>56</v>
      </c>
      <c r="T257">
        <v>3</v>
      </c>
      <c r="V257">
        <v>1</v>
      </c>
      <c r="W257" t="s">
        <v>57</v>
      </c>
      <c r="X257" t="s">
        <v>122</v>
      </c>
      <c r="Y257" t="s">
        <v>85</v>
      </c>
      <c r="AA257" t="s">
        <v>38</v>
      </c>
      <c r="AB257">
        <v>1</v>
      </c>
      <c r="AC257">
        <v>1</v>
      </c>
      <c r="AD257">
        <v>1</v>
      </c>
      <c r="AE257" t="s">
        <v>39</v>
      </c>
      <c r="AF257" t="s">
        <v>96</v>
      </c>
      <c r="AG257" t="s">
        <v>41</v>
      </c>
      <c r="AH257" t="s">
        <v>42</v>
      </c>
      <c r="AI257">
        <v>0</v>
      </c>
      <c r="AJ257">
        <v>16</v>
      </c>
    </row>
    <row r="258" spans="1:36" x14ac:dyDescent="0.25">
      <c r="A258" s="36" t="s">
        <v>1445</v>
      </c>
      <c r="B258">
        <v>256</v>
      </c>
      <c r="C258" t="s">
        <v>56</v>
      </c>
      <c r="D258">
        <v>1</v>
      </c>
      <c r="F258">
        <v>2</v>
      </c>
      <c r="G258" t="s">
        <v>57</v>
      </c>
      <c r="H258" t="s">
        <v>122</v>
      </c>
      <c r="K258" t="s">
        <v>38</v>
      </c>
      <c r="L258">
        <v>1</v>
      </c>
      <c r="M258">
        <v>1</v>
      </c>
      <c r="N258">
        <v>2</v>
      </c>
      <c r="O258" t="s">
        <v>39</v>
      </c>
      <c r="P258" t="s">
        <v>70</v>
      </c>
      <c r="S258" t="s">
        <v>45</v>
      </c>
      <c r="T258">
        <v>3</v>
      </c>
      <c r="V258">
        <v>1</v>
      </c>
      <c r="W258" t="s">
        <v>86</v>
      </c>
      <c r="AA258" t="s">
        <v>227</v>
      </c>
      <c r="AB258">
        <v>2</v>
      </c>
      <c r="AC258">
        <v>1</v>
      </c>
      <c r="AD258">
        <v>1</v>
      </c>
      <c r="AE258" t="s">
        <v>228</v>
      </c>
      <c r="AF258" t="s">
        <v>233</v>
      </c>
      <c r="AI258">
        <v>0</v>
      </c>
      <c r="AJ258">
        <v>12</v>
      </c>
    </row>
    <row r="259" spans="1:36" x14ac:dyDescent="0.25">
      <c r="A259" s="36" t="s">
        <v>1446</v>
      </c>
      <c r="B259">
        <v>257</v>
      </c>
      <c r="C259" t="s">
        <v>56</v>
      </c>
      <c r="D259">
        <v>3</v>
      </c>
      <c r="F259">
        <v>1</v>
      </c>
      <c r="G259" t="s">
        <v>57</v>
      </c>
      <c r="H259" t="s">
        <v>122</v>
      </c>
      <c r="I259" t="s">
        <v>87</v>
      </c>
      <c r="J259" t="s">
        <v>125</v>
      </c>
      <c r="K259" t="s">
        <v>38</v>
      </c>
      <c r="L259">
        <v>2</v>
      </c>
      <c r="M259">
        <v>1</v>
      </c>
      <c r="N259">
        <v>1</v>
      </c>
      <c r="O259" t="s">
        <v>39</v>
      </c>
      <c r="P259" t="s">
        <v>40</v>
      </c>
      <c r="Q259" t="s">
        <v>153</v>
      </c>
      <c r="R259" t="s">
        <v>42</v>
      </c>
      <c r="S259" t="s">
        <v>63</v>
      </c>
      <c r="T259">
        <v>2</v>
      </c>
      <c r="V259">
        <v>1</v>
      </c>
      <c r="W259" t="s">
        <v>103</v>
      </c>
      <c r="X259" t="s">
        <v>146</v>
      </c>
      <c r="Y259" t="s">
        <v>104</v>
      </c>
      <c r="AA259" t="s">
        <v>227</v>
      </c>
      <c r="AB259">
        <v>1</v>
      </c>
      <c r="AC259">
        <v>2</v>
      </c>
      <c r="AD259">
        <v>3</v>
      </c>
      <c r="AE259" t="s">
        <v>229</v>
      </c>
      <c r="AF259" t="s">
        <v>231</v>
      </c>
      <c r="AG259" t="s">
        <v>235</v>
      </c>
      <c r="AH259" t="s">
        <v>238</v>
      </c>
      <c r="AI259">
        <v>0</v>
      </c>
      <c r="AJ259">
        <v>23</v>
      </c>
    </row>
    <row r="260" spans="1:36" x14ac:dyDescent="0.25">
      <c r="A260" s="36" t="s">
        <v>1447</v>
      </c>
      <c r="B260">
        <v>258</v>
      </c>
      <c r="C260" t="s">
        <v>48</v>
      </c>
      <c r="D260">
        <v>2</v>
      </c>
      <c r="F260">
        <v>1</v>
      </c>
      <c r="G260" t="s">
        <v>89</v>
      </c>
      <c r="H260" t="s">
        <v>84</v>
      </c>
      <c r="I260" t="s">
        <v>127</v>
      </c>
      <c r="K260" t="s">
        <v>33</v>
      </c>
      <c r="L260">
        <v>1</v>
      </c>
      <c r="N260">
        <v>1</v>
      </c>
      <c r="O260" t="s">
        <v>65</v>
      </c>
      <c r="P260" t="s">
        <v>66</v>
      </c>
      <c r="Q260" t="s">
        <v>131</v>
      </c>
      <c r="S260" t="s">
        <v>56</v>
      </c>
      <c r="T260">
        <v>3</v>
      </c>
      <c r="V260">
        <v>1</v>
      </c>
      <c r="W260" t="s">
        <v>120</v>
      </c>
      <c r="AA260" t="s">
        <v>227</v>
      </c>
      <c r="AB260">
        <v>3</v>
      </c>
      <c r="AC260">
        <v>1</v>
      </c>
      <c r="AD260">
        <v>1</v>
      </c>
      <c r="AE260" t="s">
        <v>228</v>
      </c>
      <c r="AI260">
        <v>0</v>
      </c>
      <c r="AJ260">
        <v>13</v>
      </c>
    </row>
    <row r="261" spans="1:36" x14ac:dyDescent="0.25">
      <c r="A261" s="36" t="s">
        <v>1448</v>
      </c>
      <c r="B261">
        <v>259</v>
      </c>
      <c r="C261" t="s">
        <v>56</v>
      </c>
      <c r="D261">
        <v>3</v>
      </c>
      <c r="F261">
        <v>1</v>
      </c>
      <c r="G261" t="s">
        <v>120</v>
      </c>
      <c r="H261" t="s">
        <v>122</v>
      </c>
      <c r="K261" t="s">
        <v>227</v>
      </c>
      <c r="L261">
        <v>2</v>
      </c>
      <c r="M261">
        <v>1</v>
      </c>
      <c r="N261">
        <v>1</v>
      </c>
      <c r="O261" t="s">
        <v>228</v>
      </c>
      <c r="P261" t="s">
        <v>233</v>
      </c>
      <c r="S261" t="s">
        <v>48</v>
      </c>
      <c r="T261">
        <v>1</v>
      </c>
      <c r="V261">
        <v>1</v>
      </c>
      <c r="W261" t="s">
        <v>49</v>
      </c>
      <c r="X261" t="s">
        <v>84</v>
      </c>
      <c r="Y261" t="s">
        <v>90</v>
      </c>
      <c r="AA261" t="s">
        <v>43</v>
      </c>
      <c r="AB261">
        <v>1</v>
      </c>
      <c r="AD261">
        <v>1</v>
      </c>
      <c r="AE261" t="s">
        <v>73</v>
      </c>
      <c r="AF261" t="s">
        <v>99</v>
      </c>
      <c r="AG261" t="s">
        <v>75</v>
      </c>
      <c r="AH261" t="s">
        <v>101</v>
      </c>
      <c r="AI261">
        <v>0</v>
      </c>
      <c r="AJ261">
        <v>14</v>
      </c>
    </row>
    <row r="262" spans="1:36" x14ac:dyDescent="0.25">
      <c r="A262" s="36" t="s">
        <v>1449</v>
      </c>
      <c r="B262">
        <v>260</v>
      </c>
      <c r="C262" t="s">
        <v>56</v>
      </c>
      <c r="D262">
        <v>2</v>
      </c>
      <c r="F262">
        <v>1</v>
      </c>
      <c r="G262" t="s">
        <v>68</v>
      </c>
      <c r="H262" t="s">
        <v>122</v>
      </c>
      <c r="K262" t="s">
        <v>227</v>
      </c>
      <c r="L262">
        <v>3</v>
      </c>
      <c r="M262">
        <v>1</v>
      </c>
      <c r="N262">
        <v>1</v>
      </c>
      <c r="O262" t="s">
        <v>228</v>
      </c>
      <c r="P262" t="s">
        <v>231</v>
      </c>
      <c r="Q262" t="s">
        <v>235</v>
      </c>
      <c r="R262" t="s">
        <v>238</v>
      </c>
      <c r="S262" t="s">
        <v>48</v>
      </c>
      <c r="T262">
        <v>2</v>
      </c>
      <c r="V262">
        <v>1</v>
      </c>
      <c r="W262" t="s">
        <v>89</v>
      </c>
      <c r="X262" t="s">
        <v>50</v>
      </c>
      <c r="Y262" t="s">
        <v>127</v>
      </c>
      <c r="AA262" t="s">
        <v>45</v>
      </c>
      <c r="AB262">
        <v>2</v>
      </c>
      <c r="AD262">
        <v>1</v>
      </c>
      <c r="AE262" t="s">
        <v>140</v>
      </c>
      <c r="AI262">
        <v>0</v>
      </c>
      <c r="AJ262">
        <v>15</v>
      </c>
    </row>
    <row r="263" spans="1:36" x14ac:dyDescent="0.25">
      <c r="A263" s="36" t="s">
        <v>1450</v>
      </c>
      <c r="B263">
        <v>261</v>
      </c>
      <c r="C263" t="s">
        <v>56</v>
      </c>
      <c r="D263">
        <v>3</v>
      </c>
      <c r="F263">
        <v>1</v>
      </c>
      <c r="G263" t="s">
        <v>120</v>
      </c>
      <c r="H263" t="s">
        <v>122</v>
      </c>
      <c r="I263" t="s">
        <v>123</v>
      </c>
      <c r="K263" t="s">
        <v>227</v>
      </c>
      <c r="L263">
        <v>2</v>
      </c>
      <c r="M263">
        <v>1</v>
      </c>
      <c r="N263">
        <v>3</v>
      </c>
      <c r="O263" t="s">
        <v>229</v>
      </c>
      <c r="P263" t="s">
        <v>231</v>
      </c>
      <c r="Q263" t="s">
        <v>236</v>
      </c>
      <c r="S263" t="s">
        <v>48</v>
      </c>
      <c r="T263">
        <v>2</v>
      </c>
      <c r="V263">
        <v>1</v>
      </c>
      <c r="W263" t="s">
        <v>126</v>
      </c>
      <c r="X263" t="s">
        <v>84</v>
      </c>
      <c r="Y263" t="s">
        <v>127</v>
      </c>
      <c r="Z263" t="s">
        <v>129</v>
      </c>
      <c r="AA263" t="s">
        <v>63</v>
      </c>
      <c r="AB263">
        <v>1</v>
      </c>
      <c r="AD263">
        <v>1</v>
      </c>
      <c r="AE263" t="s">
        <v>103</v>
      </c>
      <c r="AF263" t="s">
        <v>146</v>
      </c>
      <c r="AG263" t="s">
        <v>148</v>
      </c>
      <c r="AI263">
        <v>0</v>
      </c>
      <c r="AJ263">
        <v>19</v>
      </c>
    </row>
    <row r="264" spans="1:36" x14ac:dyDescent="0.25">
      <c r="A264" s="36" t="s">
        <v>1451</v>
      </c>
      <c r="B264">
        <v>262</v>
      </c>
      <c r="C264" t="s">
        <v>56</v>
      </c>
      <c r="D264">
        <v>2</v>
      </c>
      <c r="F264">
        <v>1</v>
      </c>
      <c r="G264" t="s">
        <v>57</v>
      </c>
      <c r="H264" t="s">
        <v>121</v>
      </c>
      <c r="I264" t="s">
        <v>87</v>
      </c>
      <c r="J264" t="s">
        <v>125</v>
      </c>
      <c r="K264" t="s">
        <v>227</v>
      </c>
      <c r="L264">
        <v>3</v>
      </c>
      <c r="M264">
        <v>1</v>
      </c>
      <c r="N264">
        <v>3</v>
      </c>
      <c r="O264" t="s">
        <v>228</v>
      </c>
      <c r="P264" t="s">
        <v>231</v>
      </c>
      <c r="S264" t="s">
        <v>48</v>
      </c>
      <c r="T264">
        <v>2</v>
      </c>
      <c r="V264">
        <v>1</v>
      </c>
      <c r="W264" t="s">
        <v>89</v>
      </c>
      <c r="X264" t="s">
        <v>50</v>
      </c>
      <c r="Y264" t="s">
        <v>127</v>
      </c>
      <c r="Z264" t="s">
        <v>52</v>
      </c>
      <c r="AA264" t="s">
        <v>38</v>
      </c>
      <c r="AB264">
        <v>1</v>
      </c>
      <c r="AC264">
        <v>1</v>
      </c>
      <c r="AD264">
        <v>2</v>
      </c>
      <c r="AE264" t="s">
        <v>39</v>
      </c>
      <c r="AF264" t="s">
        <v>96</v>
      </c>
      <c r="AI264">
        <v>0</v>
      </c>
      <c r="AJ264">
        <v>19</v>
      </c>
    </row>
    <row r="265" spans="1:36" x14ac:dyDescent="0.25">
      <c r="A265" s="36" t="s">
        <v>1452</v>
      </c>
      <c r="B265">
        <v>263</v>
      </c>
      <c r="C265" t="s">
        <v>33</v>
      </c>
      <c r="D265">
        <v>3</v>
      </c>
      <c r="F265">
        <v>3</v>
      </c>
      <c r="G265" t="s">
        <v>65</v>
      </c>
      <c r="H265" t="s">
        <v>66</v>
      </c>
      <c r="K265" t="s">
        <v>43</v>
      </c>
      <c r="L265">
        <v>2</v>
      </c>
      <c r="N265">
        <v>1</v>
      </c>
      <c r="O265" t="s">
        <v>135</v>
      </c>
      <c r="P265" t="s">
        <v>99</v>
      </c>
      <c r="S265" t="s">
        <v>56</v>
      </c>
      <c r="T265">
        <v>3</v>
      </c>
      <c r="V265">
        <v>1</v>
      </c>
      <c r="W265" t="s">
        <v>120</v>
      </c>
      <c r="X265" t="s">
        <v>69</v>
      </c>
      <c r="Y265" t="s">
        <v>87</v>
      </c>
      <c r="AA265" t="s">
        <v>227</v>
      </c>
      <c r="AB265">
        <v>1</v>
      </c>
      <c r="AC265">
        <v>1</v>
      </c>
      <c r="AD265">
        <v>3</v>
      </c>
      <c r="AE265" t="s">
        <v>229</v>
      </c>
      <c r="AF265" t="s">
        <v>232</v>
      </c>
      <c r="AI265">
        <v>0</v>
      </c>
      <c r="AJ265">
        <v>18</v>
      </c>
    </row>
    <row r="266" spans="1:36" x14ac:dyDescent="0.25">
      <c r="A266" s="36" t="s">
        <v>1453</v>
      </c>
      <c r="B266">
        <v>264</v>
      </c>
      <c r="C266" t="s">
        <v>56</v>
      </c>
      <c r="D266">
        <v>2</v>
      </c>
      <c r="F266">
        <v>2</v>
      </c>
      <c r="G266" t="s">
        <v>120</v>
      </c>
      <c r="H266" t="s">
        <v>69</v>
      </c>
      <c r="K266" t="s">
        <v>227</v>
      </c>
      <c r="L266">
        <v>2</v>
      </c>
      <c r="M266">
        <v>1</v>
      </c>
      <c r="N266">
        <v>2</v>
      </c>
      <c r="O266" t="s">
        <v>228</v>
      </c>
      <c r="S266" t="s">
        <v>33</v>
      </c>
      <c r="T266">
        <v>3</v>
      </c>
      <c r="V266">
        <v>2</v>
      </c>
      <c r="W266" t="s">
        <v>65</v>
      </c>
      <c r="AA266" t="s">
        <v>45</v>
      </c>
      <c r="AB266">
        <v>2</v>
      </c>
      <c r="AD266">
        <v>1</v>
      </c>
      <c r="AE266" t="s">
        <v>140</v>
      </c>
      <c r="AI266">
        <v>0</v>
      </c>
      <c r="AJ266">
        <v>13</v>
      </c>
    </row>
    <row r="267" spans="1:36" x14ac:dyDescent="0.25">
      <c r="A267" s="36" t="s">
        <v>1454</v>
      </c>
      <c r="B267">
        <v>265</v>
      </c>
      <c r="C267" t="s">
        <v>33</v>
      </c>
      <c r="D267">
        <v>3</v>
      </c>
      <c r="F267">
        <v>2</v>
      </c>
      <c r="G267" t="s">
        <v>65</v>
      </c>
      <c r="H267" t="s">
        <v>35</v>
      </c>
      <c r="I267" t="s">
        <v>131</v>
      </c>
      <c r="J267" t="s">
        <v>133</v>
      </c>
      <c r="K267" t="s">
        <v>63</v>
      </c>
      <c r="L267">
        <v>3</v>
      </c>
      <c r="N267">
        <v>1</v>
      </c>
      <c r="O267" t="s">
        <v>103</v>
      </c>
      <c r="P267" t="s">
        <v>91</v>
      </c>
      <c r="Q267" t="s">
        <v>104</v>
      </c>
      <c r="R267" t="s">
        <v>149</v>
      </c>
      <c r="S267" t="s">
        <v>56</v>
      </c>
      <c r="T267">
        <v>2</v>
      </c>
      <c r="V267">
        <v>1</v>
      </c>
      <c r="W267" t="s">
        <v>57</v>
      </c>
      <c r="AA267" t="s">
        <v>227</v>
      </c>
      <c r="AB267">
        <v>3</v>
      </c>
      <c r="AC267">
        <v>1</v>
      </c>
      <c r="AD267">
        <v>2</v>
      </c>
      <c r="AE267" t="s">
        <v>228</v>
      </c>
      <c r="AF267" t="s">
        <v>232</v>
      </c>
      <c r="AG267" t="s">
        <v>235</v>
      </c>
      <c r="AI267">
        <v>0</v>
      </c>
      <c r="AJ267">
        <v>21</v>
      </c>
    </row>
    <row r="268" spans="1:36" x14ac:dyDescent="0.25">
      <c r="A268" s="36" t="s">
        <v>1455</v>
      </c>
      <c r="B268">
        <v>266</v>
      </c>
      <c r="C268" t="s">
        <v>33</v>
      </c>
      <c r="D268">
        <v>1</v>
      </c>
      <c r="F268">
        <v>2</v>
      </c>
      <c r="G268" t="s">
        <v>65</v>
      </c>
      <c r="H268" t="s">
        <v>66</v>
      </c>
      <c r="I268" t="s">
        <v>36</v>
      </c>
      <c r="K268" t="s">
        <v>38</v>
      </c>
      <c r="L268">
        <v>1</v>
      </c>
      <c r="M268">
        <v>1</v>
      </c>
      <c r="N268">
        <v>1</v>
      </c>
      <c r="O268" t="s">
        <v>39</v>
      </c>
      <c r="P268" t="s">
        <v>70</v>
      </c>
      <c r="Q268" t="s">
        <v>154</v>
      </c>
      <c r="R268" t="s">
        <v>42</v>
      </c>
      <c r="S268" t="s">
        <v>56</v>
      </c>
      <c r="T268">
        <v>1</v>
      </c>
      <c r="V268">
        <v>1</v>
      </c>
      <c r="W268" t="s">
        <v>120</v>
      </c>
      <c r="X268" t="s">
        <v>69</v>
      </c>
      <c r="Y268" t="s">
        <v>87</v>
      </c>
      <c r="AA268" t="s">
        <v>227</v>
      </c>
      <c r="AB268">
        <v>3</v>
      </c>
      <c r="AC268">
        <v>1</v>
      </c>
      <c r="AD268">
        <v>1</v>
      </c>
      <c r="AE268" t="s">
        <v>228</v>
      </c>
      <c r="AF268" t="s">
        <v>231</v>
      </c>
      <c r="AI268">
        <v>0</v>
      </c>
      <c r="AJ268">
        <v>16</v>
      </c>
    </row>
    <row r="269" spans="1:36" x14ac:dyDescent="0.25">
      <c r="A269" s="36" t="s">
        <v>1456</v>
      </c>
      <c r="B269">
        <v>267</v>
      </c>
      <c r="C269" t="s">
        <v>43</v>
      </c>
      <c r="D269">
        <v>3</v>
      </c>
      <c r="F269">
        <v>1</v>
      </c>
      <c r="G269" t="s">
        <v>73</v>
      </c>
      <c r="H269" t="s">
        <v>99</v>
      </c>
      <c r="I269" t="s">
        <v>75</v>
      </c>
      <c r="K269" t="s">
        <v>45</v>
      </c>
      <c r="L269">
        <v>3</v>
      </c>
      <c r="N269">
        <v>2</v>
      </c>
      <c r="O269" t="s">
        <v>47</v>
      </c>
      <c r="P269" t="s">
        <v>141</v>
      </c>
      <c r="S269" t="s">
        <v>56</v>
      </c>
      <c r="T269">
        <v>2</v>
      </c>
      <c r="V269">
        <v>3</v>
      </c>
      <c r="W269" t="s">
        <v>120</v>
      </c>
      <c r="AA269" t="s">
        <v>227</v>
      </c>
      <c r="AB269">
        <v>1</v>
      </c>
      <c r="AC269">
        <v>1</v>
      </c>
      <c r="AD269">
        <v>1</v>
      </c>
      <c r="AE269" t="s">
        <v>228</v>
      </c>
      <c r="AF269" t="s">
        <v>231</v>
      </c>
      <c r="AG269" t="s">
        <v>236</v>
      </c>
      <c r="AI269">
        <v>0</v>
      </c>
      <c r="AJ269">
        <v>19</v>
      </c>
    </row>
    <row r="270" spans="1:36" x14ac:dyDescent="0.25">
      <c r="A270" s="36" t="s">
        <v>1457</v>
      </c>
      <c r="B270">
        <v>268</v>
      </c>
      <c r="C270" t="s">
        <v>56</v>
      </c>
      <c r="D270">
        <v>3</v>
      </c>
      <c r="F270">
        <v>1</v>
      </c>
      <c r="G270" t="s">
        <v>120</v>
      </c>
      <c r="H270" t="s">
        <v>122</v>
      </c>
      <c r="I270" t="s">
        <v>85</v>
      </c>
      <c r="K270" t="s">
        <v>227</v>
      </c>
      <c r="L270">
        <v>2</v>
      </c>
      <c r="M270">
        <v>1</v>
      </c>
      <c r="N270">
        <v>2</v>
      </c>
      <c r="O270" t="s">
        <v>229</v>
      </c>
      <c r="P270" t="s">
        <v>231</v>
      </c>
      <c r="Q270" t="s">
        <v>234</v>
      </c>
      <c r="S270" t="s">
        <v>43</v>
      </c>
      <c r="T270">
        <v>1</v>
      </c>
      <c r="V270">
        <v>1</v>
      </c>
      <c r="W270" t="s">
        <v>73</v>
      </c>
      <c r="X270" t="s">
        <v>74</v>
      </c>
      <c r="Y270" t="s">
        <v>75</v>
      </c>
      <c r="AA270" t="s">
        <v>63</v>
      </c>
      <c r="AB270">
        <v>1</v>
      </c>
      <c r="AD270">
        <v>1</v>
      </c>
      <c r="AE270" t="s">
        <v>145</v>
      </c>
      <c r="AF270" t="s">
        <v>91</v>
      </c>
      <c r="AG270" t="s">
        <v>148</v>
      </c>
      <c r="AH270" t="s">
        <v>151</v>
      </c>
      <c r="AI270">
        <v>0</v>
      </c>
      <c r="AJ270">
        <v>17</v>
      </c>
    </row>
    <row r="271" spans="1:36" x14ac:dyDescent="0.25">
      <c r="A271" s="36" t="s">
        <v>1458</v>
      </c>
      <c r="B271">
        <v>269</v>
      </c>
      <c r="C271" t="s">
        <v>56</v>
      </c>
      <c r="D271">
        <v>2</v>
      </c>
      <c r="F271">
        <v>1</v>
      </c>
      <c r="G271" t="s">
        <v>57</v>
      </c>
      <c r="H271" t="s">
        <v>122</v>
      </c>
      <c r="I271" t="s">
        <v>85</v>
      </c>
      <c r="J271" t="s">
        <v>125</v>
      </c>
      <c r="K271" t="s">
        <v>227</v>
      </c>
      <c r="L271">
        <v>2</v>
      </c>
      <c r="M271">
        <v>1</v>
      </c>
      <c r="N271">
        <v>1</v>
      </c>
      <c r="O271" t="s">
        <v>229</v>
      </c>
      <c r="P271" t="s">
        <v>231</v>
      </c>
      <c r="Q271" t="s">
        <v>235</v>
      </c>
      <c r="R271" t="s">
        <v>238</v>
      </c>
      <c r="S271" t="s">
        <v>43</v>
      </c>
      <c r="T271">
        <v>1</v>
      </c>
      <c r="V271">
        <v>1</v>
      </c>
      <c r="W271" t="s">
        <v>73</v>
      </c>
      <c r="X271" t="s">
        <v>136</v>
      </c>
      <c r="Y271" t="s">
        <v>75</v>
      </c>
      <c r="AA271" t="s">
        <v>38</v>
      </c>
      <c r="AB271">
        <v>2</v>
      </c>
      <c r="AC271">
        <v>1</v>
      </c>
      <c r="AD271">
        <v>2</v>
      </c>
      <c r="AE271" t="s">
        <v>39</v>
      </c>
      <c r="AF271" t="s">
        <v>96</v>
      </c>
      <c r="AG271" t="s">
        <v>41</v>
      </c>
      <c r="AH271" t="s">
        <v>42</v>
      </c>
      <c r="AI271">
        <v>0</v>
      </c>
      <c r="AJ271">
        <v>20</v>
      </c>
    </row>
    <row r="272" spans="1:36" x14ac:dyDescent="0.25">
      <c r="A272" s="36" t="s">
        <v>1459</v>
      </c>
      <c r="B272">
        <v>270</v>
      </c>
      <c r="C272" t="s">
        <v>45</v>
      </c>
      <c r="D272">
        <v>2</v>
      </c>
      <c r="F272">
        <v>1</v>
      </c>
      <c r="G272" t="s">
        <v>86</v>
      </c>
      <c r="K272" t="s">
        <v>63</v>
      </c>
      <c r="L272">
        <v>2</v>
      </c>
      <c r="N272">
        <v>1</v>
      </c>
      <c r="O272" t="s">
        <v>145</v>
      </c>
      <c r="P272" t="s">
        <v>91</v>
      </c>
      <c r="Q272" t="s">
        <v>147</v>
      </c>
      <c r="R272" t="s">
        <v>151</v>
      </c>
      <c r="S272" t="s">
        <v>56</v>
      </c>
      <c r="T272">
        <v>2</v>
      </c>
      <c r="V272">
        <v>1</v>
      </c>
      <c r="W272" t="s">
        <v>57</v>
      </c>
      <c r="X272" t="s">
        <v>122</v>
      </c>
      <c r="Y272" t="s">
        <v>85</v>
      </c>
      <c r="AA272" t="s">
        <v>227</v>
      </c>
      <c r="AB272">
        <v>3</v>
      </c>
      <c r="AC272">
        <v>1</v>
      </c>
      <c r="AD272">
        <v>1</v>
      </c>
      <c r="AE272" t="s">
        <v>229</v>
      </c>
      <c r="AF272" t="s">
        <v>231</v>
      </c>
      <c r="AG272" t="s">
        <v>235</v>
      </c>
      <c r="AH272" t="s">
        <v>238</v>
      </c>
      <c r="AI272">
        <v>0</v>
      </c>
      <c r="AJ272">
        <v>18</v>
      </c>
    </row>
    <row r="273" spans="1:36" x14ac:dyDescent="0.25">
      <c r="A273" s="36" t="s">
        <v>1460</v>
      </c>
      <c r="B273">
        <v>271</v>
      </c>
      <c r="C273" t="s">
        <v>45</v>
      </c>
      <c r="D273">
        <v>3</v>
      </c>
      <c r="F273">
        <v>1</v>
      </c>
      <c r="G273" t="s">
        <v>140</v>
      </c>
      <c r="H273" t="s">
        <v>76</v>
      </c>
      <c r="I273" t="s">
        <v>142</v>
      </c>
      <c r="K273" t="s">
        <v>38</v>
      </c>
      <c r="L273">
        <v>1</v>
      </c>
      <c r="M273">
        <v>1</v>
      </c>
      <c r="N273">
        <v>2</v>
      </c>
      <c r="O273" t="s">
        <v>39</v>
      </c>
      <c r="P273" t="s">
        <v>70</v>
      </c>
      <c r="S273" t="s">
        <v>56</v>
      </c>
      <c r="T273">
        <v>3</v>
      </c>
      <c r="V273">
        <v>1</v>
      </c>
      <c r="W273" t="s">
        <v>57</v>
      </c>
      <c r="X273" t="s">
        <v>69</v>
      </c>
      <c r="AA273" t="s">
        <v>227</v>
      </c>
      <c r="AB273">
        <v>1</v>
      </c>
      <c r="AC273">
        <v>1</v>
      </c>
      <c r="AD273">
        <v>1</v>
      </c>
      <c r="AE273" t="s">
        <v>228</v>
      </c>
      <c r="AF273" t="s">
        <v>231</v>
      </c>
      <c r="AI273">
        <v>0</v>
      </c>
      <c r="AJ273">
        <v>15</v>
      </c>
    </row>
    <row r="274" spans="1:36" x14ac:dyDescent="0.25">
      <c r="A274" s="36" t="s">
        <v>1461</v>
      </c>
      <c r="B274">
        <v>272</v>
      </c>
      <c r="C274" t="s">
        <v>63</v>
      </c>
      <c r="D274">
        <v>3</v>
      </c>
      <c r="F274">
        <v>1</v>
      </c>
      <c r="G274" t="s">
        <v>145</v>
      </c>
      <c r="H274" t="s">
        <v>146</v>
      </c>
      <c r="I274" t="s">
        <v>104</v>
      </c>
      <c r="J274" t="s">
        <v>150</v>
      </c>
      <c r="K274" t="s">
        <v>38</v>
      </c>
      <c r="L274">
        <v>3</v>
      </c>
      <c r="M274">
        <v>1</v>
      </c>
      <c r="N274">
        <v>2</v>
      </c>
      <c r="O274" t="s">
        <v>39</v>
      </c>
      <c r="P274" t="s">
        <v>96</v>
      </c>
      <c r="Q274" t="s">
        <v>154</v>
      </c>
      <c r="S274" t="s">
        <v>56</v>
      </c>
      <c r="T274">
        <v>3</v>
      </c>
      <c r="V274">
        <v>2</v>
      </c>
      <c r="W274" t="s">
        <v>57</v>
      </c>
      <c r="X274" t="s">
        <v>122</v>
      </c>
      <c r="Y274" t="s">
        <v>123</v>
      </c>
      <c r="AA274" t="s">
        <v>227</v>
      </c>
      <c r="AB274">
        <v>1</v>
      </c>
      <c r="AC274">
        <v>1</v>
      </c>
      <c r="AD274">
        <v>1</v>
      </c>
      <c r="AE274" t="s">
        <v>229</v>
      </c>
      <c r="AF274" t="s">
        <v>231</v>
      </c>
      <c r="AG274" t="s">
        <v>235</v>
      </c>
      <c r="AH274" t="s">
        <v>238</v>
      </c>
      <c r="AI274">
        <v>0</v>
      </c>
      <c r="AJ274">
        <v>22</v>
      </c>
    </row>
    <row r="275" spans="1:36" x14ac:dyDescent="0.25">
      <c r="A275" t="s">
        <v>1462</v>
      </c>
      <c r="B275">
        <v>273</v>
      </c>
      <c r="C275" t="s">
        <v>43</v>
      </c>
      <c r="D275">
        <v>3</v>
      </c>
      <c r="F275">
        <v>1</v>
      </c>
      <c r="G275" t="s">
        <v>135</v>
      </c>
      <c r="H275" t="s">
        <v>136</v>
      </c>
      <c r="K275" t="s">
        <v>45</v>
      </c>
      <c r="L275">
        <v>3</v>
      </c>
      <c r="N275">
        <v>1</v>
      </c>
      <c r="O275" t="s">
        <v>140</v>
      </c>
      <c r="P275" t="s">
        <v>141</v>
      </c>
      <c r="Q275" t="s">
        <v>93</v>
      </c>
      <c r="S275" t="s">
        <v>48</v>
      </c>
      <c r="T275">
        <v>1</v>
      </c>
      <c r="V275">
        <v>1</v>
      </c>
      <c r="W275" t="s">
        <v>126</v>
      </c>
      <c r="X275" t="s">
        <v>50</v>
      </c>
      <c r="AA275" t="s">
        <v>33</v>
      </c>
      <c r="AB275">
        <v>2</v>
      </c>
      <c r="AD275">
        <v>2</v>
      </c>
      <c r="AE275" t="s">
        <v>65</v>
      </c>
      <c r="AF275" t="s">
        <v>66</v>
      </c>
      <c r="AG275" t="s">
        <v>36</v>
      </c>
      <c r="AI275">
        <v>0</v>
      </c>
      <c r="AJ275">
        <v>16</v>
      </c>
    </row>
    <row r="276" spans="1:36" x14ac:dyDescent="0.25">
      <c r="A276" t="s">
        <v>1463</v>
      </c>
      <c r="B276">
        <v>274</v>
      </c>
      <c r="C276" t="s">
        <v>43</v>
      </c>
      <c r="D276">
        <v>2</v>
      </c>
      <c r="F276">
        <v>1</v>
      </c>
      <c r="G276" t="s">
        <v>44</v>
      </c>
      <c r="H276" t="s">
        <v>99</v>
      </c>
      <c r="I276" t="s">
        <v>75</v>
      </c>
      <c r="K276" t="s">
        <v>63</v>
      </c>
      <c r="L276">
        <v>1</v>
      </c>
      <c r="N276">
        <v>1</v>
      </c>
      <c r="O276" t="s">
        <v>145</v>
      </c>
      <c r="P276" t="s">
        <v>95</v>
      </c>
      <c r="Q276" t="s">
        <v>148</v>
      </c>
      <c r="S276" t="s">
        <v>48</v>
      </c>
      <c r="T276">
        <v>1</v>
      </c>
      <c r="V276">
        <v>1</v>
      </c>
      <c r="W276" t="s">
        <v>89</v>
      </c>
      <c r="X276" t="s">
        <v>84</v>
      </c>
      <c r="Y276" t="s">
        <v>90</v>
      </c>
      <c r="AA276" t="s">
        <v>33</v>
      </c>
      <c r="AB276">
        <v>1</v>
      </c>
      <c r="AD276">
        <v>2</v>
      </c>
      <c r="AE276" t="s">
        <v>34</v>
      </c>
      <c r="AI276">
        <v>0</v>
      </c>
      <c r="AJ276">
        <v>12</v>
      </c>
    </row>
    <row r="277" spans="1:36" x14ac:dyDescent="0.25">
      <c r="A277" t="s">
        <v>1464</v>
      </c>
      <c r="B277">
        <v>275</v>
      </c>
      <c r="C277" t="s">
        <v>43</v>
      </c>
      <c r="D277">
        <v>3</v>
      </c>
      <c r="F277">
        <v>2</v>
      </c>
      <c r="G277" t="s">
        <v>135</v>
      </c>
      <c r="H277" t="s">
        <v>136</v>
      </c>
      <c r="K277" t="s">
        <v>38</v>
      </c>
      <c r="L277">
        <v>3</v>
      </c>
      <c r="M277">
        <v>1</v>
      </c>
      <c r="N277">
        <v>2</v>
      </c>
      <c r="O277" t="s">
        <v>67</v>
      </c>
      <c r="S277" t="s">
        <v>48</v>
      </c>
      <c r="T277">
        <v>1</v>
      </c>
      <c r="V277">
        <v>1</v>
      </c>
      <c r="W277" t="s">
        <v>126</v>
      </c>
      <c r="X277" t="s">
        <v>84</v>
      </c>
      <c r="Y277" t="s">
        <v>90</v>
      </c>
      <c r="AA277" t="s">
        <v>33</v>
      </c>
      <c r="AB277">
        <v>3</v>
      </c>
      <c r="AD277">
        <v>3</v>
      </c>
      <c r="AE277" t="s">
        <v>65</v>
      </c>
      <c r="AI277">
        <v>0</v>
      </c>
      <c r="AJ277">
        <v>17</v>
      </c>
    </row>
    <row r="278" spans="1:36" x14ac:dyDescent="0.25">
      <c r="A278" s="36" t="s">
        <v>1465</v>
      </c>
      <c r="B278">
        <v>276</v>
      </c>
      <c r="C278" t="s">
        <v>48</v>
      </c>
      <c r="D278">
        <v>2</v>
      </c>
      <c r="F278">
        <v>1</v>
      </c>
      <c r="G278" t="s">
        <v>126</v>
      </c>
      <c r="H278" t="s">
        <v>84</v>
      </c>
      <c r="I278" t="s">
        <v>90</v>
      </c>
      <c r="J278" t="s">
        <v>129</v>
      </c>
      <c r="K278" t="s">
        <v>33</v>
      </c>
      <c r="L278">
        <v>2</v>
      </c>
      <c r="N278">
        <v>3</v>
      </c>
      <c r="O278" t="s">
        <v>65</v>
      </c>
      <c r="P278" t="s">
        <v>66</v>
      </c>
      <c r="Q278" t="s">
        <v>36</v>
      </c>
      <c r="S278" t="s">
        <v>43</v>
      </c>
      <c r="T278">
        <v>3</v>
      </c>
      <c r="V278">
        <v>1</v>
      </c>
      <c r="W278" t="s">
        <v>44</v>
      </c>
      <c r="X278" t="s">
        <v>136</v>
      </c>
      <c r="Y278" t="s">
        <v>137</v>
      </c>
      <c r="AA278" t="s">
        <v>227</v>
      </c>
      <c r="AB278">
        <v>3</v>
      </c>
      <c r="AC278">
        <v>1</v>
      </c>
      <c r="AD278">
        <v>1</v>
      </c>
      <c r="AE278" t="s">
        <v>228</v>
      </c>
      <c r="AI278">
        <v>0</v>
      </c>
      <c r="AJ278">
        <v>19</v>
      </c>
    </row>
    <row r="279" spans="1:36" x14ac:dyDescent="0.25">
      <c r="A279" t="s">
        <v>1466</v>
      </c>
      <c r="B279">
        <v>277</v>
      </c>
      <c r="C279" t="s">
        <v>45</v>
      </c>
      <c r="D279">
        <v>3</v>
      </c>
      <c r="F279">
        <v>1</v>
      </c>
      <c r="G279" t="s">
        <v>140</v>
      </c>
      <c r="H279" t="s">
        <v>141</v>
      </c>
      <c r="I279" t="s">
        <v>93</v>
      </c>
      <c r="K279" t="s">
        <v>63</v>
      </c>
      <c r="L279">
        <v>2</v>
      </c>
      <c r="N279">
        <v>1</v>
      </c>
      <c r="O279" t="s">
        <v>145</v>
      </c>
      <c r="P279" t="s">
        <v>91</v>
      </c>
      <c r="Q279" t="s">
        <v>147</v>
      </c>
      <c r="S279" t="s">
        <v>48</v>
      </c>
      <c r="T279">
        <v>1</v>
      </c>
      <c r="V279">
        <v>1</v>
      </c>
      <c r="W279" t="s">
        <v>49</v>
      </c>
      <c r="X279" t="s">
        <v>50</v>
      </c>
      <c r="Y279" t="s">
        <v>127</v>
      </c>
      <c r="Z279" t="s">
        <v>129</v>
      </c>
      <c r="AA279" t="s">
        <v>33</v>
      </c>
      <c r="AB279">
        <v>1</v>
      </c>
      <c r="AD279">
        <v>2</v>
      </c>
      <c r="AE279" t="s">
        <v>34</v>
      </c>
      <c r="AI279">
        <v>0</v>
      </c>
      <c r="AJ279">
        <v>15</v>
      </c>
    </row>
    <row r="280" spans="1:36" x14ac:dyDescent="0.25">
      <c r="A280" t="s">
        <v>1467</v>
      </c>
      <c r="B280">
        <v>278</v>
      </c>
      <c r="C280" t="s">
        <v>48</v>
      </c>
      <c r="D280">
        <v>3</v>
      </c>
      <c r="F280">
        <v>1</v>
      </c>
      <c r="G280" t="s">
        <v>126</v>
      </c>
      <c r="H280" t="s">
        <v>84</v>
      </c>
      <c r="I280" t="s">
        <v>90</v>
      </c>
      <c r="J280" t="s">
        <v>129</v>
      </c>
      <c r="K280" t="s">
        <v>33</v>
      </c>
      <c r="L280">
        <v>2</v>
      </c>
      <c r="N280">
        <v>3</v>
      </c>
      <c r="O280" t="s">
        <v>65</v>
      </c>
      <c r="P280" t="s">
        <v>66</v>
      </c>
      <c r="Q280" t="s">
        <v>132</v>
      </c>
      <c r="R280" t="s">
        <v>37</v>
      </c>
      <c r="S280" t="s">
        <v>45</v>
      </c>
      <c r="T280">
        <v>3</v>
      </c>
      <c r="V280">
        <v>1</v>
      </c>
      <c r="W280" t="s">
        <v>86</v>
      </c>
      <c r="X280" t="s">
        <v>141</v>
      </c>
      <c r="Y280" t="s">
        <v>102</v>
      </c>
      <c r="Z280" t="s">
        <v>144</v>
      </c>
      <c r="AA280" t="s">
        <v>38</v>
      </c>
      <c r="AB280">
        <v>1</v>
      </c>
      <c r="AC280">
        <v>1</v>
      </c>
      <c r="AD280">
        <v>2</v>
      </c>
      <c r="AE280" t="s">
        <v>39</v>
      </c>
      <c r="AF280" t="s">
        <v>96</v>
      </c>
      <c r="AI280">
        <v>0</v>
      </c>
      <c r="AJ280">
        <v>22</v>
      </c>
    </row>
    <row r="281" spans="1:36" x14ac:dyDescent="0.25">
      <c r="A281" s="36" t="s">
        <v>1468</v>
      </c>
      <c r="B281">
        <v>279</v>
      </c>
      <c r="C281" t="s">
        <v>48</v>
      </c>
      <c r="D281">
        <v>3</v>
      </c>
      <c r="F281">
        <v>3</v>
      </c>
      <c r="G281" t="s">
        <v>126</v>
      </c>
      <c r="H281" t="s">
        <v>84</v>
      </c>
      <c r="I281" t="s">
        <v>90</v>
      </c>
      <c r="J281" t="s">
        <v>128</v>
      </c>
      <c r="K281" t="s">
        <v>33</v>
      </c>
      <c r="L281">
        <v>1</v>
      </c>
      <c r="N281">
        <v>3</v>
      </c>
      <c r="O281" t="s">
        <v>65</v>
      </c>
      <c r="P281" t="s">
        <v>35</v>
      </c>
      <c r="S281" t="s">
        <v>45</v>
      </c>
      <c r="T281">
        <v>3</v>
      </c>
      <c r="V281">
        <v>3</v>
      </c>
      <c r="W281" t="s">
        <v>86</v>
      </c>
      <c r="X281" t="s">
        <v>141</v>
      </c>
      <c r="Y281" t="s">
        <v>93</v>
      </c>
      <c r="Z281" t="s">
        <v>144</v>
      </c>
      <c r="AA281" t="s">
        <v>227</v>
      </c>
      <c r="AB281">
        <v>2</v>
      </c>
      <c r="AC281">
        <v>1</v>
      </c>
      <c r="AD281">
        <v>2</v>
      </c>
      <c r="AE281" t="s">
        <v>228</v>
      </c>
      <c r="AI281">
        <v>0</v>
      </c>
      <c r="AJ281">
        <v>33</v>
      </c>
    </row>
    <row r="282" spans="1:36" x14ac:dyDescent="0.25">
      <c r="A282" t="s">
        <v>1469</v>
      </c>
      <c r="B282">
        <v>280</v>
      </c>
      <c r="C282" t="s">
        <v>63</v>
      </c>
      <c r="D282">
        <v>2</v>
      </c>
      <c r="F282">
        <v>3</v>
      </c>
      <c r="G282" t="s">
        <v>145</v>
      </c>
      <c r="H282" t="s">
        <v>91</v>
      </c>
      <c r="I282" t="s">
        <v>148</v>
      </c>
      <c r="J282" t="s">
        <v>151</v>
      </c>
      <c r="K282" t="s">
        <v>38</v>
      </c>
      <c r="L282">
        <v>3</v>
      </c>
      <c r="M282">
        <v>2</v>
      </c>
      <c r="N282">
        <v>3</v>
      </c>
      <c r="O282" t="s">
        <v>67</v>
      </c>
      <c r="P282" t="s">
        <v>40</v>
      </c>
      <c r="Q282" t="s">
        <v>153</v>
      </c>
      <c r="R282" t="s">
        <v>42</v>
      </c>
      <c r="S282" t="s">
        <v>48</v>
      </c>
      <c r="T282">
        <v>3</v>
      </c>
      <c r="V282">
        <v>3</v>
      </c>
      <c r="W282" t="s">
        <v>49</v>
      </c>
      <c r="X282" t="s">
        <v>84</v>
      </c>
      <c r="Y282" t="s">
        <v>127</v>
      </c>
      <c r="Z282" t="s">
        <v>52</v>
      </c>
      <c r="AA282" t="s">
        <v>33</v>
      </c>
      <c r="AB282">
        <v>1</v>
      </c>
      <c r="AD282">
        <v>2</v>
      </c>
      <c r="AE282" t="s">
        <v>65</v>
      </c>
      <c r="AI282">
        <v>0</v>
      </c>
      <c r="AJ282">
        <v>26</v>
      </c>
    </row>
    <row r="283" spans="1:36" x14ac:dyDescent="0.25">
      <c r="A283" s="36" t="s">
        <v>1470</v>
      </c>
      <c r="B283">
        <v>281</v>
      </c>
      <c r="C283" t="s">
        <v>48</v>
      </c>
      <c r="D283">
        <v>3</v>
      </c>
      <c r="F283">
        <v>2</v>
      </c>
      <c r="G283" t="s">
        <v>89</v>
      </c>
      <c r="H283" t="s">
        <v>84</v>
      </c>
      <c r="I283" t="s">
        <v>127</v>
      </c>
      <c r="J283" t="s">
        <v>129</v>
      </c>
      <c r="K283" t="s">
        <v>33</v>
      </c>
      <c r="L283">
        <v>3</v>
      </c>
      <c r="N283">
        <v>3</v>
      </c>
      <c r="O283" t="s">
        <v>34</v>
      </c>
      <c r="P283" t="s">
        <v>66</v>
      </c>
      <c r="Q283" t="s">
        <v>132</v>
      </c>
      <c r="R283" t="s">
        <v>133</v>
      </c>
      <c r="S283" t="s">
        <v>63</v>
      </c>
      <c r="T283">
        <v>3</v>
      </c>
      <c r="V283">
        <v>3</v>
      </c>
      <c r="W283" t="s">
        <v>145</v>
      </c>
      <c r="X283" t="s">
        <v>146</v>
      </c>
      <c r="Y283" t="s">
        <v>147</v>
      </c>
      <c r="AA283" t="s">
        <v>227</v>
      </c>
      <c r="AB283">
        <v>1</v>
      </c>
      <c r="AC283">
        <v>1</v>
      </c>
      <c r="AD283">
        <v>1</v>
      </c>
      <c r="AE283" t="s">
        <v>228</v>
      </c>
      <c r="AF283" t="s">
        <v>231</v>
      </c>
      <c r="AI283">
        <v>0</v>
      </c>
      <c r="AJ283">
        <v>24</v>
      </c>
    </row>
    <row r="284" spans="1:36" x14ac:dyDescent="0.25">
      <c r="A284" s="36" t="s">
        <v>1471</v>
      </c>
      <c r="B284">
        <v>282</v>
      </c>
      <c r="C284" t="s">
        <v>48</v>
      </c>
      <c r="D284">
        <v>1</v>
      </c>
      <c r="F284">
        <v>1</v>
      </c>
      <c r="G284" t="s">
        <v>89</v>
      </c>
      <c r="H284" t="s">
        <v>84</v>
      </c>
      <c r="I284" t="s">
        <v>51</v>
      </c>
      <c r="J284" t="s">
        <v>128</v>
      </c>
      <c r="K284" t="s">
        <v>33</v>
      </c>
      <c r="L284">
        <v>1</v>
      </c>
      <c r="N284">
        <v>2</v>
      </c>
      <c r="O284" t="s">
        <v>65</v>
      </c>
      <c r="P284" t="s">
        <v>66</v>
      </c>
      <c r="S284" t="s">
        <v>38</v>
      </c>
      <c r="T284">
        <v>1</v>
      </c>
      <c r="U284">
        <v>1</v>
      </c>
      <c r="V284">
        <v>2</v>
      </c>
      <c r="W284" t="s">
        <v>39</v>
      </c>
      <c r="X284" t="s">
        <v>96</v>
      </c>
      <c r="AA284" t="s">
        <v>227</v>
      </c>
      <c r="AB284">
        <v>3</v>
      </c>
      <c r="AC284">
        <v>1</v>
      </c>
      <c r="AD284">
        <v>1</v>
      </c>
      <c r="AE284" t="s">
        <v>228</v>
      </c>
      <c r="AF284" t="s">
        <v>231</v>
      </c>
      <c r="AI284">
        <v>0</v>
      </c>
      <c r="AJ284">
        <v>14</v>
      </c>
    </row>
    <row r="285" spans="1:36" x14ac:dyDescent="0.25">
      <c r="A285" t="s">
        <v>1472</v>
      </c>
      <c r="B285">
        <v>283</v>
      </c>
      <c r="C285" t="s">
        <v>33</v>
      </c>
      <c r="D285">
        <v>2</v>
      </c>
      <c r="F285">
        <v>2</v>
      </c>
      <c r="G285" t="s">
        <v>65</v>
      </c>
      <c r="H285" t="s">
        <v>130</v>
      </c>
      <c r="I285" t="s">
        <v>36</v>
      </c>
      <c r="J285" t="s">
        <v>133</v>
      </c>
      <c r="K285" t="s">
        <v>45</v>
      </c>
      <c r="L285">
        <v>3</v>
      </c>
      <c r="N285">
        <v>2</v>
      </c>
      <c r="O285" t="s">
        <v>86</v>
      </c>
      <c r="S285" t="s">
        <v>48</v>
      </c>
      <c r="T285">
        <v>1</v>
      </c>
      <c r="V285">
        <v>1</v>
      </c>
      <c r="W285" t="s">
        <v>126</v>
      </c>
      <c r="X285" t="s">
        <v>50</v>
      </c>
      <c r="AA285" t="s">
        <v>43</v>
      </c>
      <c r="AB285">
        <v>1</v>
      </c>
      <c r="AD285">
        <v>1</v>
      </c>
      <c r="AE285" t="s">
        <v>44</v>
      </c>
      <c r="AF285" t="s">
        <v>136</v>
      </c>
      <c r="AG285" t="s">
        <v>100</v>
      </c>
      <c r="AH285" t="s">
        <v>101</v>
      </c>
      <c r="AI285">
        <v>0</v>
      </c>
      <c r="AJ285">
        <v>17</v>
      </c>
    </row>
    <row r="286" spans="1:36" x14ac:dyDescent="0.25">
      <c r="A286" t="s">
        <v>1473</v>
      </c>
      <c r="B286">
        <v>284</v>
      </c>
      <c r="C286" t="s">
        <v>33</v>
      </c>
      <c r="D286">
        <v>3</v>
      </c>
      <c r="F286">
        <v>2</v>
      </c>
      <c r="G286" t="s">
        <v>65</v>
      </c>
      <c r="H286" t="s">
        <v>66</v>
      </c>
      <c r="K286" t="s">
        <v>63</v>
      </c>
      <c r="L286">
        <v>2</v>
      </c>
      <c r="N286">
        <v>1</v>
      </c>
      <c r="O286" t="s">
        <v>103</v>
      </c>
      <c r="P286" t="s">
        <v>146</v>
      </c>
      <c r="Q286" t="s">
        <v>148</v>
      </c>
      <c r="R286" t="s">
        <v>151</v>
      </c>
      <c r="S286" t="s">
        <v>48</v>
      </c>
      <c r="T286">
        <v>1</v>
      </c>
      <c r="V286">
        <v>1</v>
      </c>
      <c r="W286" t="s">
        <v>126</v>
      </c>
      <c r="X286" t="s">
        <v>50</v>
      </c>
      <c r="Y286" t="s">
        <v>90</v>
      </c>
      <c r="AA286" t="s">
        <v>43</v>
      </c>
      <c r="AB286">
        <v>3</v>
      </c>
      <c r="AD286">
        <v>1</v>
      </c>
      <c r="AE286" t="s">
        <v>44</v>
      </c>
      <c r="AF286" t="s">
        <v>136</v>
      </c>
      <c r="AG286" t="s">
        <v>137</v>
      </c>
      <c r="AH286" t="s">
        <v>139</v>
      </c>
      <c r="AI286">
        <v>0</v>
      </c>
      <c r="AJ286">
        <v>20</v>
      </c>
    </row>
    <row r="287" spans="1:36" x14ac:dyDescent="0.25">
      <c r="A287" t="s">
        <v>1474</v>
      </c>
      <c r="B287">
        <v>285</v>
      </c>
      <c r="C287" t="s">
        <v>33</v>
      </c>
      <c r="D287">
        <v>2</v>
      </c>
      <c r="F287">
        <v>3</v>
      </c>
      <c r="G287" t="s">
        <v>65</v>
      </c>
      <c r="K287" t="s">
        <v>38</v>
      </c>
      <c r="L287">
        <v>1</v>
      </c>
      <c r="M287">
        <v>1</v>
      </c>
      <c r="N287">
        <v>2</v>
      </c>
      <c r="O287" t="s">
        <v>39</v>
      </c>
      <c r="P287" t="s">
        <v>96</v>
      </c>
      <c r="Q287" t="s">
        <v>41</v>
      </c>
      <c r="R287" t="s">
        <v>156</v>
      </c>
      <c r="S287" t="s">
        <v>48</v>
      </c>
      <c r="T287">
        <v>2</v>
      </c>
      <c r="V287">
        <v>1</v>
      </c>
      <c r="W287" t="s">
        <v>89</v>
      </c>
      <c r="X287" t="s">
        <v>50</v>
      </c>
      <c r="Y287" t="s">
        <v>127</v>
      </c>
      <c r="AA287" t="s">
        <v>43</v>
      </c>
      <c r="AB287">
        <v>1</v>
      </c>
      <c r="AD287">
        <v>2</v>
      </c>
      <c r="AE287" t="s">
        <v>44</v>
      </c>
      <c r="AF287" t="s">
        <v>136</v>
      </c>
      <c r="AI287">
        <v>0</v>
      </c>
      <c r="AJ287">
        <v>17</v>
      </c>
    </row>
    <row r="288" spans="1:36" x14ac:dyDescent="0.25">
      <c r="A288" s="36" t="s">
        <v>1475</v>
      </c>
      <c r="B288">
        <v>286</v>
      </c>
      <c r="C288" t="s">
        <v>33</v>
      </c>
      <c r="D288">
        <v>3</v>
      </c>
      <c r="F288">
        <v>2</v>
      </c>
      <c r="G288" t="s">
        <v>65</v>
      </c>
      <c r="H288" t="s">
        <v>66</v>
      </c>
      <c r="I288" t="s">
        <v>132</v>
      </c>
      <c r="K288" t="s">
        <v>227</v>
      </c>
      <c r="L288">
        <v>1</v>
      </c>
      <c r="M288">
        <v>1</v>
      </c>
      <c r="N288">
        <v>2</v>
      </c>
      <c r="O288" t="s">
        <v>229</v>
      </c>
      <c r="P288" t="s">
        <v>231</v>
      </c>
      <c r="Q288" t="s">
        <v>235</v>
      </c>
      <c r="R288" t="s">
        <v>238</v>
      </c>
      <c r="S288" t="s">
        <v>48</v>
      </c>
      <c r="T288">
        <v>3</v>
      </c>
      <c r="V288">
        <v>1</v>
      </c>
      <c r="W288" t="s">
        <v>126</v>
      </c>
      <c r="X288" t="s">
        <v>84</v>
      </c>
      <c r="Y288" t="s">
        <v>127</v>
      </c>
      <c r="AA288" t="s">
        <v>43</v>
      </c>
      <c r="AB288">
        <v>3</v>
      </c>
      <c r="AD288">
        <v>1</v>
      </c>
      <c r="AE288" t="s">
        <v>44</v>
      </c>
      <c r="AF288" t="s">
        <v>136</v>
      </c>
      <c r="AI288">
        <v>0</v>
      </c>
      <c r="AJ288">
        <v>20</v>
      </c>
    </row>
    <row r="289" spans="1:36" x14ac:dyDescent="0.25">
      <c r="A289" t="s">
        <v>1476</v>
      </c>
      <c r="B289">
        <v>287</v>
      </c>
      <c r="C289" t="s">
        <v>48</v>
      </c>
      <c r="D289">
        <v>3</v>
      </c>
      <c r="F289">
        <v>3</v>
      </c>
      <c r="G289" t="s">
        <v>49</v>
      </c>
      <c r="H289" t="s">
        <v>84</v>
      </c>
      <c r="I289" t="s">
        <v>127</v>
      </c>
      <c r="J289" t="s">
        <v>128</v>
      </c>
      <c r="K289" t="s">
        <v>43</v>
      </c>
      <c r="L289">
        <v>1</v>
      </c>
      <c r="N289">
        <v>1</v>
      </c>
      <c r="O289" t="s">
        <v>73</v>
      </c>
      <c r="P289" t="s">
        <v>136</v>
      </c>
      <c r="Q289" t="s">
        <v>75</v>
      </c>
      <c r="S289" t="s">
        <v>45</v>
      </c>
      <c r="T289">
        <v>3</v>
      </c>
      <c r="V289">
        <v>1</v>
      </c>
      <c r="W289" t="s">
        <v>140</v>
      </c>
      <c r="X289" t="s">
        <v>76</v>
      </c>
      <c r="Y289" t="s">
        <v>142</v>
      </c>
      <c r="AA289" t="s">
        <v>63</v>
      </c>
      <c r="AB289">
        <v>3</v>
      </c>
      <c r="AD289">
        <v>3</v>
      </c>
      <c r="AE289" t="s">
        <v>145</v>
      </c>
      <c r="AF289" t="s">
        <v>91</v>
      </c>
      <c r="AG289" t="s">
        <v>148</v>
      </c>
      <c r="AH289" t="s">
        <v>151</v>
      </c>
      <c r="AI289">
        <v>0</v>
      </c>
      <c r="AJ289">
        <v>29</v>
      </c>
    </row>
    <row r="290" spans="1:36" x14ac:dyDescent="0.25">
      <c r="A290" t="s">
        <v>1477</v>
      </c>
      <c r="B290">
        <v>288</v>
      </c>
      <c r="C290" t="s">
        <v>45</v>
      </c>
      <c r="D290">
        <v>3</v>
      </c>
      <c r="F290">
        <v>1</v>
      </c>
      <c r="G290" t="s">
        <v>140</v>
      </c>
      <c r="H290" t="s">
        <v>76</v>
      </c>
      <c r="I290" t="s">
        <v>93</v>
      </c>
      <c r="K290" t="s">
        <v>38</v>
      </c>
      <c r="L290">
        <v>1</v>
      </c>
      <c r="M290">
        <v>1</v>
      </c>
      <c r="N290">
        <v>2</v>
      </c>
      <c r="O290" t="s">
        <v>39</v>
      </c>
      <c r="P290" t="s">
        <v>96</v>
      </c>
      <c r="S290" t="s">
        <v>48</v>
      </c>
      <c r="T290">
        <v>1</v>
      </c>
      <c r="V290">
        <v>2</v>
      </c>
      <c r="W290" t="s">
        <v>126</v>
      </c>
      <c r="X290" t="s">
        <v>84</v>
      </c>
      <c r="Y290" t="s">
        <v>127</v>
      </c>
      <c r="Z290" t="s">
        <v>52</v>
      </c>
      <c r="AA290" t="s">
        <v>43</v>
      </c>
      <c r="AB290">
        <v>1</v>
      </c>
      <c r="AD290">
        <v>1</v>
      </c>
      <c r="AE290" t="s">
        <v>73</v>
      </c>
      <c r="AF290" t="s">
        <v>136</v>
      </c>
      <c r="AG290" t="s">
        <v>137</v>
      </c>
      <c r="AI290">
        <v>0</v>
      </c>
      <c r="AJ290">
        <v>17</v>
      </c>
    </row>
    <row r="291" spans="1:36" x14ac:dyDescent="0.25">
      <c r="A291" s="36" t="s">
        <v>1478</v>
      </c>
      <c r="B291">
        <v>289</v>
      </c>
      <c r="C291" t="s">
        <v>48</v>
      </c>
      <c r="D291">
        <v>3</v>
      </c>
      <c r="F291">
        <v>3</v>
      </c>
      <c r="G291" t="s">
        <v>126</v>
      </c>
      <c r="H291" t="s">
        <v>84</v>
      </c>
      <c r="I291" t="s">
        <v>127</v>
      </c>
      <c r="J291" t="s">
        <v>52</v>
      </c>
      <c r="K291" t="s">
        <v>43</v>
      </c>
      <c r="L291">
        <v>1</v>
      </c>
      <c r="N291">
        <v>1</v>
      </c>
      <c r="O291" t="s">
        <v>73</v>
      </c>
      <c r="P291" t="s">
        <v>136</v>
      </c>
      <c r="S291" t="s">
        <v>45</v>
      </c>
      <c r="T291">
        <v>3</v>
      </c>
      <c r="V291">
        <v>1</v>
      </c>
      <c r="W291" t="s">
        <v>86</v>
      </c>
      <c r="X291" t="s">
        <v>76</v>
      </c>
      <c r="AA291" t="s">
        <v>227</v>
      </c>
      <c r="AB291">
        <v>1</v>
      </c>
      <c r="AC291">
        <v>3</v>
      </c>
      <c r="AD291">
        <v>3</v>
      </c>
      <c r="AE291" t="s">
        <v>229</v>
      </c>
      <c r="AF291" t="s">
        <v>231</v>
      </c>
      <c r="AG291" t="s">
        <v>235</v>
      </c>
      <c r="AI291">
        <v>0</v>
      </c>
      <c r="AJ291">
        <v>21</v>
      </c>
    </row>
    <row r="292" spans="1:36" x14ac:dyDescent="0.25">
      <c r="A292" t="s">
        <v>1479</v>
      </c>
      <c r="B292">
        <v>290</v>
      </c>
      <c r="C292" t="s">
        <v>63</v>
      </c>
      <c r="D292">
        <v>3</v>
      </c>
      <c r="F292">
        <v>3</v>
      </c>
      <c r="G292" t="s">
        <v>145</v>
      </c>
      <c r="H292" t="s">
        <v>146</v>
      </c>
      <c r="I292" t="s">
        <v>148</v>
      </c>
      <c r="J292" t="s">
        <v>149</v>
      </c>
      <c r="K292" t="s">
        <v>38</v>
      </c>
      <c r="L292">
        <v>3</v>
      </c>
      <c r="M292">
        <v>3</v>
      </c>
      <c r="N292">
        <v>3</v>
      </c>
      <c r="O292" t="s">
        <v>39</v>
      </c>
      <c r="P292" t="s">
        <v>96</v>
      </c>
      <c r="Q292" t="s">
        <v>154</v>
      </c>
      <c r="R292" t="s">
        <v>42</v>
      </c>
      <c r="S292" t="s">
        <v>48</v>
      </c>
      <c r="T292">
        <v>3</v>
      </c>
      <c r="V292">
        <v>3</v>
      </c>
      <c r="W292" t="s">
        <v>49</v>
      </c>
      <c r="X292" t="s">
        <v>84</v>
      </c>
      <c r="Y292" t="s">
        <v>127</v>
      </c>
      <c r="Z292" t="s">
        <v>52</v>
      </c>
      <c r="AA292" t="s">
        <v>43</v>
      </c>
      <c r="AB292">
        <v>1</v>
      </c>
      <c r="AD292">
        <v>1</v>
      </c>
      <c r="AE292" t="s">
        <v>73</v>
      </c>
      <c r="AF292" t="s">
        <v>99</v>
      </c>
      <c r="AG292" t="s">
        <v>75</v>
      </c>
      <c r="AI292">
        <v>0</v>
      </c>
      <c r="AJ292">
        <v>42</v>
      </c>
    </row>
    <row r="293" spans="1:36" x14ac:dyDescent="0.25">
      <c r="A293" s="36" t="s">
        <v>1480</v>
      </c>
      <c r="B293">
        <v>291</v>
      </c>
      <c r="C293" t="s">
        <v>63</v>
      </c>
      <c r="D293">
        <v>3</v>
      </c>
      <c r="F293">
        <v>3</v>
      </c>
      <c r="G293" t="s">
        <v>145</v>
      </c>
      <c r="H293" t="s">
        <v>146</v>
      </c>
      <c r="I293" t="s">
        <v>148</v>
      </c>
      <c r="J293" t="s">
        <v>150</v>
      </c>
      <c r="K293" t="s">
        <v>227</v>
      </c>
      <c r="L293">
        <v>3</v>
      </c>
      <c r="M293">
        <v>3</v>
      </c>
      <c r="N293">
        <v>3</v>
      </c>
      <c r="O293" t="s">
        <v>229</v>
      </c>
      <c r="P293" t="s">
        <v>231</v>
      </c>
      <c r="Q293" t="s">
        <v>235</v>
      </c>
      <c r="R293" t="s">
        <v>238</v>
      </c>
      <c r="S293" t="s">
        <v>48</v>
      </c>
      <c r="T293">
        <v>3</v>
      </c>
      <c r="V293">
        <v>3</v>
      </c>
      <c r="W293" t="s">
        <v>49</v>
      </c>
      <c r="X293" t="s">
        <v>84</v>
      </c>
      <c r="Y293" t="s">
        <v>127</v>
      </c>
      <c r="Z293" t="s">
        <v>129</v>
      </c>
      <c r="AA293" t="s">
        <v>43</v>
      </c>
      <c r="AB293">
        <v>3</v>
      </c>
      <c r="AD293">
        <v>2</v>
      </c>
      <c r="AE293" t="s">
        <v>73</v>
      </c>
      <c r="AF293" t="s">
        <v>99</v>
      </c>
      <c r="AG293" t="s">
        <v>75</v>
      </c>
      <c r="AH293" t="s">
        <v>139</v>
      </c>
      <c r="AI293">
        <v>0</v>
      </c>
      <c r="AJ293">
        <v>40</v>
      </c>
    </row>
    <row r="294" spans="1:36" x14ac:dyDescent="0.25">
      <c r="A294" s="36" t="s">
        <v>1481</v>
      </c>
      <c r="B294">
        <v>292</v>
      </c>
      <c r="C294" t="s">
        <v>38</v>
      </c>
      <c r="D294">
        <v>1</v>
      </c>
      <c r="E294">
        <v>1</v>
      </c>
      <c r="F294">
        <v>2</v>
      </c>
      <c r="G294" t="s">
        <v>39</v>
      </c>
      <c r="H294" t="s">
        <v>96</v>
      </c>
      <c r="K294" t="s">
        <v>227</v>
      </c>
      <c r="L294">
        <v>3</v>
      </c>
      <c r="M294">
        <v>1</v>
      </c>
      <c r="N294">
        <v>3</v>
      </c>
      <c r="O294" t="s">
        <v>229</v>
      </c>
      <c r="P294" t="s">
        <v>231</v>
      </c>
      <c r="Q294" t="s">
        <v>235</v>
      </c>
      <c r="R294" t="s">
        <v>238</v>
      </c>
      <c r="S294" t="s">
        <v>48</v>
      </c>
      <c r="T294">
        <v>2</v>
      </c>
      <c r="V294">
        <v>2</v>
      </c>
      <c r="W294" t="s">
        <v>89</v>
      </c>
      <c r="X294" t="s">
        <v>84</v>
      </c>
      <c r="Y294" t="s">
        <v>127</v>
      </c>
      <c r="Z294" t="s">
        <v>52</v>
      </c>
      <c r="AA294" t="s">
        <v>43</v>
      </c>
      <c r="AB294">
        <v>2</v>
      </c>
      <c r="AD294">
        <v>1</v>
      </c>
      <c r="AE294" t="s">
        <v>73</v>
      </c>
      <c r="AF294" t="s">
        <v>136</v>
      </c>
      <c r="AI294">
        <v>0</v>
      </c>
      <c r="AJ294">
        <v>20</v>
      </c>
    </row>
    <row r="295" spans="1:36" x14ac:dyDescent="0.25">
      <c r="A295" t="s">
        <v>1482</v>
      </c>
      <c r="B295">
        <v>293</v>
      </c>
      <c r="C295" t="s">
        <v>48</v>
      </c>
      <c r="D295">
        <v>2</v>
      </c>
      <c r="F295">
        <v>1</v>
      </c>
      <c r="G295" t="s">
        <v>126</v>
      </c>
      <c r="H295" t="s">
        <v>71</v>
      </c>
      <c r="I295" t="s">
        <v>127</v>
      </c>
      <c r="K295" t="s">
        <v>45</v>
      </c>
      <c r="L295">
        <v>3</v>
      </c>
      <c r="N295">
        <v>1</v>
      </c>
      <c r="O295" t="s">
        <v>140</v>
      </c>
      <c r="S295" t="s">
        <v>33</v>
      </c>
      <c r="T295">
        <v>2</v>
      </c>
      <c r="V295">
        <v>3</v>
      </c>
      <c r="W295" t="s">
        <v>65</v>
      </c>
      <c r="AA295" t="s">
        <v>43</v>
      </c>
      <c r="AB295">
        <v>1</v>
      </c>
      <c r="AD295">
        <v>1</v>
      </c>
      <c r="AE295" t="s">
        <v>73</v>
      </c>
      <c r="AF295" t="s">
        <v>136</v>
      </c>
      <c r="AI295">
        <v>0</v>
      </c>
      <c r="AJ295">
        <v>14</v>
      </c>
    </row>
    <row r="296" spans="1:36" x14ac:dyDescent="0.25">
      <c r="A296" t="s">
        <v>1483</v>
      </c>
      <c r="B296">
        <v>294</v>
      </c>
      <c r="C296" t="s">
        <v>33</v>
      </c>
      <c r="D296">
        <v>1</v>
      </c>
      <c r="F296">
        <v>3</v>
      </c>
      <c r="G296" t="s">
        <v>65</v>
      </c>
      <c r="H296" t="s">
        <v>35</v>
      </c>
      <c r="I296" t="s">
        <v>131</v>
      </c>
      <c r="J296" t="s">
        <v>133</v>
      </c>
      <c r="K296" t="s">
        <v>63</v>
      </c>
      <c r="L296">
        <v>2</v>
      </c>
      <c r="N296">
        <v>2</v>
      </c>
      <c r="O296" t="s">
        <v>145</v>
      </c>
      <c r="P296" t="s">
        <v>146</v>
      </c>
      <c r="Q296" t="s">
        <v>148</v>
      </c>
      <c r="R296" t="s">
        <v>149</v>
      </c>
      <c r="S296" t="s">
        <v>48</v>
      </c>
      <c r="T296">
        <v>2</v>
      </c>
      <c r="V296">
        <v>1</v>
      </c>
      <c r="W296" t="s">
        <v>89</v>
      </c>
      <c r="X296" t="s">
        <v>84</v>
      </c>
      <c r="AA296" t="s">
        <v>45</v>
      </c>
      <c r="AB296">
        <v>3</v>
      </c>
      <c r="AD296">
        <v>1</v>
      </c>
      <c r="AE296" t="s">
        <v>140</v>
      </c>
      <c r="AF296" t="s">
        <v>92</v>
      </c>
      <c r="AG296" t="s">
        <v>102</v>
      </c>
      <c r="AH296" t="s">
        <v>143</v>
      </c>
      <c r="AI296">
        <v>0</v>
      </c>
      <c r="AJ296">
        <v>21</v>
      </c>
    </row>
    <row r="297" spans="1:36" x14ac:dyDescent="0.25">
      <c r="A297" t="s">
        <v>1484</v>
      </c>
      <c r="B297">
        <v>295</v>
      </c>
      <c r="C297" t="s">
        <v>48</v>
      </c>
      <c r="D297">
        <v>2</v>
      </c>
      <c r="F297">
        <v>1</v>
      </c>
      <c r="G297" t="s">
        <v>89</v>
      </c>
      <c r="H297" t="s">
        <v>84</v>
      </c>
      <c r="K297" t="s">
        <v>45</v>
      </c>
      <c r="L297">
        <v>3</v>
      </c>
      <c r="N297">
        <v>1</v>
      </c>
      <c r="O297" t="s">
        <v>140</v>
      </c>
      <c r="P297" t="s">
        <v>141</v>
      </c>
      <c r="Q297" t="s">
        <v>93</v>
      </c>
      <c r="S297" t="s">
        <v>33</v>
      </c>
      <c r="T297">
        <v>2</v>
      </c>
      <c r="V297">
        <v>3</v>
      </c>
      <c r="W297" t="s">
        <v>65</v>
      </c>
      <c r="AA297" t="s">
        <v>38</v>
      </c>
      <c r="AB297">
        <v>1</v>
      </c>
      <c r="AC297">
        <v>1</v>
      </c>
      <c r="AD297">
        <v>2</v>
      </c>
      <c r="AE297" t="s">
        <v>39</v>
      </c>
      <c r="AF297" t="s">
        <v>96</v>
      </c>
      <c r="AG297" t="s">
        <v>153</v>
      </c>
      <c r="AH297" t="s">
        <v>155</v>
      </c>
      <c r="AI297">
        <v>0</v>
      </c>
      <c r="AJ297">
        <v>17</v>
      </c>
    </row>
    <row r="298" spans="1:36" x14ac:dyDescent="0.25">
      <c r="A298" s="36" t="s">
        <v>1485</v>
      </c>
      <c r="B298">
        <v>296</v>
      </c>
      <c r="C298" t="s">
        <v>33</v>
      </c>
      <c r="D298">
        <v>2</v>
      </c>
      <c r="F298">
        <v>3</v>
      </c>
      <c r="G298" t="s">
        <v>65</v>
      </c>
      <c r="K298" t="s">
        <v>227</v>
      </c>
      <c r="L298">
        <v>3</v>
      </c>
      <c r="M298">
        <v>1</v>
      </c>
      <c r="N298">
        <v>1</v>
      </c>
      <c r="O298" t="s">
        <v>228</v>
      </c>
      <c r="P298" t="s">
        <v>231</v>
      </c>
      <c r="S298" t="s">
        <v>48</v>
      </c>
      <c r="T298">
        <v>1</v>
      </c>
      <c r="V298">
        <v>1</v>
      </c>
      <c r="W298" t="s">
        <v>89</v>
      </c>
      <c r="X298" t="s">
        <v>50</v>
      </c>
      <c r="AA298" t="s">
        <v>45</v>
      </c>
      <c r="AB298">
        <v>3</v>
      </c>
      <c r="AD298">
        <v>1</v>
      </c>
      <c r="AE298" t="s">
        <v>140</v>
      </c>
      <c r="AI298">
        <v>0</v>
      </c>
      <c r="AJ298">
        <v>13</v>
      </c>
    </row>
    <row r="299" spans="1:36" x14ac:dyDescent="0.25">
      <c r="A299" t="s">
        <v>1486</v>
      </c>
      <c r="B299">
        <v>297</v>
      </c>
      <c r="C299" t="s">
        <v>43</v>
      </c>
      <c r="D299">
        <v>2</v>
      </c>
      <c r="F299">
        <v>2</v>
      </c>
      <c r="G299" t="s">
        <v>44</v>
      </c>
      <c r="H299" t="s">
        <v>136</v>
      </c>
      <c r="K299" t="s">
        <v>63</v>
      </c>
      <c r="L299">
        <v>3</v>
      </c>
      <c r="N299">
        <v>3</v>
      </c>
      <c r="O299" t="s">
        <v>145</v>
      </c>
      <c r="P299" t="s">
        <v>146</v>
      </c>
      <c r="Q299" t="s">
        <v>104</v>
      </c>
      <c r="R299" t="s">
        <v>150</v>
      </c>
      <c r="S299" t="s">
        <v>48</v>
      </c>
      <c r="T299">
        <v>3</v>
      </c>
      <c r="V299">
        <v>3</v>
      </c>
      <c r="W299" t="s">
        <v>89</v>
      </c>
      <c r="X299" t="s">
        <v>84</v>
      </c>
      <c r="Y299" t="s">
        <v>90</v>
      </c>
      <c r="Z299" t="s">
        <v>52</v>
      </c>
      <c r="AA299" t="s">
        <v>45</v>
      </c>
      <c r="AB299">
        <v>3</v>
      </c>
      <c r="AD299">
        <v>1</v>
      </c>
      <c r="AE299" t="s">
        <v>86</v>
      </c>
      <c r="AI299">
        <v>0</v>
      </c>
      <c r="AJ299">
        <v>41</v>
      </c>
    </row>
    <row r="300" spans="1:36" x14ac:dyDescent="0.25">
      <c r="A300" t="s">
        <v>1487</v>
      </c>
      <c r="B300">
        <v>298</v>
      </c>
      <c r="C300" t="s">
        <v>48</v>
      </c>
      <c r="D300">
        <v>1</v>
      </c>
      <c r="F300">
        <v>1</v>
      </c>
      <c r="G300" t="s">
        <v>89</v>
      </c>
      <c r="H300" t="s">
        <v>84</v>
      </c>
      <c r="I300" t="s">
        <v>127</v>
      </c>
      <c r="J300" t="s">
        <v>52</v>
      </c>
      <c r="K300" t="s">
        <v>45</v>
      </c>
      <c r="L300">
        <v>3</v>
      </c>
      <c r="N300">
        <v>1</v>
      </c>
      <c r="O300" t="s">
        <v>140</v>
      </c>
      <c r="S300" t="s">
        <v>43</v>
      </c>
      <c r="T300">
        <v>1</v>
      </c>
      <c r="V300">
        <v>1</v>
      </c>
      <c r="W300" t="s">
        <v>44</v>
      </c>
      <c r="AA300" t="s">
        <v>38</v>
      </c>
      <c r="AB300">
        <v>2</v>
      </c>
      <c r="AC300">
        <v>1</v>
      </c>
      <c r="AD300">
        <v>2</v>
      </c>
      <c r="AE300" t="s">
        <v>39</v>
      </c>
      <c r="AF300" t="s">
        <v>96</v>
      </c>
      <c r="AI300">
        <v>0</v>
      </c>
      <c r="AJ300">
        <v>12</v>
      </c>
    </row>
    <row r="301" spans="1:36" x14ac:dyDescent="0.25">
      <c r="A301" s="36" t="s">
        <v>1488</v>
      </c>
      <c r="B301">
        <v>299</v>
      </c>
      <c r="C301" t="s">
        <v>48</v>
      </c>
      <c r="D301">
        <v>3</v>
      </c>
      <c r="F301">
        <v>3</v>
      </c>
      <c r="G301" t="s">
        <v>89</v>
      </c>
      <c r="H301" t="s">
        <v>50</v>
      </c>
      <c r="I301" t="s">
        <v>90</v>
      </c>
      <c r="J301" t="s">
        <v>129</v>
      </c>
      <c r="K301" t="s">
        <v>45</v>
      </c>
      <c r="L301">
        <v>2</v>
      </c>
      <c r="N301">
        <v>1</v>
      </c>
      <c r="O301" t="s">
        <v>140</v>
      </c>
      <c r="S301" t="s">
        <v>43</v>
      </c>
      <c r="T301">
        <v>3</v>
      </c>
      <c r="V301">
        <v>3</v>
      </c>
      <c r="W301" t="s">
        <v>135</v>
      </c>
      <c r="X301" t="s">
        <v>136</v>
      </c>
      <c r="Y301" t="s">
        <v>100</v>
      </c>
      <c r="Z301" t="s">
        <v>101</v>
      </c>
      <c r="AA301" t="s">
        <v>227</v>
      </c>
      <c r="AB301">
        <v>3</v>
      </c>
      <c r="AC301">
        <v>2</v>
      </c>
      <c r="AD301">
        <v>3</v>
      </c>
      <c r="AE301" t="s">
        <v>228</v>
      </c>
      <c r="AF301" t="s">
        <v>231</v>
      </c>
      <c r="AG301" t="s">
        <v>235</v>
      </c>
      <c r="AH301" t="s">
        <v>238</v>
      </c>
      <c r="AI301">
        <v>0</v>
      </c>
      <c r="AJ301">
        <v>38</v>
      </c>
    </row>
    <row r="302" spans="1:36" x14ac:dyDescent="0.25">
      <c r="A302" t="s">
        <v>1489</v>
      </c>
      <c r="B302">
        <v>300</v>
      </c>
      <c r="C302" t="s">
        <v>63</v>
      </c>
      <c r="D302">
        <v>1</v>
      </c>
      <c r="F302">
        <v>3</v>
      </c>
      <c r="G302" t="s">
        <v>145</v>
      </c>
      <c r="H302" t="s">
        <v>146</v>
      </c>
      <c r="I302" t="s">
        <v>147</v>
      </c>
      <c r="K302" t="s">
        <v>38</v>
      </c>
      <c r="L302">
        <v>1</v>
      </c>
      <c r="M302">
        <v>1</v>
      </c>
      <c r="N302">
        <v>3</v>
      </c>
      <c r="O302" t="s">
        <v>39</v>
      </c>
      <c r="P302" t="s">
        <v>96</v>
      </c>
      <c r="Q302" t="s">
        <v>154</v>
      </c>
      <c r="R302" t="s">
        <v>42</v>
      </c>
      <c r="S302" t="s">
        <v>48</v>
      </c>
      <c r="T302">
        <v>3</v>
      </c>
      <c r="V302">
        <v>1</v>
      </c>
      <c r="W302" t="s">
        <v>49</v>
      </c>
      <c r="X302" t="s">
        <v>84</v>
      </c>
      <c r="Y302" t="s">
        <v>127</v>
      </c>
      <c r="Z302" t="s">
        <v>52</v>
      </c>
      <c r="AA302" t="s">
        <v>45</v>
      </c>
      <c r="AB302">
        <v>2</v>
      </c>
      <c r="AD302">
        <v>1</v>
      </c>
      <c r="AE302" t="s">
        <v>86</v>
      </c>
      <c r="AI302">
        <v>0</v>
      </c>
      <c r="AJ302">
        <v>20</v>
      </c>
    </row>
    <row r="303" spans="1:36" x14ac:dyDescent="0.25">
      <c r="A303" s="36" t="s">
        <v>1490</v>
      </c>
      <c r="B303">
        <v>301</v>
      </c>
      <c r="C303" t="s">
        <v>48</v>
      </c>
      <c r="D303">
        <v>3</v>
      </c>
      <c r="F303">
        <v>1</v>
      </c>
      <c r="G303" t="s">
        <v>49</v>
      </c>
      <c r="H303" t="s">
        <v>84</v>
      </c>
      <c r="I303" t="s">
        <v>127</v>
      </c>
      <c r="J303" t="s">
        <v>129</v>
      </c>
      <c r="K303" t="s">
        <v>45</v>
      </c>
      <c r="L303">
        <v>3</v>
      </c>
      <c r="N303">
        <v>2</v>
      </c>
      <c r="O303" t="s">
        <v>86</v>
      </c>
      <c r="P303" t="s">
        <v>141</v>
      </c>
      <c r="Q303" t="s">
        <v>102</v>
      </c>
      <c r="S303" t="s">
        <v>63</v>
      </c>
      <c r="T303">
        <v>1</v>
      </c>
      <c r="V303">
        <v>2</v>
      </c>
      <c r="W303" t="s">
        <v>145</v>
      </c>
      <c r="X303" t="s">
        <v>146</v>
      </c>
      <c r="Y303" t="s">
        <v>148</v>
      </c>
      <c r="AA303" t="s">
        <v>227</v>
      </c>
      <c r="AB303">
        <v>3</v>
      </c>
      <c r="AC303">
        <v>1</v>
      </c>
      <c r="AD303">
        <v>3</v>
      </c>
      <c r="AE303" t="s">
        <v>229</v>
      </c>
      <c r="AF303" t="s">
        <v>231</v>
      </c>
      <c r="AG303" t="s">
        <v>235</v>
      </c>
      <c r="AI303">
        <v>0</v>
      </c>
      <c r="AJ303">
        <v>24</v>
      </c>
    </row>
    <row r="304" spans="1:36" x14ac:dyDescent="0.25">
      <c r="A304" s="36" t="s">
        <v>1491</v>
      </c>
      <c r="B304">
        <v>302</v>
      </c>
      <c r="C304" t="s">
        <v>38</v>
      </c>
      <c r="D304">
        <v>2</v>
      </c>
      <c r="E304">
        <v>1</v>
      </c>
      <c r="F304">
        <v>2</v>
      </c>
      <c r="G304" t="s">
        <v>39</v>
      </c>
      <c r="H304" t="s">
        <v>96</v>
      </c>
      <c r="I304" t="s">
        <v>154</v>
      </c>
      <c r="K304" t="s">
        <v>227</v>
      </c>
      <c r="L304">
        <v>3</v>
      </c>
      <c r="M304">
        <v>1</v>
      </c>
      <c r="N304">
        <v>1</v>
      </c>
      <c r="O304" t="s">
        <v>228</v>
      </c>
      <c r="P304" t="s">
        <v>231</v>
      </c>
      <c r="S304" t="s">
        <v>48</v>
      </c>
      <c r="T304">
        <v>1</v>
      </c>
      <c r="V304">
        <v>1</v>
      </c>
      <c r="W304" t="s">
        <v>89</v>
      </c>
      <c r="X304" t="s">
        <v>84</v>
      </c>
      <c r="Y304" t="s">
        <v>127</v>
      </c>
      <c r="Z304" t="s">
        <v>52</v>
      </c>
      <c r="AA304" t="s">
        <v>45</v>
      </c>
      <c r="AB304">
        <v>2</v>
      </c>
      <c r="AD304">
        <v>1</v>
      </c>
      <c r="AE304" t="s">
        <v>140</v>
      </c>
      <c r="AI304">
        <v>0</v>
      </c>
      <c r="AJ304">
        <v>16</v>
      </c>
    </row>
    <row r="305" spans="1:36" x14ac:dyDescent="0.25">
      <c r="A305" t="s">
        <v>1492</v>
      </c>
      <c r="B305">
        <v>303</v>
      </c>
      <c r="C305" t="s">
        <v>48</v>
      </c>
      <c r="D305">
        <v>1</v>
      </c>
      <c r="F305">
        <v>1</v>
      </c>
      <c r="G305" t="s">
        <v>126</v>
      </c>
      <c r="H305" t="s">
        <v>50</v>
      </c>
      <c r="K305" t="s">
        <v>63</v>
      </c>
      <c r="L305">
        <v>3</v>
      </c>
      <c r="N305">
        <v>2</v>
      </c>
      <c r="O305" t="s">
        <v>145</v>
      </c>
      <c r="P305" t="s">
        <v>146</v>
      </c>
      <c r="Q305" t="s">
        <v>104</v>
      </c>
      <c r="S305" t="s">
        <v>33</v>
      </c>
      <c r="T305">
        <v>3</v>
      </c>
      <c r="V305">
        <v>2</v>
      </c>
      <c r="W305" t="s">
        <v>34</v>
      </c>
      <c r="X305" t="s">
        <v>66</v>
      </c>
      <c r="AA305" t="s">
        <v>43</v>
      </c>
      <c r="AB305">
        <v>3</v>
      </c>
      <c r="AD305">
        <v>3</v>
      </c>
      <c r="AE305" t="s">
        <v>135</v>
      </c>
      <c r="AF305" t="s">
        <v>136</v>
      </c>
      <c r="AG305" t="s">
        <v>137</v>
      </c>
      <c r="AH305" t="s">
        <v>139</v>
      </c>
      <c r="AI305">
        <v>0</v>
      </c>
      <c r="AJ305">
        <v>23</v>
      </c>
    </row>
    <row r="306" spans="1:36" x14ac:dyDescent="0.25">
      <c r="A306" t="s">
        <v>1493</v>
      </c>
      <c r="B306">
        <v>304</v>
      </c>
      <c r="C306" t="s">
        <v>48</v>
      </c>
      <c r="D306">
        <v>1</v>
      </c>
      <c r="F306">
        <v>1</v>
      </c>
      <c r="G306" t="s">
        <v>126</v>
      </c>
      <c r="H306" t="s">
        <v>50</v>
      </c>
      <c r="K306" t="s">
        <v>63</v>
      </c>
      <c r="L306">
        <v>3</v>
      </c>
      <c r="N306">
        <v>3</v>
      </c>
      <c r="O306" t="s">
        <v>145</v>
      </c>
      <c r="P306" t="s">
        <v>146</v>
      </c>
      <c r="Q306" t="s">
        <v>104</v>
      </c>
      <c r="R306" t="s">
        <v>150</v>
      </c>
      <c r="S306" t="s">
        <v>33</v>
      </c>
      <c r="T306">
        <v>2</v>
      </c>
      <c r="V306">
        <v>1</v>
      </c>
      <c r="W306" t="s">
        <v>34</v>
      </c>
      <c r="X306" t="s">
        <v>130</v>
      </c>
      <c r="AA306" t="s">
        <v>45</v>
      </c>
      <c r="AB306">
        <v>3</v>
      </c>
      <c r="AD306">
        <v>3</v>
      </c>
      <c r="AE306" t="s">
        <v>86</v>
      </c>
      <c r="AF306" t="s">
        <v>141</v>
      </c>
      <c r="AG306" t="s">
        <v>93</v>
      </c>
      <c r="AH306" t="s">
        <v>94</v>
      </c>
      <c r="AI306">
        <v>0</v>
      </c>
      <c r="AJ306">
        <v>27</v>
      </c>
    </row>
    <row r="307" spans="1:36" x14ac:dyDescent="0.25">
      <c r="A307" t="s">
        <v>1494</v>
      </c>
      <c r="B307">
        <v>305</v>
      </c>
      <c r="C307" t="s">
        <v>48</v>
      </c>
      <c r="D307">
        <v>2</v>
      </c>
      <c r="F307">
        <v>1</v>
      </c>
      <c r="G307" t="s">
        <v>89</v>
      </c>
      <c r="H307" t="s">
        <v>84</v>
      </c>
      <c r="I307" t="s">
        <v>51</v>
      </c>
      <c r="J307" t="s">
        <v>128</v>
      </c>
      <c r="K307" t="s">
        <v>63</v>
      </c>
      <c r="L307">
        <v>1</v>
      </c>
      <c r="N307">
        <v>1</v>
      </c>
      <c r="O307" t="s">
        <v>145</v>
      </c>
      <c r="P307" t="s">
        <v>91</v>
      </c>
      <c r="Q307" t="s">
        <v>147</v>
      </c>
      <c r="S307" t="s">
        <v>33</v>
      </c>
      <c r="T307">
        <v>2</v>
      </c>
      <c r="V307">
        <v>1</v>
      </c>
      <c r="W307" t="s">
        <v>34</v>
      </c>
      <c r="AA307" t="s">
        <v>38</v>
      </c>
      <c r="AB307">
        <v>1</v>
      </c>
      <c r="AC307">
        <v>1</v>
      </c>
      <c r="AD307">
        <v>2</v>
      </c>
      <c r="AE307" t="s">
        <v>39</v>
      </c>
      <c r="AF307" t="s">
        <v>96</v>
      </c>
      <c r="AG307" t="s">
        <v>41</v>
      </c>
      <c r="AI307">
        <v>0</v>
      </c>
      <c r="AJ307">
        <v>14</v>
      </c>
    </row>
    <row r="308" spans="1:36" x14ac:dyDescent="0.25">
      <c r="A308" s="36" t="s">
        <v>1495</v>
      </c>
      <c r="B308">
        <v>306</v>
      </c>
      <c r="C308" t="s">
        <v>48</v>
      </c>
      <c r="D308">
        <v>1</v>
      </c>
      <c r="F308">
        <v>1</v>
      </c>
      <c r="G308" t="s">
        <v>89</v>
      </c>
      <c r="H308" t="s">
        <v>50</v>
      </c>
      <c r="K308" t="s">
        <v>63</v>
      </c>
      <c r="L308">
        <v>3</v>
      </c>
      <c r="N308">
        <v>1</v>
      </c>
      <c r="O308" t="s">
        <v>72</v>
      </c>
      <c r="P308" t="s">
        <v>91</v>
      </c>
      <c r="Q308" t="s">
        <v>104</v>
      </c>
      <c r="S308" t="s">
        <v>33</v>
      </c>
      <c r="T308">
        <v>1</v>
      </c>
      <c r="V308">
        <v>3</v>
      </c>
      <c r="W308" t="s">
        <v>34</v>
      </c>
      <c r="X308" t="s">
        <v>66</v>
      </c>
      <c r="Y308" t="s">
        <v>131</v>
      </c>
      <c r="AA308" t="s">
        <v>227</v>
      </c>
      <c r="AB308">
        <v>2</v>
      </c>
      <c r="AC308">
        <v>1</v>
      </c>
      <c r="AD308">
        <v>1</v>
      </c>
      <c r="AE308" t="s">
        <v>229</v>
      </c>
      <c r="AF308" t="s">
        <v>231</v>
      </c>
      <c r="AG308" t="s">
        <v>236</v>
      </c>
      <c r="AH308" t="s">
        <v>238</v>
      </c>
      <c r="AI308">
        <v>0</v>
      </c>
      <c r="AJ308">
        <v>17</v>
      </c>
    </row>
    <row r="309" spans="1:36" x14ac:dyDescent="0.25">
      <c r="A309" t="s">
        <v>1496</v>
      </c>
      <c r="B309">
        <v>307</v>
      </c>
      <c r="C309" t="s">
        <v>48</v>
      </c>
      <c r="D309">
        <v>1</v>
      </c>
      <c r="F309">
        <v>1</v>
      </c>
      <c r="G309" t="s">
        <v>126</v>
      </c>
      <c r="H309" t="s">
        <v>50</v>
      </c>
      <c r="K309" t="s">
        <v>63</v>
      </c>
      <c r="L309">
        <v>3</v>
      </c>
      <c r="N309">
        <v>3</v>
      </c>
      <c r="O309" t="s">
        <v>145</v>
      </c>
      <c r="P309" t="s">
        <v>146</v>
      </c>
      <c r="Q309" t="s">
        <v>104</v>
      </c>
      <c r="R309" t="s">
        <v>151</v>
      </c>
      <c r="S309" t="s">
        <v>43</v>
      </c>
      <c r="T309">
        <v>3</v>
      </c>
      <c r="V309">
        <v>3</v>
      </c>
      <c r="W309" t="s">
        <v>73</v>
      </c>
      <c r="X309" t="s">
        <v>74</v>
      </c>
      <c r="Y309" t="s">
        <v>75</v>
      </c>
      <c r="Z309" t="s">
        <v>139</v>
      </c>
      <c r="AA309" t="s">
        <v>45</v>
      </c>
      <c r="AB309">
        <v>3</v>
      </c>
      <c r="AD309">
        <v>1</v>
      </c>
      <c r="AE309" t="s">
        <v>86</v>
      </c>
      <c r="AF309" t="s">
        <v>141</v>
      </c>
      <c r="AG309" t="s">
        <v>93</v>
      </c>
      <c r="AI309">
        <v>0</v>
      </c>
      <c r="AJ309">
        <v>27</v>
      </c>
    </row>
    <row r="310" spans="1:36" x14ac:dyDescent="0.25">
      <c r="A310" t="s">
        <v>1497</v>
      </c>
      <c r="B310">
        <v>308</v>
      </c>
      <c r="C310" t="s">
        <v>48</v>
      </c>
      <c r="D310">
        <v>3</v>
      </c>
      <c r="F310">
        <v>3</v>
      </c>
      <c r="G310" t="s">
        <v>126</v>
      </c>
      <c r="H310" t="s">
        <v>84</v>
      </c>
      <c r="I310" t="s">
        <v>90</v>
      </c>
      <c r="J310" t="s">
        <v>129</v>
      </c>
      <c r="K310" t="s">
        <v>63</v>
      </c>
      <c r="L310">
        <v>3</v>
      </c>
      <c r="N310">
        <v>3</v>
      </c>
      <c r="O310" t="s">
        <v>103</v>
      </c>
      <c r="P310" t="s">
        <v>146</v>
      </c>
      <c r="Q310" t="s">
        <v>147</v>
      </c>
      <c r="R310" t="s">
        <v>149</v>
      </c>
      <c r="S310" t="s">
        <v>43</v>
      </c>
      <c r="T310">
        <v>3</v>
      </c>
      <c r="V310">
        <v>1</v>
      </c>
      <c r="W310" t="s">
        <v>44</v>
      </c>
      <c r="X310" t="s">
        <v>136</v>
      </c>
      <c r="Y310" t="s">
        <v>137</v>
      </c>
      <c r="Z310" t="s">
        <v>101</v>
      </c>
      <c r="AA310" t="s">
        <v>38</v>
      </c>
      <c r="AB310">
        <v>3</v>
      </c>
      <c r="AC310">
        <v>3</v>
      </c>
      <c r="AD310">
        <v>3</v>
      </c>
      <c r="AE310" t="s">
        <v>39</v>
      </c>
      <c r="AF310" t="s">
        <v>96</v>
      </c>
      <c r="AG310" t="s">
        <v>153</v>
      </c>
      <c r="AH310" t="s">
        <v>42</v>
      </c>
      <c r="AI310">
        <v>0</v>
      </c>
      <c r="AJ310">
        <v>36</v>
      </c>
    </row>
    <row r="311" spans="1:36" x14ac:dyDescent="0.25">
      <c r="A311" s="36" t="s">
        <v>1498</v>
      </c>
      <c r="B311">
        <v>309</v>
      </c>
      <c r="C311" t="s">
        <v>43</v>
      </c>
      <c r="D311">
        <v>3</v>
      </c>
      <c r="F311">
        <v>1</v>
      </c>
      <c r="G311" t="s">
        <v>44</v>
      </c>
      <c r="H311" t="s">
        <v>99</v>
      </c>
      <c r="I311" t="s">
        <v>75</v>
      </c>
      <c r="K311" t="s">
        <v>227</v>
      </c>
      <c r="L311">
        <v>3</v>
      </c>
      <c r="M311">
        <v>1</v>
      </c>
      <c r="N311">
        <v>2</v>
      </c>
      <c r="O311" t="s">
        <v>229</v>
      </c>
      <c r="P311" t="s">
        <v>231</v>
      </c>
      <c r="Q311" t="s">
        <v>235</v>
      </c>
      <c r="S311" t="s">
        <v>48</v>
      </c>
      <c r="T311">
        <v>1</v>
      </c>
      <c r="V311">
        <v>1</v>
      </c>
      <c r="W311" t="s">
        <v>126</v>
      </c>
      <c r="X311" t="s">
        <v>84</v>
      </c>
      <c r="AA311" t="s">
        <v>63</v>
      </c>
      <c r="AB311">
        <v>3</v>
      </c>
      <c r="AD311">
        <v>1</v>
      </c>
      <c r="AE311" t="s">
        <v>103</v>
      </c>
      <c r="AF311" t="s">
        <v>91</v>
      </c>
      <c r="AG311" t="s">
        <v>147</v>
      </c>
      <c r="AI311">
        <v>0</v>
      </c>
      <c r="AJ311">
        <v>18</v>
      </c>
    </row>
    <row r="312" spans="1:36" x14ac:dyDescent="0.25">
      <c r="A312" t="s">
        <v>1499</v>
      </c>
      <c r="B312">
        <v>310</v>
      </c>
      <c r="C312" t="s">
        <v>48</v>
      </c>
      <c r="D312">
        <v>2</v>
      </c>
      <c r="F312">
        <v>2</v>
      </c>
      <c r="G312" t="s">
        <v>126</v>
      </c>
      <c r="H312" t="s">
        <v>84</v>
      </c>
      <c r="I312" t="s">
        <v>127</v>
      </c>
      <c r="J312" t="s">
        <v>129</v>
      </c>
      <c r="K312" t="s">
        <v>63</v>
      </c>
      <c r="L312">
        <v>1</v>
      </c>
      <c r="N312">
        <v>2</v>
      </c>
      <c r="O312" t="s">
        <v>103</v>
      </c>
      <c r="P312" t="s">
        <v>91</v>
      </c>
      <c r="Q312" t="s">
        <v>147</v>
      </c>
      <c r="S312" t="s">
        <v>45</v>
      </c>
      <c r="T312">
        <v>3</v>
      </c>
      <c r="V312">
        <v>1</v>
      </c>
      <c r="W312" t="s">
        <v>86</v>
      </c>
      <c r="X312" t="s">
        <v>76</v>
      </c>
      <c r="Y312" t="s">
        <v>102</v>
      </c>
      <c r="Z312" t="s">
        <v>94</v>
      </c>
      <c r="AA312" t="s">
        <v>38</v>
      </c>
      <c r="AB312">
        <v>1</v>
      </c>
      <c r="AC312">
        <v>1</v>
      </c>
      <c r="AD312">
        <v>2</v>
      </c>
      <c r="AE312" t="s">
        <v>39</v>
      </c>
      <c r="AF312" t="s">
        <v>40</v>
      </c>
      <c r="AG312" t="s">
        <v>154</v>
      </c>
      <c r="AH312" t="s">
        <v>42</v>
      </c>
      <c r="AI312">
        <v>0</v>
      </c>
      <c r="AJ312">
        <v>21</v>
      </c>
    </row>
    <row r="313" spans="1:36" x14ac:dyDescent="0.25">
      <c r="A313" s="36" t="s">
        <v>1500</v>
      </c>
      <c r="B313">
        <v>311</v>
      </c>
      <c r="C313" t="s">
        <v>48</v>
      </c>
      <c r="D313">
        <v>3</v>
      </c>
      <c r="F313">
        <v>3</v>
      </c>
      <c r="G313" t="s">
        <v>126</v>
      </c>
      <c r="H313" t="s">
        <v>84</v>
      </c>
      <c r="I313" t="s">
        <v>90</v>
      </c>
      <c r="J313" t="s">
        <v>52</v>
      </c>
      <c r="K313" t="s">
        <v>63</v>
      </c>
      <c r="L313">
        <v>1</v>
      </c>
      <c r="N313">
        <v>1</v>
      </c>
      <c r="O313" t="s">
        <v>145</v>
      </c>
      <c r="P313" t="s">
        <v>91</v>
      </c>
      <c r="Q313" t="s">
        <v>148</v>
      </c>
      <c r="R313" t="s">
        <v>150</v>
      </c>
      <c r="S313" t="s">
        <v>45</v>
      </c>
      <c r="T313">
        <v>3</v>
      </c>
      <c r="V313">
        <v>1</v>
      </c>
      <c r="W313" t="s">
        <v>140</v>
      </c>
      <c r="X313" t="s">
        <v>141</v>
      </c>
      <c r="Y313" t="s">
        <v>102</v>
      </c>
      <c r="Z313" t="s">
        <v>144</v>
      </c>
      <c r="AA313" t="s">
        <v>227</v>
      </c>
      <c r="AB313">
        <v>3</v>
      </c>
      <c r="AC313">
        <v>3</v>
      </c>
      <c r="AD313">
        <v>3</v>
      </c>
      <c r="AE313" t="s">
        <v>229</v>
      </c>
      <c r="AF313" t="s">
        <v>231</v>
      </c>
      <c r="AG313" t="s">
        <v>235</v>
      </c>
      <c r="AH313" t="s">
        <v>238</v>
      </c>
      <c r="AI313">
        <v>0</v>
      </c>
      <c r="AJ313">
        <v>38</v>
      </c>
    </row>
    <row r="314" spans="1:36" x14ac:dyDescent="0.25">
      <c r="A314" s="36" t="s">
        <v>1501</v>
      </c>
      <c r="B314">
        <v>312</v>
      </c>
      <c r="C314" t="s">
        <v>38</v>
      </c>
      <c r="D314">
        <v>2</v>
      </c>
      <c r="E314">
        <v>1</v>
      </c>
      <c r="F314">
        <v>2</v>
      </c>
      <c r="G314" t="s">
        <v>39</v>
      </c>
      <c r="H314" t="s">
        <v>96</v>
      </c>
      <c r="I314" t="s">
        <v>41</v>
      </c>
      <c r="J314" t="s">
        <v>156</v>
      </c>
      <c r="K314" t="s">
        <v>227</v>
      </c>
      <c r="L314">
        <v>3</v>
      </c>
      <c r="M314">
        <v>1</v>
      </c>
      <c r="N314">
        <v>2</v>
      </c>
      <c r="O314" t="s">
        <v>229</v>
      </c>
      <c r="P314" t="s">
        <v>231</v>
      </c>
      <c r="S314" t="s">
        <v>48</v>
      </c>
      <c r="T314">
        <v>2</v>
      </c>
      <c r="V314">
        <v>1</v>
      </c>
      <c r="W314" t="s">
        <v>89</v>
      </c>
      <c r="X314" t="s">
        <v>84</v>
      </c>
      <c r="Y314" t="s">
        <v>51</v>
      </c>
      <c r="Z314" t="s">
        <v>52</v>
      </c>
      <c r="AA314" t="s">
        <v>63</v>
      </c>
      <c r="AB314">
        <v>1</v>
      </c>
      <c r="AD314">
        <v>2</v>
      </c>
      <c r="AE314" t="s">
        <v>103</v>
      </c>
      <c r="AF314" t="s">
        <v>91</v>
      </c>
      <c r="AG314" t="s">
        <v>147</v>
      </c>
      <c r="AI314">
        <v>0</v>
      </c>
      <c r="AJ314">
        <v>21</v>
      </c>
    </row>
    <row r="315" spans="1:36" x14ac:dyDescent="0.25">
      <c r="A315" t="s">
        <v>1502</v>
      </c>
      <c r="B315">
        <v>313</v>
      </c>
      <c r="C315" t="s">
        <v>48</v>
      </c>
      <c r="D315">
        <v>2</v>
      </c>
      <c r="F315">
        <v>1</v>
      </c>
      <c r="G315" t="s">
        <v>126</v>
      </c>
      <c r="K315" t="s">
        <v>38</v>
      </c>
      <c r="L315">
        <v>2</v>
      </c>
      <c r="M315">
        <v>1</v>
      </c>
      <c r="N315">
        <v>3</v>
      </c>
      <c r="O315" t="s">
        <v>67</v>
      </c>
      <c r="P315" t="s">
        <v>70</v>
      </c>
      <c r="S315" t="s">
        <v>33</v>
      </c>
      <c r="T315">
        <v>1</v>
      </c>
      <c r="V315">
        <v>1</v>
      </c>
      <c r="W315" t="s">
        <v>65</v>
      </c>
      <c r="X315" t="s">
        <v>130</v>
      </c>
      <c r="AA315" t="s">
        <v>43</v>
      </c>
      <c r="AB315">
        <v>2</v>
      </c>
      <c r="AD315">
        <v>1</v>
      </c>
      <c r="AE315" t="s">
        <v>135</v>
      </c>
      <c r="AF315" t="s">
        <v>74</v>
      </c>
      <c r="AG315" t="s">
        <v>75</v>
      </c>
      <c r="AH315" t="s">
        <v>101</v>
      </c>
      <c r="AI315">
        <v>0</v>
      </c>
      <c r="AJ315">
        <v>15</v>
      </c>
    </row>
    <row r="316" spans="1:36" x14ac:dyDescent="0.25">
      <c r="A316" t="s">
        <v>1503</v>
      </c>
      <c r="B316">
        <v>314</v>
      </c>
      <c r="C316" t="s">
        <v>48</v>
      </c>
      <c r="D316">
        <v>2</v>
      </c>
      <c r="F316">
        <v>1</v>
      </c>
      <c r="G316" t="s">
        <v>126</v>
      </c>
      <c r="K316" t="s">
        <v>38</v>
      </c>
      <c r="L316">
        <v>1</v>
      </c>
      <c r="M316">
        <v>1</v>
      </c>
      <c r="N316">
        <v>2</v>
      </c>
      <c r="O316" t="s">
        <v>67</v>
      </c>
      <c r="P316" t="s">
        <v>96</v>
      </c>
      <c r="Q316" t="s">
        <v>153</v>
      </c>
      <c r="R316" t="s">
        <v>42</v>
      </c>
      <c r="S316" t="s">
        <v>33</v>
      </c>
      <c r="T316">
        <v>1</v>
      </c>
      <c r="V316">
        <v>1</v>
      </c>
      <c r="W316" t="s">
        <v>65</v>
      </c>
      <c r="X316" t="s">
        <v>130</v>
      </c>
      <c r="AA316" t="s">
        <v>45</v>
      </c>
      <c r="AB316">
        <v>3</v>
      </c>
      <c r="AD316">
        <v>1</v>
      </c>
      <c r="AE316" t="s">
        <v>86</v>
      </c>
      <c r="AF316" t="s">
        <v>76</v>
      </c>
      <c r="AI316">
        <v>0</v>
      </c>
      <c r="AJ316">
        <v>13</v>
      </c>
    </row>
    <row r="317" spans="1:36" x14ac:dyDescent="0.25">
      <c r="A317" s="36" t="s">
        <v>1504</v>
      </c>
      <c r="B317">
        <v>315</v>
      </c>
      <c r="C317" t="s">
        <v>33</v>
      </c>
      <c r="D317">
        <v>2</v>
      </c>
      <c r="F317">
        <v>3</v>
      </c>
      <c r="G317" t="s">
        <v>65</v>
      </c>
      <c r="H317" t="s">
        <v>66</v>
      </c>
      <c r="I317" t="s">
        <v>131</v>
      </c>
      <c r="K317" t="s">
        <v>63</v>
      </c>
      <c r="L317">
        <v>3</v>
      </c>
      <c r="N317">
        <v>1</v>
      </c>
      <c r="O317" t="s">
        <v>145</v>
      </c>
      <c r="P317" t="s">
        <v>146</v>
      </c>
      <c r="Q317" t="s">
        <v>147</v>
      </c>
      <c r="R317" t="s">
        <v>150</v>
      </c>
      <c r="S317" t="s">
        <v>48</v>
      </c>
      <c r="T317">
        <v>2</v>
      </c>
      <c r="V317">
        <v>1</v>
      </c>
      <c r="W317" t="s">
        <v>89</v>
      </c>
      <c r="X317" t="s">
        <v>84</v>
      </c>
      <c r="Y317" t="s">
        <v>90</v>
      </c>
      <c r="AA317" t="s">
        <v>38</v>
      </c>
      <c r="AB317">
        <v>3</v>
      </c>
      <c r="AC317">
        <v>2</v>
      </c>
      <c r="AD317">
        <v>3</v>
      </c>
      <c r="AE317" t="s">
        <v>67</v>
      </c>
      <c r="AF317" t="s">
        <v>40</v>
      </c>
      <c r="AI317">
        <v>0</v>
      </c>
      <c r="AJ317">
        <v>24</v>
      </c>
    </row>
    <row r="318" spans="1:36" x14ac:dyDescent="0.25">
      <c r="A318" s="36" t="s">
        <v>1505</v>
      </c>
      <c r="B318">
        <v>316</v>
      </c>
      <c r="C318" t="s">
        <v>48</v>
      </c>
      <c r="D318">
        <v>3</v>
      </c>
      <c r="F318">
        <v>3</v>
      </c>
      <c r="G318" t="s">
        <v>89</v>
      </c>
      <c r="H318" t="s">
        <v>84</v>
      </c>
      <c r="I318" t="s">
        <v>127</v>
      </c>
      <c r="J318" t="s">
        <v>129</v>
      </c>
      <c r="K318" t="s">
        <v>38</v>
      </c>
      <c r="L318">
        <v>3</v>
      </c>
      <c r="M318">
        <v>3</v>
      </c>
      <c r="N318">
        <v>3</v>
      </c>
      <c r="O318" t="s">
        <v>152</v>
      </c>
      <c r="P318" t="s">
        <v>70</v>
      </c>
      <c r="Q318" t="s">
        <v>41</v>
      </c>
      <c r="R318" t="s">
        <v>42</v>
      </c>
      <c r="S318" t="s">
        <v>33</v>
      </c>
      <c r="T318">
        <v>1</v>
      </c>
      <c r="V318">
        <v>2</v>
      </c>
      <c r="W318" t="s">
        <v>65</v>
      </c>
      <c r="AA318" t="s">
        <v>227</v>
      </c>
      <c r="AB318">
        <v>3</v>
      </c>
      <c r="AC318">
        <v>3</v>
      </c>
      <c r="AD318">
        <v>3</v>
      </c>
      <c r="AE318" t="s">
        <v>229</v>
      </c>
      <c r="AF318" t="s">
        <v>232</v>
      </c>
      <c r="AG318" t="s">
        <v>235</v>
      </c>
      <c r="AH318" t="s">
        <v>237</v>
      </c>
      <c r="AI318">
        <v>0</v>
      </c>
      <c r="AJ318">
        <v>32</v>
      </c>
    </row>
    <row r="319" spans="1:36" x14ac:dyDescent="0.25">
      <c r="A319" t="s">
        <v>1506</v>
      </c>
      <c r="B319">
        <v>317</v>
      </c>
      <c r="C319" t="s">
        <v>48</v>
      </c>
      <c r="D319">
        <v>3</v>
      </c>
      <c r="F319">
        <v>3</v>
      </c>
      <c r="G319" t="s">
        <v>126</v>
      </c>
      <c r="H319" t="s">
        <v>50</v>
      </c>
      <c r="I319" t="s">
        <v>90</v>
      </c>
      <c r="J319" t="s">
        <v>129</v>
      </c>
      <c r="K319" t="s">
        <v>38</v>
      </c>
      <c r="L319">
        <v>1</v>
      </c>
      <c r="M319">
        <v>1</v>
      </c>
      <c r="N319">
        <v>2</v>
      </c>
      <c r="O319" t="s">
        <v>39</v>
      </c>
      <c r="P319" t="s">
        <v>96</v>
      </c>
      <c r="Q319" t="s">
        <v>153</v>
      </c>
      <c r="S319" t="s">
        <v>43</v>
      </c>
      <c r="T319">
        <v>3</v>
      </c>
      <c r="V319">
        <v>3</v>
      </c>
      <c r="W319" t="s">
        <v>73</v>
      </c>
      <c r="X319" t="s">
        <v>74</v>
      </c>
      <c r="Y319" t="s">
        <v>137</v>
      </c>
      <c r="Z319" t="s">
        <v>139</v>
      </c>
      <c r="AA319" t="s">
        <v>45</v>
      </c>
      <c r="AB319">
        <v>3</v>
      </c>
      <c r="AD319">
        <v>1</v>
      </c>
      <c r="AE319" t="s">
        <v>140</v>
      </c>
      <c r="AF319" t="s">
        <v>141</v>
      </c>
      <c r="AG319" t="s">
        <v>93</v>
      </c>
      <c r="AH319" t="s">
        <v>143</v>
      </c>
      <c r="AI319">
        <v>0</v>
      </c>
      <c r="AJ319">
        <v>32</v>
      </c>
    </row>
    <row r="320" spans="1:36" x14ac:dyDescent="0.25">
      <c r="A320" t="s">
        <v>1507</v>
      </c>
      <c r="B320">
        <v>318</v>
      </c>
      <c r="C320" t="s">
        <v>48</v>
      </c>
      <c r="D320">
        <v>2</v>
      </c>
      <c r="F320">
        <v>1</v>
      </c>
      <c r="G320" t="s">
        <v>89</v>
      </c>
      <c r="H320" t="s">
        <v>71</v>
      </c>
      <c r="I320" t="s">
        <v>51</v>
      </c>
      <c r="K320" t="s">
        <v>38</v>
      </c>
      <c r="L320">
        <v>1</v>
      </c>
      <c r="M320">
        <v>1</v>
      </c>
      <c r="N320">
        <v>2</v>
      </c>
      <c r="O320" t="s">
        <v>39</v>
      </c>
      <c r="P320" t="s">
        <v>96</v>
      </c>
      <c r="S320" t="s">
        <v>43</v>
      </c>
      <c r="T320">
        <v>2</v>
      </c>
      <c r="V320">
        <v>1</v>
      </c>
      <c r="W320" t="s">
        <v>44</v>
      </c>
      <c r="AA320" t="s">
        <v>63</v>
      </c>
      <c r="AB320">
        <v>1</v>
      </c>
      <c r="AD320">
        <v>1</v>
      </c>
      <c r="AE320" t="s">
        <v>145</v>
      </c>
      <c r="AF320" t="s">
        <v>91</v>
      </c>
      <c r="AI320">
        <v>0</v>
      </c>
      <c r="AJ320">
        <v>11</v>
      </c>
    </row>
    <row r="321" spans="1:36" x14ac:dyDescent="0.25">
      <c r="A321" s="36" t="s">
        <v>1508</v>
      </c>
      <c r="B321">
        <v>319</v>
      </c>
      <c r="C321" t="s">
        <v>48</v>
      </c>
      <c r="D321">
        <v>3</v>
      </c>
      <c r="F321">
        <v>3</v>
      </c>
      <c r="G321" t="s">
        <v>89</v>
      </c>
      <c r="H321" t="s">
        <v>71</v>
      </c>
      <c r="I321" t="s">
        <v>127</v>
      </c>
      <c r="J321" t="s">
        <v>129</v>
      </c>
      <c r="K321" t="s">
        <v>38</v>
      </c>
      <c r="L321">
        <v>2</v>
      </c>
      <c r="M321">
        <v>2</v>
      </c>
      <c r="N321">
        <v>3</v>
      </c>
      <c r="O321" t="s">
        <v>39</v>
      </c>
      <c r="P321" t="s">
        <v>40</v>
      </c>
      <c r="Q321" t="s">
        <v>41</v>
      </c>
      <c r="R321" t="s">
        <v>155</v>
      </c>
      <c r="S321" t="s">
        <v>43</v>
      </c>
      <c r="T321">
        <v>2</v>
      </c>
      <c r="V321">
        <v>1</v>
      </c>
      <c r="W321" t="s">
        <v>44</v>
      </c>
      <c r="AA321" t="s">
        <v>227</v>
      </c>
      <c r="AB321">
        <v>3</v>
      </c>
      <c r="AC321">
        <v>2</v>
      </c>
      <c r="AD321">
        <v>2</v>
      </c>
      <c r="AE321" t="s">
        <v>229</v>
      </c>
      <c r="AF321" t="s">
        <v>231</v>
      </c>
      <c r="AG321" t="s">
        <v>235</v>
      </c>
      <c r="AH321" t="s">
        <v>238</v>
      </c>
      <c r="AI321">
        <v>0</v>
      </c>
      <c r="AJ321">
        <v>27</v>
      </c>
    </row>
    <row r="322" spans="1:36" x14ac:dyDescent="0.25">
      <c r="A322" t="s">
        <v>1509</v>
      </c>
      <c r="B322">
        <v>320</v>
      </c>
      <c r="C322" t="s">
        <v>45</v>
      </c>
      <c r="D322">
        <v>3</v>
      </c>
      <c r="F322">
        <v>3</v>
      </c>
      <c r="G322" t="s">
        <v>86</v>
      </c>
      <c r="H322" t="s">
        <v>76</v>
      </c>
      <c r="I322" t="s">
        <v>102</v>
      </c>
      <c r="J322" t="s">
        <v>144</v>
      </c>
      <c r="K322" t="s">
        <v>63</v>
      </c>
      <c r="L322">
        <v>3</v>
      </c>
      <c r="N322">
        <v>3</v>
      </c>
      <c r="O322" t="s">
        <v>103</v>
      </c>
      <c r="P322" t="s">
        <v>95</v>
      </c>
      <c r="Q322" t="s">
        <v>147</v>
      </c>
      <c r="R322" t="s">
        <v>151</v>
      </c>
      <c r="S322" t="s">
        <v>48</v>
      </c>
      <c r="T322">
        <v>1</v>
      </c>
      <c r="V322">
        <v>1</v>
      </c>
      <c r="W322" t="s">
        <v>126</v>
      </c>
      <c r="X322" t="s">
        <v>84</v>
      </c>
      <c r="AA322" t="s">
        <v>38</v>
      </c>
      <c r="AB322">
        <v>3</v>
      </c>
      <c r="AC322">
        <v>3</v>
      </c>
      <c r="AD322">
        <v>2</v>
      </c>
      <c r="AE322" t="s">
        <v>39</v>
      </c>
      <c r="AF322" t="s">
        <v>96</v>
      </c>
      <c r="AG322" t="s">
        <v>153</v>
      </c>
      <c r="AH322" t="s">
        <v>42</v>
      </c>
      <c r="AI322">
        <v>0</v>
      </c>
      <c r="AJ322">
        <v>28</v>
      </c>
    </row>
    <row r="323" spans="1:36" x14ac:dyDescent="0.25">
      <c r="A323" s="36" t="s">
        <v>1510</v>
      </c>
      <c r="B323">
        <v>321</v>
      </c>
      <c r="C323" t="s">
        <v>48</v>
      </c>
      <c r="D323">
        <v>3</v>
      </c>
      <c r="F323">
        <v>3</v>
      </c>
      <c r="G323" t="s">
        <v>126</v>
      </c>
      <c r="H323" t="s">
        <v>84</v>
      </c>
      <c r="I323" t="s">
        <v>90</v>
      </c>
      <c r="J323" t="s">
        <v>128</v>
      </c>
      <c r="K323" t="s">
        <v>38</v>
      </c>
      <c r="L323">
        <v>1</v>
      </c>
      <c r="M323">
        <v>1</v>
      </c>
      <c r="N323">
        <v>2</v>
      </c>
      <c r="O323" t="s">
        <v>39</v>
      </c>
      <c r="P323" t="s">
        <v>96</v>
      </c>
      <c r="S323" t="s">
        <v>45</v>
      </c>
      <c r="T323">
        <v>3</v>
      </c>
      <c r="V323">
        <v>2</v>
      </c>
      <c r="W323" t="s">
        <v>86</v>
      </c>
      <c r="X323" t="s">
        <v>141</v>
      </c>
      <c r="Y323" t="s">
        <v>93</v>
      </c>
      <c r="Z323" t="s">
        <v>94</v>
      </c>
      <c r="AA323" t="s">
        <v>227</v>
      </c>
      <c r="AB323">
        <v>3</v>
      </c>
      <c r="AC323">
        <v>3</v>
      </c>
      <c r="AD323">
        <v>3</v>
      </c>
      <c r="AE323" t="s">
        <v>229</v>
      </c>
      <c r="AF323" t="s">
        <v>231</v>
      </c>
      <c r="AG323" t="s">
        <v>235</v>
      </c>
      <c r="AH323" t="s">
        <v>238</v>
      </c>
      <c r="AI323">
        <v>0</v>
      </c>
      <c r="AJ323">
        <v>42</v>
      </c>
    </row>
    <row r="324" spans="1:36" x14ac:dyDescent="0.25">
      <c r="A324" s="36" t="s">
        <v>1511</v>
      </c>
      <c r="B324">
        <v>322</v>
      </c>
      <c r="C324" t="s">
        <v>48</v>
      </c>
      <c r="D324">
        <v>3</v>
      </c>
      <c r="F324">
        <v>3</v>
      </c>
      <c r="G324" t="s">
        <v>49</v>
      </c>
      <c r="H324" t="s">
        <v>84</v>
      </c>
      <c r="I324" t="s">
        <v>127</v>
      </c>
      <c r="J324" t="s">
        <v>129</v>
      </c>
      <c r="K324" t="s">
        <v>38</v>
      </c>
      <c r="L324">
        <v>3</v>
      </c>
      <c r="M324">
        <v>3</v>
      </c>
      <c r="N324">
        <v>2</v>
      </c>
      <c r="O324" t="s">
        <v>39</v>
      </c>
      <c r="P324" t="s">
        <v>96</v>
      </c>
      <c r="Q324" t="s">
        <v>41</v>
      </c>
      <c r="R324" t="s">
        <v>155</v>
      </c>
      <c r="S324" t="s">
        <v>63</v>
      </c>
      <c r="T324">
        <v>2</v>
      </c>
      <c r="V324">
        <v>3</v>
      </c>
      <c r="W324" t="s">
        <v>145</v>
      </c>
      <c r="X324" t="s">
        <v>91</v>
      </c>
      <c r="AA324" t="s">
        <v>227</v>
      </c>
      <c r="AB324">
        <v>3</v>
      </c>
      <c r="AC324">
        <v>2</v>
      </c>
      <c r="AD324">
        <v>3</v>
      </c>
      <c r="AE324" t="s">
        <v>229</v>
      </c>
      <c r="AF324" t="s">
        <v>231</v>
      </c>
      <c r="AG324" t="s">
        <v>235</v>
      </c>
      <c r="AH324" t="s">
        <v>239</v>
      </c>
      <c r="AI324">
        <v>0</v>
      </c>
      <c r="AJ324">
        <v>32</v>
      </c>
    </row>
    <row r="325" spans="1:36" x14ac:dyDescent="0.25">
      <c r="A325" s="36" t="s">
        <v>1512</v>
      </c>
      <c r="B325">
        <v>323</v>
      </c>
      <c r="C325" t="s">
        <v>33</v>
      </c>
      <c r="D325">
        <v>2</v>
      </c>
      <c r="F325">
        <v>2</v>
      </c>
      <c r="G325" t="s">
        <v>65</v>
      </c>
      <c r="H325" t="s">
        <v>130</v>
      </c>
      <c r="I325" t="s">
        <v>36</v>
      </c>
      <c r="K325" t="s">
        <v>43</v>
      </c>
      <c r="L325">
        <v>3</v>
      </c>
      <c r="N325">
        <v>2</v>
      </c>
      <c r="O325" t="s">
        <v>135</v>
      </c>
      <c r="P325" t="s">
        <v>99</v>
      </c>
      <c r="S325" t="s">
        <v>48</v>
      </c>
      <c r="T325">
        <v>1</v>
      </c>
      <c r="V325">
        <v>1</v>
      </c>
      <c r="W325" t="s">
        <v>126</v>
      </c>
      <c r="X325" t="s">
        <v>50</v>
      </c>
      <c r="AA325" t="s">
        <v>227</v>
      </c>
      <c r="AB325">
        <v>1</v>
      </c>
      <c r="AC325">
        <v>3</v>
      </c>
      <c r="AD325">
        <v>3</v>
      </c>
      <c r="AE325" t="s">
        <v>229</v>
      </c>
      <c r="AI325">
        <v>0</v>
      </c>
      <c r="AJ325">
        <v>18</v>
      </c>
    </row>
    <row r="326" spans="1:36" x14ac:dyDescent="0.25">
      <c r="A326" s="36" t="s">
        <v>1513</v>
      </c>
      <c r="B326">
        <v>324</v>
      </c>
      <c r="C326" t="s">
        <v>48</v>
      </c>
      <c r="D326">
        <v>1</v>
      </c>
      <c r="F326">
        <v>1</v>
      </c>
      <c r="G326" t="s">
        <v>126</v>
      </c>
      <c r="H326" t="s">
        <v>50</v>
      </c>
      <c r="I326" t="s">
        <v>90</v>
      </c>
      <c r="K326" t="s">
        <v>227</v>
      </c>
      <c r="L326">
        <v>2</v>
      </c>
      <c r="M326">
        <v>1</v>
      </c>
      <c r="N326">
        <v>3</v>
      </c>
      <c r="O326" t="s">
        <v>228</v>
      </c>
      <c r="P326" t="s">
        <v>231</v>
      </c>
      <c r="S326" t="s">
        <v>33</v>
      </c>
      <c r="T326">
        <v>2</v>
      </c>
      <c r="V326">
        <v>2</v>
      </c>
      <c r="W326" t="s">
        <v>65</v>
      </c>
      <c r="X326" t="s">
        <v>35</v>
      </c>
      <c r="Y326" t="s">
        <v>131</v>
      </c>
      <c r="AA326" t="s">
        <v>45</v>
      </c>
      <c r="AB326">
        <v>2</v>
      </c>
      <c r="AD326">
        <v>1</v>
      </c>
      <c r="AE326" t="s">
        <v>47</v>
      </c>
      <c r="AI326">
        <v>0</v>
      </c>
      <c r="AJ326">
        <v>15</v>
      </c>
    </row>
    <row r="327" spans="1:36" x14ac:dyDescent="0.25">
      <c r="A327" s="36" t="s">
        <v>1514</v>
      </c>
      <c r="B327">
        <v>325</v>
      </c>
      <c r="C327" t="s">
        <v>33</v>
      </c>
      <c r="D327">
        <v>2</v>
      </c>
      <c r="F327">
        <v>3</v>
      </c>
      <c r="G327" t="s">
        <v>65</v>
      </c>
      <c r="H327" t="s">
        <v>66</v>
      </c>
      <c r="I327" t="s">
        <v>132</v>
      </c>
      <c r="J327" t="s">
        <v>133</v>
      </c>
      <c r="K327" t="s">
        <v>63</v>
      </c>
      <c r="L327">
        <v>3</v>
      </c>
      <c r="N327">
        <v>1</v>
      </c>
      <c r="O327" t="s">
        <v>145</v>
      </c>
      <c r="P327" t="s">
        <v>91</v>
      </c>
      <c r="Q327" t="s">
        <v>147</v>
      </c>
      <c r="R327" t="s">
        <v>150</v>
      </c>
      <c r="S327" t="s">
        <v>48</v>
      </c>
      <c r="T327">
        <v>3</v>
      </c>
      <c r="V327">
        <v>1</v>
      </c>
      <c r="W327" t="s">
        <v>89</v>
      </c>
      <c r="X327" t="s">
        <v>84</v>
      </c>
      <c r="AA327" t="s">
        <v>227</v>
      </c>
      <c r="AB327">
        <v>2</v>
      </c>
      <c r="AC327">
        <v>2</v>
      </c>
      <c r="AD327">
        <v>2</v>
      </c>
      <c r="AE327" t="s">
        <v>229</v>
      </c>
      <c r="AF327" t="s">
        <v>232</v>
      </c>
      <c r="AG327" t="s">
        <v>235</v>
      </c>
      <c r="AI327">
        <v>0</v>
      </c>
      <c r="AJ327">
        <v>23</v>
      </c>
    </row>
    <row r="328" spans="1:36" x14ac:dyDescent="0.25">
      <c r="A328" s="36" t="s">
        <v>1515</v>
      </c>
      <c r="B328">
        <v>326</v>
      </c>
      <c r="C328" t="s">
        <v>33</v>
      </c>
      <c r="D328">
        <v>1</v>
      </c>
      <c r="F328">
        <v>2</v>
      </c>
      <c r="G328" t="s">
        <v>65</v>
      </c>
      <c r="H328" t="s">
        <v>130</v>
      </c>
      <c r="I328" t="s">
        <v>36</v>
      </c>
      <c r="J328" t="s">
        <v>133</v>
      </c>
      <c r="K328" t="s">
        <v>38</v>
      </c>
      <c r="L328">
        <v>2</v>
      </c>
      <c r="M328">
        <v>1</v>
      </c>
      <c r="N328">
        <v>1</v>
      </c>
      <c r="O328" t="s">
        <v>39</v>
      </c>
      <c r="P328" t="s">
        <v>70</v>
      </c>
      <c r="Q328" t="s">
        <v>153</v>
      </c>
      <c r="R328" t="s">
        <v>42</v>
      </c>
      <c r="S328" t="s">
        <v>48</v>
      </c>
      <c r="T328">
        <v>3</v>
      </c>
      <c r="V328">
        <v>1</v>
      </c>
      <c r="W328" t="s">
        <v>126</v>
      </c>
      <c r="AA328" t="s">
        <v>227</v>
      </c>
      <c r="AB328">
        <v>1</v>
      </c>
      <c r="AC328">
        <v>1</v>
      </c>
      <c r="AD328">
        <v>3</v>
      </c>
      <c r="AE328" t="s">
        <v>228</v>
      </c>
      <c r="AF328" t="s">
        <v>231</v>
      </c>
      <c r="AI328">
        <v>0</v>
      </c>
      <c r="AJ328">
        <v>19</v>
      </c>
    </row>
    <row r="329" spans="1:36" x14ac:dyDescent="0.25">
      <c r="A329" s="36" t="s">
        <v>1516</v>
      </c>
      <c r="B329">
        <v>327</v>
      </c>
      <c r="C329" t="s">
        <v>43</v>
      </c>
      <c r="D329">
        <v>3</v>
      </c>
      <c r="F329">
        <v>1</v>
      </c>
      <c r="G329" t="s">
        <v>135</v>
      </c>
      <c r="H329" t="s">
        <v>99</v>
      </c>
      <c r="I329" t="s">
        <v>75</v>
      </c>
      <c r="K329" t="s">
        <v>45</v>
      </c>
      <c r="L329">
        <v>3</v>
      </c>
      <c r="N329">
        <v>2</v>
      </c>
      <c r="O329" t="s">
        <v>47</v>
      </c>
      <c r="S329" t="s">
        <v>48</v>
      </c>
      <c r="T329">
        <v>1</v>
      </c>
      <c r="V329">
        <v>1</v>
      </c>
      <c r="W329" t="s">
        <v>126</v>
      </c>
      <c r="X329" t="s">
        <v>84</v>
      </c>
      <c r="AA329" t="s">
        <v>227</v>
      </c>
      <c r="AB329">
        <v>2</v>
      </c>
      <c r="AC329">
        <v>1</v>
      </c>
      <c r="AD329">
        <v>3</v>
      </c>
      <c r="AE329" t="s">
        <v>229</v>
      </c>
      <c r="AF329" t="s">
        <v>231</v>
      </c>
      <c r="AI329">
        <v>0</v>
      </c>
      <c r="AJ329">
        <v>16</v>
      </c>
    </row>
    <row r="330" spans="1:36" x14ac:dyDescent="0.25">
      <c r="A330" s="36" t="s">
        <v>1517</v>
      </c>
      <c r="B330">
        <v>328</v>
      </c>
      <c r="C330" t="s">
        <v>48</v>
      </c>
      <c r="D330">
        <v>2</v>
      </c>
      <c r="F330">
        <v>1</v>
      </c>
      <c r="G330" t="s">
        <v>89</v>
      </c>
      <c r="H330" t="s">
        <v>84</v>
      </c>
      <c r="I330" t="s">
        <v>127</v>
      </c>
      <c r="J330" t="s">
        <v>129</v>
      </c>
      <c r="K330" t="s">
        <v>227</v>
      </c>
      <c r="L330">
        <v>1</v>
      </c>
      <c r="M330">
        <v>1</v>
      </c>
      <c r="N330">
        <v>2</v>
      </c>
      <c r="O330" t="s">
        <v>229</v>
      </c>
      <c r="P330" t="s">
        <v>231</v>
      </c>
      <c r="Q330" t="s">
        <v>234</v>
      </c>
      <c r="S330" t="s">
        <v>43</v>
      </c>
      <c r="T330">
        <v>3</v>
      </c>
      <c r="V330">
        <v>1</v>
      </c>
      <c r="W330" t="s">
        <v>44</v>
      </c>
      <c r="AA330" t="s">
        <v>63</v>
      </c>
      <c r="AB330">
        <v>2</v>
      </c>
      <c r="AD330">
        <v>1</v>
      </c>
      <c r="AE330" t="s">
        <v>145</v>
      </c>
      <c r="AF330" t="s">
        <v>91</v>
      </c>
      <c r="AG330" t="s">
        <v>147</v>
      </c>
      <c r="AI330">
        <v>0</v>
      </c>
      <c r="AJ330">
        <v>18</v>
      </c>
    </row>
    <row r="331" spans="1:36" x14ac:dyDescent="0.25">
      <c r="A331" s="36" t="s">
        <v>1518</v>
      </c>
      <c r="B331">
        <v>329</v>
      </c>
      <c r="C331" t="s">
        <v>43</v>
      </c>
      <c r="D331">
        <v>3</v>
      </c>
      <c r="F331">
        <v>1</v>
      </c>
      <c r="G331" t="s">
        <v>44</v>
      </c>
      <c r="H331" t="s">
        <v>74</v>
      </c>
      <c r="K331" t="s">
        <v>38</v>
      </c>
      <c r="L331">
        <v>3</v>
      </c>
      <c r="M331">
        <v>3</v>
      </c>
      <c r="N331">
        <v>3</v>
      </c>
      <c r="O331" t="s">
        <v>39</v>
      </c>
      <c r="P331" t="s">
        <v>40</v>
      </c>
      <c r="Q331" t="s">
        <v>153</v>
      </c>
      <c r="R331" t="s">
        <v>42</v>
      </c>
      <c r="S331" t="s">
        <v>48</v>
      </c>
      <c r="T331">
        <v>1</v>
      </c>
      <c r="V331">
        <v>1</v>
      </c>
      <c r="W331" t="s">
        <v>126</v>
      </c>
      <c r="X331" t="s">
        <v>84</v>
      </c>
      <c r="Y331" t="s">
        <v>51</v>
      </c>
      <c r="AA331" t="s">
        <v>227</v>
      </c>
      <c r="AB331">
        <v>3</v>
      </c>
      <c r="AC331">
        <v>3</v>
      </c>
      <c r="AD331">
        <v>3</v>
      </c>
      <c r="AE331" t="s">
        <v>229</v>
      </c>
      <c r="AF331" t="s">
        <v>231</v>
      </c>
      <c r="AG331" t="s">
        <v>235</v>
      </c>
      <c r="AH331" t="s">
        <v>238</v>
      </c>
      <c r="AI331">
        <v>0</v>
      </c>
      <c r="AJ331">
        <v>29</v>
      </c>
    </row>
    <row r="332" spans="1:36" x14ac:dyDescent="0.25">
      <c r="A332" s="36" t="s">
        <v>1519</v>
      </c>
      <c r="B332">
        <v>330</v>
      </c>
      <c r="C332" t="s">
        <v>48</v>
      </c>
      <c r="D332">
        <v>3</v>
      </c>
      <c r="F332">
        <v>2</v>
      </c>
      <c r="G332" t="s">
        <v>89</v>
      </c>
      <c r="H332" t="s">
        <v>84</v>
      </c>
      <c r="I332" t="s">
        <v>127</v>
      </c>
      <c r="J332" t="s">
        <v>129</v>
      </c>
      <c r="K332" t="s">
        <v>227</v>
      </c>
      <c r="L332">
        <v>2</v>
      </c>
      <c r="M332">
        <v>1</v>
      </c>
      <c r="N332">
        <v>2</v>
      </c>
      <c r="O332" t="s">
        <v>229</v>
      </c>
      <c r="P332" t="s">
        <v>231</v>
      </c>
      <c r="Q332" t="s">
        <v>235</v>
      </c>
      <c r="R332" t="s">
        <v>239</v>
      </c>
      <c r="S332" t="s">
        <v>45</v>
      </c>
      <c r="T332">
        <v>2</v>
      </c>
      <c r="V332">
        <v>1</v>
      </c>
      <c r="W332" t="s">
        <v>86</v>
      </c>
      <c r="AA332" t="s">
        <v>63</v>
      </c>
      <c r="AB332">
        <v>2</v>
      </c>
      <c r="AD332">
        <v>2</v>
      </c>
      <c r="AE332" t="s">
        <v>145</v>
      </c>
      <c r="AF332" t="s">
        <v>95</v>
      </c>
      <c r="AG332" t="s">
        <v>147</v>
      </c>
      <c r="AI332">
        <v>0</v>
      </c>
      <c r="AJ332">
        <v>20</v>
      </c>
    </row>
    <row r="333" spans="1:36" x14ac:dyDescent="0.25">
      <c r="A333" s="36" t="s">
        <v>1520</v>
      </c>
      <c r="B333">
        <v>331</v>
      </c>
      <c r="C333" t="s">
        <v>45</v>
      </c>
      <c r="D333">
        <v>3</v>
      </c>
      <c r="F333">
        <v>1</v>
      </c>
      <c r="G333" t="s">
        <v>86</v>
      </c>
      <c r="H333" t="s">
        <v>76</v>
      </c>
      <c r="I333" t="s">
        <v>93</v>
      </c>
      <c r="K333" t="s">
        <v>38</v>
      </c>
      <c r="L333">
        <v>2</v>
      </c>
      <c r="M333">
        <v>1</v>
      </c>
      <c r="N333">
        <v>1</v>
      </c>
      <c r="O333" t="s">
        <v>39</v>
      </c>
      <c r="P333" t="s">
        <v>70</v>
      </c>
      <c r="Q333" t="s">
        <v>154</v>
      </c>
      <c r="S333" t="s">
        <v>48</v>
      </c>
      <c r="T333">
        <v>1</v>
      </c>
      <c r="V333">
        <v>1</v>
      </c>
      <c r="W333" t="s">
        <v>126</v>
      </c>
      <c r="X333" t="s">
        <v>84</v>
      </c>
      <c r="Y333" t="s">
        <v>127</v>
      </c>
      <c r="AA333" t="s">
        <v>227</v>
      </c>
      <c r="AB333">
        <v>2</v>
      </c>
      <c r="AC333">
        <v>1</v>
      </c>
      <c r="AD333">
        <v>1</v>
      </c>
      <c r="AE333" t="s">
        <v>228</v>
      </c>
      <c r="AF333" t="s">
        <v>231</v>
      </c>
      <c r="AI333">
        <v>0</v>
      </c>
      <c r="AJ333">
        <v>15</v>
      </c>
    </row>
    <row r="334" spans="1:36" x14ac:dyDescent="0.25">
      <c r="A334" s="36" t="s">
        <v>1521</v>
      </c>
      <c r="B334">
        <v>332</v>
      </c>
      <c r="C334" t="s">
        <v>48</v>
      </c>
      <c r="D334">
        <v>2</v>
      </c>
      <c r="F334">
        <v>2</v>
      </c>
      <c r="G334" t="s">
        <v>49</v>
      </c>
      <c r="H334" t="s">
        <v>71</v>
      </c>
      <c r="I334" t="s">
        <v>51</v>
      </c>
      <c r="J334" t="s">
        <v>129</v>
      </c>
      <c r="K334" t="s">
        <v>227</v>
      </c>
      <c r="L334">
        <v>3</v>
      </c>
      <c r="M334">
        <v>1</v>
      </c>
      <c r="N334">
        <v>3</v>
      </c>
      <c r="O334" t="s">
        <v>229</v>
      </c>
      <c r="P334" t="s">
        <v>231</v>
      </c>
      <c r="Q334" t="s">
        <v>235</v>
      </c>
      <c r="S334" t="s">
        <v>63</v>
      </c>
      <c r="T334">
        <v>1</v>
      </c>
      <c r="V334">
        <v>1</v>
      </c>
      <c r="W334" t="s">
        <v>145</v>
      </c>
      <c r="X334" t="s">
        <v>91</v>
      </c>
      <c r="Y334" t="s">
        <v>148</v>
      </c>
      <c r="AA334" t="s">
        <v>38</v>
      </c>
      <c r="AB334">
        <v>3</v>
      </c>
      <c r="AC334">
        <v>1</v>
      </c>
      <c r="AD334">
        <v>3</v>
      </c>
      <c r="AE334" t="s">
        <v>39</v>
      </c>
      <c r="AF334" t="s">
        <v>96</v>
      </c>
      <c r="AG334" t="s">
        <v>41</v>
      </c>
      <c r="AI334">
        <v>0</v>
      </c>
      <c r="AJ334">
        <v>23</v>
      </c>
    </row>
    <row r="335" spans="1:36" x14ac:dyDescent="0.25">
      <c r="A335" t="s">
        <v>1522</v>
      </c>
      <c r="B335">
        <v>333</v>
      </c>
      <c r="C335" t="s">
        <v>45</v>
      </c>
      <c r="D335">
        <v>3</v>
      </c>
      <c r="F335">
        <v>1</v>
      </c>
      <c r="G335" t="s">
        <v>140</v>
      </c>
      <c r="H335" t="s">
        <v>92</v>
      </c>
      <c r="K335" t="s">
        <v>63</v>
      </c>
      <c r="L335">
        <v>1</v>
      </c>
      <c r="N335">
        <v>1</v>
      </c>
      <c r="O335" t="s">
        <v>145</v>
      </c>
      <c r="P335" t="s">
        <v>146</v>
      </c>
      <c r="Q335" t="s">
        <v>148</v>
      </c>
      <c r="S335" t="s">
        <v>33</v>
      </c>
      <c r="T335">
        <v>3</v>
      </c>
      <c r="V335">
        <v>2</v>
      </c>
      <c r="W335" t="s">
        <v>34</v>
      </c>
      <c r="AA335" t="s">
        <v>43</v>
      </c>
      <c r="AB335">
        <v>1</v>
      </c>
      <c r="AD335">
        <v>1</v>
      </c>
      <c r="AE335" t="s">
        <v>135</v>
      </c>
      <c r="AF335" t="s">
        <v>136</v>
      </c>
      <c r="AG335" t="s">
        <v>137</v>
      </c>
      <c r="AI335">
        <v>0</v>
      </c>
      <c r="AJ335">
        <v>16</v>
      </c>
    </row>
    <row r="336" spans="1:36" x14ac:dyDescent="0.25">
      <c r="A336" t="s">
        <v>1523</v>
      </c>
      <c r="B336">
        <v>334</v>
      </c>
      <c r="C336" t="s">
        <v>45</v>
      </c>
      <c r="D336">
        <v>3</v>
      </c>
      <c r="F336">
        <v>1</v>
      </c>
      <c r="G336" t="s">
        <v>140</v>
      </c>
      <c r="K336" t="s">
        <v>38</v>
      </c>
      <c r="L336">
        <v>1</v>
      </c>
      <c r="M336">
        <v>1</v>
      </c>
      <c r="N336">
        <v>2</v>
      </c>
      <c r="O336" t="s">
        <v>67</v>
      </c>
      <c r="P336" t="s">
        <v>40</v>
      </c>
      <c r="Q336" t="s">
        <v>154</v>
      </c>
      <c r="S336" t="s">
        <v>33</v>
      </c>
      <c r="T336">
        <v>1</v>
      </c>
      <c r="V336">
        <v>3</v>
      </c>
      <c r="W336" t="s">
        <v>65</v>
      </c>
      <c r="AA336" t="s">
        <v>43</v>
      </c>
      <c r="AB336">
        <v>1</v>
      </c>
      <c r="AD336">
        <v>1</v>
      </c>
      <c r="AE336" t="s">
        <v>135</v>
      </c>
      <c r="AF336" t="s">
        <v>136</v>
      </c>
      <c r="AG336" t="s">
        <v>137</v>
      </c>
      <c r="AI336">
        <v>0</v>
      </c>
      <c r="AJ336">
        <v>14</v>
      </c>
    </row>
    <row r="337" spans="1:36" x14ac:dyDescent="0.25">
      <c r="A337" s="36" t="s">
        <v>1524</v>
      </c>
      <c r="B337">
        <v>335</v>
      </c>
      <c r="C337" t="s">
        <v>45</v>
      </c>
      <c r="D337">
        <v>3</v>
      </c>
      <c r="F337">
        <v>1</v>
      </c>
      <c r="G337" t="s">
        <v>140</v>
      </c>
      <c r="K337" t="s">
        <v>227</v>
      </c>
      <c r="L337">
        <v>1</v>
      </c>
      <c r="M337">
        <v>1</v>
      </c>
      <c r="N337">
        <v>1</v>
      </c>
      <c r="O337" t="s">
        <v>228</v>
      </c>
      <c r="P337" t="s">
        <v>231</v>
      </c>
      <c r="Q337" t="s">
        <v>236</v>
      </c>
      <c r="S337" t="s">
        <v>33</v>
      </c>
      <c r="T337">
        <v>1</v>
      </c>
      <c r="V337">
        <v>3</v>
      </c>
      <c r="W337" t="s">
        <v>65</v>
      </c>
      <c r="X337" t="s">
        <v>35</v>
      </c>
      <c r="AA337" t="s">
        <v>43</v>
      </c>
      <c r="AB337">
        <v>1</v>
      </c>
      <c r="AD337">
        <v>1</v>
      </c>
      <c r="AE337" t="s">
        <v>73</v>
      </c>
      <c r="AI337">
        <v>0</v>
      </c>
      <c r="AJ337">
        <v>12</v>
      </c>
    </row>
    <row r="338" spans="1:36" x14ac:dyDescent="0.25">
      <c r="A338" t="s">
        <v>1525</v>
      </c>
      <c r="B338">
        <v>336</v>
      </c>
      <c r="C338" t="s">
        <v>63</v>
      </c>
      <c r="D338">
        <v>2</v>
      </c>
      <c r="F338">
        <v>2</v>
      </c>
      <c r="G338" t="s">
        <v>145</v>
      </c>
      <c r="H338" t="s">
        <v>146</v>
      </c>
      <c r="I338" t="s">
        <v>104</v>
      </c>
      <c r="K338" t="s">
        <v>38</v>
      </c>
      <c r="L338">
        <v>1</v>
      </c>
      <c r="M338">
        <v>1</v>
      </c>
      <c r="N338">
        <v>3</v>
      </c>
      <c r="O338" t="s">
        <v>67</v>
      </c>
      <c r="P338" t="s">
        <v>40</v>
      </c>
      <c r="S338" t="s">
        <v>33</v>
      </c>
      <c r="T338">
        <v>2</v>
      </c>
      <c r="V338">
        <v>2</v>
      </c>
      <c r="W338" t="s">
        <v>65</v>
      </c>
      <c r="AA338" t="s">
        <v>43</v>
      </c>
      <c r="AB338">
        <v>2</v>
      </c>
      <c r="AD338">
        <v>1</v>
      </c>
      <c r="AE338" t="s">
        <v>135</v>
      </c>
      <c r="AF338" t="s">
        <v>136</v>
      </c>
      <c r="AG338" t="s">
        <v>137</v>
      </c>
      <c r="AH338" t="s">
        <v>139</v>
      </c>
      <c r="AI338">
        <v>0</v>
      </c>
      <c r="AJ338">
        <v>18</v>
      </c>
    </row>
    <row r="339" spans="1:36" x14ac:dyDescent="0.25">
      <c r="A339" s="36" t="s">
        <v>1526</v>
      </c>
      <c r="B339">
        <v>337</v>
      </c>
      <c r="C339" t="s">
        <v>33</v>
      </c>
      <c r="D339">
        <v>2</v>
      </c>
      <c r="F339">
        <v>3</v>
      </c>
      <c r="G339" t="s">
        <v>34</v>
      </c>
      <c r="K339" t="s">
        <v>43</v>
      </c>
      <c r="L339">
        <v>3</v>
      </c>
      <c r="N339">
        <v>1</v>
      </c>
      <c r="O339" t="s">
        <v>135</v>
      </c>
      <c r="P339" t="s">
        <v>99</v>
      </c>
      <c r="Q339" t="s">
        <v>75</v>
      </c>
      <c r="S339" t="s">
        <v>63</v>
      </c>
      <c r="T339">
        <v>1</v>
      </c>
      <c r="V339">
        <v>1</v>
      </c>
      <c r="W339" t="s">
        <v>145</v>
      </c>
      <c r="X339" t="s">
        <v>146</v>
      </c>
      <c r="AA339" t="s">
        <v>227</v>
      </c>
      <c r="AB339">
        <v>2</v>
      </c>
      <c r="AC339">
        <v>1</v>
      </c>
      <c r="AD339">
        <v>2</v>
      </c>
      <c r="AE339" t="s">
        <v>229</v>
      </c>
      <c r="AF339" t="s">
        <v>231</v>
      </c>
      <c r="AG339" t="s">
        <v>235</v>
      </c>
      <c r="AI339">
        <v>0</v>
      </c>
      <c r="AJ339">
        <v>16</v>
      </c>
    </row>
    <row r="340" spans="1:36" x14ac:dyDescent="0.25">
      <c r="A340" s="36" t="s">
        <v>1527</v>
      </c>
      <c r="B340">
        <v>338</v>
      </c>
      <c r="C340" t="s">
        <v>38</v>
      </c>
      <c r="D340">
        <v>2</v>
      </c>
      <c r="E340">
        <v>1</v>
      </c>
      <c r="F340">
        <v>2</v>
      </c>
      <c r="G340" t="s">
        <v>67</v>
      </c>
      <c r="H340" t="s">
        <v>40</v>
      </c>
      <c r="K340" t="s">
        <v>227</v>
      </c>
      <c r="L340">
        <v>2</v>
      </c>
      <c r="M340">
        <v>1</v>
      </c>
      <c r="N340">
        <v>3</v>
      </c>
      <c r="O340" t="s">
        <v>229</v>
      </c>
      <c r="S340" t="s">
        <v>33</v>
      </c>
      <c r="T340">
        <v>2</v>
      </c>
      <c r="V340">
        <v>2</v>
      </c>
      <c r="W340" t="s">
        <v>65</v>
      </c>
      <c r="X340" t="s">
        <v>130</v>
      </c>
      <c r="AA340" t="s">
        <v>43</v>
      </c>
      <c r="AB340">
        <v>1</v>
      </c>
      <c r="AD340">
        <v>1</v>
      </c>
      <c r="AE340" t="s">
        <v>135</v>
      </c>
      <c r="AF340" t="s">
        <v>136</v>
      </c>
      <c r="AI340">
        <v>0</v>
      </c>
      <c r="AJ340">
        <v>14</v>
      </c>
    </row>
    <row r="341" spans="1:36" x14ac:dyDescent="0.25">
      <c r="A341" t="s">
        <v>1528</v>
      </c>
      <c r="B341">
        <v>339</v>
      </c>
      <c r="C341" t="s">
        <v>33</v>
      </c>
      <c r="D341">
        <v>3</v>
      </c>
      <c r="F341">
        <v>2</v>
      </c>
      <c r="G341" t="s">
        <v>34</v>
      </c>
      <c r="H341" t="s">
        <v>66</v>
      </c>
      <c r="I341" t="s">
        <v>132</v>
      </c>
      <c r="J341" t="s">
        <v>37</v>
      </c>
      <c r="K341" t="s">
        <v>45</v>
      </c>
      <c r="L341">
        <v>3</v>
      </c>
      <c r="N341">
        <v>1</v>
      </c>
      <c r="O341" t="s">
        <v>140</v>
      </c>
      <c r="P341" t="s">
        <v>141</v>
      </c>
      <c r="Q341" t="s">
        <v>102</v>
      </c>
      <c r="R341" t="s">
        <v>94</v>
      </c>
      <c r="S341" t="s">
        <v>43</v>
      </c>
      <c r="T341">
        <v>1</v>
      </c>
      <c r="V341">
        <v>1</v>
      </c>
      <c r="W341" t="s">
        <v>135</v>
      </c>
      <c r="X341" t="s">
        <v>136</v>
      </c>
      <c r="AA341" t="s">
        <v>63</v>
      </c>
      <c r="AB341">
        <v>2</v>
      </c>
      <c r="AD341">
        <v>3</v>
      </c>
      <c r="AE341" t="s">
        <v>145</v>
      </c>
      <c r="AF341" t="s">
        <v>146</v>
      </c>
      <c r="AG341" t="s">
        <v>104</v>
      </c>
      <c r="AH341" t="s">
        <v>150</v>
      </c>
      <c r="AI341">
        <v>0</v>
      </c>
      <c r="AJ341">
        <v>23</v>
      </c>
    </row>
    <row r="342" spans="1:36" x14ac:dyDescent="0.25">
      <c r="A342" t="s">
        <v>1529</v>
      </c>
      <c r="B342">
        <v>340</v>
      </c>
      <c r="C342" t="s">
        <v>33</v>
      </c>
      <c r="D342">
        <v>1</v>
      </c>
      <c r="F342">
        <v>2</v>
      </c>
      <c r="G342" t="s">
        <v>65</v>
      </c>
      <c r="K342" t="s">
        <v>45</v>
      </c>
      <c r="L342">
        <v>3</v>
      </c>
      <c r="N342">
        <v>1</v>
      </c>
      <c r="O342" t="s">
        <v>140</v>
      </c>
      <c r="P342" t="s">
        <v>76</v>
      </c>
      <c r="Q342" t="s">
        <v>102</v>
      </c>
      <c r="R342" t="s">
        <v>144</v>
      </c>
      <c r="S342" t="s">
        <v>43</v>
      </c>
      <c r="T342">
        <v>1</v>
      </c>
      <c r="V342">
        <v>1</v>
      </c>
      <c r="W342" t="s">
        <v>73</v>
      </c>
      <c r="X342" t="s">
        <v>136</v>
      </c>
      <c r="Y342" t="s">
        <v>100</v>
      </c>
      <c r="AA342" t="s">
        <v>38</v>
      </c>
      <c r="AB342">
        <v>1</v>
      </c>
      <c r="AC342">
        <v>2</v>
      </c>
      <c r="AD342">
        <v>2</v>
      </c>
      <c r="AE342" t="s">
        <v>67</v>
      </c>
      <c r="AF342" t="s">
        <v>40</v>
      </c>
      <c r="AG342" t="s">
        <v>153</v>
      </c>
      <c r="AH342" t="s">
        <v>42</v>
      </c>
      <c r="AI342">
        <v>0</v>
      </c>
      <c r="AJ342">
        <v>17</v>
      </c>
    </row>
    <row r="343" spans="1:36" x14ac:dyDescent="0.25">
      <c r="A343" s="36" t="s">
        <v>1530</v>
      </c>
      <c r="B343">
        <v>341</v>
      </c>
      <c r="C343" t="s">
        <v>33</v>
      </c>
      <c r="D343">
        <v>3</v>
      </c>
      <c r="F343">
        <v>3</v>
      </c>
      <c r="G343" t="s">
        <v>65</v>
      </c>
      <c r="H343" t="s">
        <v>66</v>
      </c>
      <c r="K343" t="s">
        <v>45</v>
      </c>
      <c r="L343">
        <v>2</v>
      </c>
      <c r="N343">
        <v>1</v>
      </c>
      <c r="O343" t="s">
        <v>140</v>
      </c>
      <c r="S343" t="s">
        <v>43</v>
      </c>
      <c r="T343">
        <v>3</v>
      </c>
      <c r="V343">
        <v>2</v>
      </c>
      <c r="W343" t="s">
        <v>44</v>
      </c>
      <c r="X343" t="s">
        <v>136</v>
      </c>
      <c r="AA343" t="s">
        <v>227</v>
      </c>
      <c r="AB343">
        <v>1</v>
      </c>
      <c r="AC343">
        <v>1</v>
      </c>
      <c r="AD343">
        <v>2</v>
      </c>
      <c r="AE343" t="s">
        <v>228</v>
      </c>
      <c r="AF343" t="s">
        <v>231</v>
      </c>
      <c r="AI343">
        <v>0</v>
      </c>
      <c r="AJ343">
        <v>16</v>
      </c>
    </row>
    <row r="344" spans="1:36" x14ac:dyDescent="0.25">
      <c r="A344" t="s">
        <v>1531</v>
      </c>
      <c r="B344">
        <v>342</v>
      </c>
      <c r="C344" t="s">
        <v>33</v>
      </c>
      <c r="D344">
        <v>3</v>
      </c>
      <c r="F344">
        <v>3</v>
      </c>
      <c r="G344" t="s">
        <v>65</v>
      </c>
      <c r="H344" t="s">
        <v>66</v>
      </c>
      <c r="I344" t="s">
        <v>131</v>
      </c>
      <c r="J344" t="s">
        <v>134</v>
      </c>
      <c r="K344" t="s">
        <v>45</v>
      </c>
      <c r="L344">
        <v>3</v>
      </c>
      <c r="N344">
        <v>1</v>
      </c>
      <c r="O344" t="s">
        <v>140</v>
      </c>
      <c r="P344" t="s">
        <v>141</v>
      </c>
      <c r="S344" t="s">
        <v>63</v>
      </c>
      <c r="T344">
        <v>3</v>
      </c>
      <c r="V344">
        <v>2</v>
      </c>
      <c r="W344" t="s">
        <v>145</v>
      </c>
      <c r="X344" t="s">
        <v>146</v>
      </c>
      <c r="Y344" t="s">
        <v>148</v>
      </c>
      <c r="Z344" t="s">
        <v>150</v>
      </c>
      <c r="AA344" t="s">
        <v>38</v>
      </c>
      <c r="AB344">
        <v>3</v>
      </c>
      <c r="AC344">
        <v>1</v>
      </c>
      <c r="AD344">
        <v>3</v>
      </c>
      <c r="AE344" t="s">
        <v>67</v>
      </c>
      <c r="AI344">
        <v>0</v>
      </c>
      <c r="AJ344">
        <v>24</v>
      </c>
    </row>
    <row r="345" spans="1:36" x14ac:dyDescent="0.25">
      <c r="A345" s="36" t="s">
        <v>1532</v>
      </c>
      <c r="B345">
        <v>343</v>
      </c>
      <c r="C345" t="s">
        <v>63</v>
      </c>
      <c r="D345">
        <v>3</v>
      </c>
      <c r="F345">
        <v>3</v>
      </c>
      <c r="G345" t="s">
        <v>145</v>
      </c>
      <c r="H345" t="s">
        <v>146</v>
      </c>
      <c r="I345" t="s">
        <v>148</v>
      </c>
      <c r="J345" t="s">
        <v>150</v>
      </c>
      <c r="K345" t="s">
        <v>227</v>
      </c>
      <c r="L345">
        <v>3</v>
      </c>
      <c r="M345">
        <v>1</v>
      </c>
      <c r="N345">
        <v>1</v>
      </c>
      <c r="O345" t="s">
        <v>228</v>
      </c>
      <c r="S345" t="s">
        <v>33</v>
      </c>
      <c r="T345">
        <v>1</v>
      </c>
      <c r="V345">
        <v>3</v>
      </c>
      <c r="W345" t="s">
        <v>34</v>
      </c>
      <c r="AA345" t="s">
        <v>45</v>
      </c>
      <c r="AB345">
        <v>3</v>
      </c>
      <c r="AD345">
        <v>3</v>
      </c>
      <c r="AE345" t="s">
        <v>140</v>
      </c>
      <c r="AF345" t="s">
        <v>141</v>
      </c>
      <c r="AG345" t="s">
        <v>102</v>
      </c>
      <c r="AH345" t="s">
        <v>144</v>
      </c>
      <c r="AI345">
        <v>0</v>
      </c>
      <c r="AJ345">
        <v>26</v>
      </c>
    </row>
    <row r="346" spans="1:36" x14ac:dyDescent="0.25">
      <c r="A346" s="36" t="s">
        <v>1533</v>
      </c>
      <c r="B346">
        <v>344</v>
      </c>
      <c r="C346" t="s">
        <v>33</v>
      </c>
      <c r="D346">
        <v>1</v>
      </c>
      <c r="F346">
        <v>2</v>
      </c>
      <c r="G346" t="s">
        <v>65</v>
      </c>
      <c r="H346" t="s">
        <v>35</v>
      </c>
      <c r="K346" t="s">
        <v>45</v>
      </c>
      <c r="L346">
        <v>3</v>
      </c>
      <c r="N346">
        <v>1</v>
      </c>
      <c r="O346" t="s">
        <v>140</v>
      </c>
      <c r="P346" t="s">
        <v>76</v>
      </c>
      <c r="S346" t="s">
        <v>38</v>
      </c>
      <c r="T346">
        <v>3</v>
      </c>
      <c r="U346">
        <v>1</v>
      </c>
      <c r="V346">
        <v>2</v>
      </c>
      <c r="W346" t="s">
        <v>67</v>
      </c>
      <c r="AA346" t="s">
        <v>227</v>
      </c>
      <c r="AB346">
        <v>1</v>
      </c>
      <c r="AC346">
        <v>1</v>
      </c>
      <c r="AD346">
        <v>2</v>
      </c>
      <c r="AE346" t="s">
        <v>228</v>
      </c>
      <c r="AF346" t="s">
        <v>231</v>
      </c>
      <c r="AI346">
        <v>0</v>
      </c>
      <c r="AJ346">
        <v>14</v>
      </c>
    </row>
    <row r="347" spans="1:36" x14ac:dyDescent="0.25">
      <c r="A347" t="s">
        <v>1534</v>
      </c>
      <c r="B347">
        <v>345</v>
      </c>
      <c r="C347" t="s">
        <v>33</v>
      </c>
      <c r="D347">
        <v>2</v>
      </c>
      <c r="F347">
        <v>3</v>
      </c>
      <c r="G347" t="s">
        <v>65</v>
      </c>
      <c r="H347" t="s">
        <v>66</v>
      </c>
      <c r="I347" t="s">
        <v>131</v>
      </c>
      <c r="K347" t="s">
        <v>63</v>
      </c>
      <c r="L347">
        <v>2</v>
      </c>
      <c r="N347">
        <v>2</v>
      </c>
      <c r="O347" t="s">
        <v>145</v>
      </c>
      <c r="P347" t="s">
        <v>146</v>
      </c>
      <c r="Q347" t="s">
        <v>148</v>
      </c>
      <c r="R347" t="s">
        <v>150</v>
      </c>
      <c r="S347" t="s">
        <v>43</v>
      </c>
      <c r="T347">
        <v>3</v>
      </c>
      <c r="V347">
        <v>1</v>
      </c>
      <c r="W347" t="s">
        <v>135</v>
      </c>
      <c r="AA347" t="s">
        <v>45</v>
      </c>
      <c r="AB347">
        <v>3</v>
      </c>
      <c r="AD347">
        <v>2</v>
      </c>
      <c r="AE347" t="s">
        <v>140</v>
      </c>
      <c r="AF347" t="s">
        <v>141</v>
      </c>
      <c r="AG347" t="s">
        <v>102</v>
      </c>
      <c r="AI347">
        <v>0</v>
      </c>
      <c r="AJ347">
        <v>21</v>
      </c>
    </row>
    <row r="348" spans="1:36" x14ac:dyDescent="0.25">
      <c r="A348" t="s">
        <v>1535</v>
      </c>
      <c r="B348">
        <v>346</v>
      </c>
      <c r="C348" t="s">
        <v>33</v>
      </c>
      <c r="D348">
        <v>1</v>
      </c>
      <c r="F348">
        <v>3</v>
      </c>
      <c r="G348" t="s">
        <v>65</v>
      </c>
      <c r="K348" t="s">
        <v>63</v>
      </c>
      <c r="L348">
        <v>3</v>
      </c>
      <c r="N348">
        <v>3</v>
      </c>
      <c r="O348" t="s">
        <v>145</v>
      </c>
      <c r="P348" t="s">
        <v>146</v>
      </c>
      <c r="Q348" t="s">
        <v>104</v>
      </c>
      <c r="R348" t="s">
        <v>151</v>
      </c>
      <c r="S348" t="s">
        <v>43</v>
      </c>
      <c r="T348">
        <v>3</v>
      </c>
      <c r="V348">
        <v>1</v>
      </c>
      <c r="W348" t="s">
        <v>135</v>
      </c>
      <c r="X348" t="s">
        <v>136</v>
      </c>
      <c r="Y348" t="s">
        <v>137</v>
      </c>
      <c r="AA348" t="s">
        <v>38</v>
      </c>
      <c r="AB348">
        <v>3</v>
      </c>
      <c r="AC348">
        <v>2</v>
      </c>
      <c r="AD348">
        <v>3</v>
      </c>
      <c r="AE348" t="s">
        <v>67</v>
      </c>
      <c r="AF348" t="s">
        <v>70</v>
      </c>
      <c r="AG348" t="s">
        <v>41</v>
      </c>
      <c r="AH348" t="s">
        <v>42</v>
      </c>
      <c r="AI348">
        <v>0</v>
      </c>
      <c r="AJ348">
        <v>26</v>
      </c>
    </row>
    <row r="349" spans="1:36" x14ac:dyDescent="0.25">
      <c r="A349" s="36" t="s">
        <v>1536</v>
      </c>
      <c r="B349">
        <v>347</v>
      </c>
      <c r="C349" t="s">
        <v>33</v>
      </c>
      <c r="D349">
        <v>2</v>
      </c>
      <c r="F349">
        <v>1</v>
      </c>
      <c r="G349" t="s">
        <v>65</v>
      </c>
      <c r="H349" t="s">
        <v>66</v>
      </c>
      <c r="I349" t="s">
        <v>36</v>
      </c>
      <c r="K349" t="s">
        <v>63</v>
      </c>
      <c r="L349">
        <v>1</v>
      </c>
      <c r="N349">
        <v>1</v>
      </c>
      <c r="O349" t="s">
        <v>145</v>
      </c>
      <c r="P349" t="s">
        <v>91</v>
      </c>
      <c r="Q349" t="s">
        <v>148</v>
      </c>
      <c r="S349" t="s">
        <v>43</v>
      </c>
      <c r="T349">
        <v>2</v>
      </c>
      <c r="V349">
        <v>1</v>
      </c>
      <c r="W349" t="s">
        <v>44</v>
      </c>
      <c r="AA349" t="s">
        <v>227</v>
      </c>
      <c r="AB349">
        <v>2</v>
      </c>
      <c r="AC349">
        <v>1</v>
      </c>
      <c r="AD349">
        <v>2</v>
      </c>
      <c r="AE349" t="s">
        <v>229</v>
      </c>
      <c r="AI349">
        <v>0</v>
      </c>
      <c r="AJ349">
        <v>12</v>
      </c>
    </row>
    <row r="350" spans="1:36" x14ac:dyDescent="0.25">
      <c r="A350" t="s">
        <v>1537</v>
      </c>
      <c r="B350">
        <v>348</v>
      </c>
      <c r="C350" t="s">
        <v>45</v>
      </c>
      <c r="D350">
        <v>3</v>
      </c>
      <c r="F350">
        <v>1</v>
      </c>
      <c r="G350" t="s">
        <v>86</v>
      </c>
      <c r="H350" t="s">
        <v>141</v>
      </c>
      <c r="K350" t="s">
        <v>38</v>
      </c>
      <c r="L350">
        <v>1</v>
      </c>
      <c r="M350">
        <v>1</v>
      </c>
      <c r="N350">
        <v>2</v>
      </c>
      <c r="O350" t="s">
        <v>39</v>
      </c>
      <c r="P350" t="s">
        <v>40</v>
      </c>
      <c r="Q350" t="s">
        <v>41</v>
      </c>
      <c r="S350" t="s">
        <v>33</v>
      </c>
      <c r="T350">
        <v>1</v>
      </c>
      <c r="V350">
        <v>2</v>
      </c>
      <c r="W350" t="s">
        <v>65</v>
      </c>
      <c r="X350" t="s">
        <v>66</v>
      </c>
      <c r="Y350" t="s">
        <v>36</v>
      </c>
      <c r="AA350" t="s">
        <v>63</v>
      </c>
      <c r="AB350">
        <v>1</v>
      </c>
      <c r="AD350">
        <v>1</v>
      </c>
      <c r="AE350" t="s">
        <v>145</v>
      </c>
      <c r="AF350" t="s">
        <v>91</v>
      </c>
      <c r="AI350">
        <v>0</v>
      </c>
      <c r="AJ350">
        <v>14</v>
      </c>
    </row>
    <row r="351" spans="1:36" x14ac:dyDescent="0.25">
      <c r="A351" s="36" t="s">
        <v>1538</v>
      </c>
      <c r="B351">
        <v>349</v>
      </c>
      <c r="C351" t="s">
        <v>45</v>
      </c>
      <c r="D351">
        <v>3</v>
      </c>
      <c r="F351">
        <v>1</v>
      </c>
      <c r="G351" t="s">
        <v>86</v>
      </c>
      <c r="H351" t="s">
        <v>141</v>
      </c>
      <c r="I351" t="s">
        <v>93</v>
      </c>
      <c r="K351" t="s">
        <v>227</v>
      </c>
      <c r="L351">
        <v>2</v>
      </c>
      <c r="M351">
        <v>1</v>
      </c>
      <c r="N351">
        <v>3</v>
      </c>
      <c r="O351" t="s">
        <v>229</v>
      </c>
      <c r="P351" t="s">
        <v>233</v>
      </c>
      <c r="Q351" t="s">
        <v>236</v>
      </c>
      <c r="S351" t="s">
        <v>33</v>
      </c>
      <c r="T351">
        <v>2</v>
      </c>
      <c r="V351">
        <v>3</v>
      </c>
      <c r="W351" t="s">
        <v>65</v>
      </c>
      <c r="AA351" t="s">
        <v>63</v>
      </c>
      <c r="AB351">
        <v>2</v>
      </c>
      <c r="AD351">
        <v>1</v>
      </c>
      <c r="AE351" t="s">
        <v>145</v>
      </c>
      <c r="AF351" t="s">
        <v>91</v>
      </c>
      <c r="AG351" t="s">
        <v>148</v>
      </c>
      <c r="AH351" t="s">
        <v>151</v>
      </c>
      <c r="AI351">
        <v>0</v>
      </c>
      <c r="AJ351">
        <v>21</v>
      </c>
    </row>
    <row r="352" spans="1:36" x14ac:dyDescent="0.25">
      <c r="A352" s="36" t="s">
        <v>1539</v>
      </c>
      <c r="B352">
        <v>350</v>
      </c>
      <c r="C352" t="s">
        <v>33</v>
      </c>
      <c r="D352">
        <v>1</v>
      </c>
      <c r="F352">
        <v>2</v>
      </c>
      <c r="G352" t="s">
        <v>65</v>
      </c>
      <c r="K352" t="s">
        <v>63</v>
      </c>
      <c r="L352">
        <v>2</v>
      </c>
      <c r="N352">
        <v>1</v>
      </c>
      <c r="O352" t="s">
        <v>103</v>
      </c>
      <c r="P352" t="s">
        <v>91</v>
      </c>
      <c r="Q352" t="s">
        <v>147</v>
      </c>
      <c r="S352" t="s">
        <v>38</v>
      </c>
      <c r="T352">
        <v>2</v>
      </c>
      <c r="U352">
        <v>1</v>
      </c>
      <c r="V352">
        <v>2</v>
      </c>
      <c r="W352" t="s">
        <v>67</v>
      </c>
      <c r="X352" t="s">
        <v>40</v>
      </c>
      <c r="AA352" t="s">
        <v>227</v>
      </c>
      <c r="AB352">
        <v>2</v>
      </c>
      <c r="AC352">
        <v>1</v>
      </c>
      <c r="AD352">
        <v>3</v>
      </c>
      <c r="AE352" t="s">
        <v>228</v>
      </c>
      <c r="AI352">
        <v>0</v>
      </c>
      <c r="AJ352">
        <v>14</v>
      </c>
    </row>
    <row r="353" spans="1:36" x14ac:dyDescent="0.25">
      <c r="A353" t="s">
        <v>1540</v>
      </c>
      <c r="B353">
        <v>351</v>
      </c>
      <c r="C353" t="s">
        <v>33</v>
      </c>
      <c r="D353">
        <v>2</v>
      </c>
      <c r="F353">
        <v>2</v>
      </c>
      <c r="G353" t="s">
        <v>65</v>
      </c>
      <c r="K353" t="s">
        <v>38</v>
      </c>
      <c r="L353">
        <v>1</v>
      </c>
      <c r="M353">
        <v>1</v>
      </c>
      <c r="N353">
        <v>3</v>
      </c>
      <c r="O353" t="s">
        <v>39</v>
      </c>
      <c r="P353" t="s">
        <v>70</v>
      </c>
      <c r="Q353" t="s">
        <v>153</v>
      </c>
      <c r="R353" t="s">
        <v>155</v>
      </c>
      <c r="S353" t="s">
        <v>43</v>
      </c>
      <c r="T353">
        <v>3</v>
      </c>
      <c r="V353">
        <v>1</v>
      </c>
      <c r="W353" t="s">
        <v>135</v>
      </c>
      <c r="X353" t="s">
        <v>99</v>
      </c>
      <c r="Y353" t="s">
        <v>75</v>
      </c>
      <c r="Z353" t="s">
        <v>139</v>
      </c>
      <c r="AA353" t="s">
        <v>45</v>
      </c>
      <c r="AB353">
        <v>3</v>
      </c>
      <c r="AD353">
        <v>1</v>
      </c>
      <c r="AE353" t="s">
        <v>140</v>
      </c>
      <c r="AI353">
        <v>0</v>
      </c>
      <c r="AJ353">
        <v>18</v>
      </c>
    </row>
    <row r="354" spans="1:36" x14ac:dyDescent="0.25">
      <c r="A354" t="s">
        <v>1541</v>
      </c>
      <c r="B354">
        <v>352</v>
      </c>
      <c r="C354" t="s">
        <v>43</v>
      </c>
      <c r="D354">
        <v>2</v>
      </c>
      <c r="F354">
        <v>1</v>
      </c>
      <c r="G354" t="s">
        <v>44</v>
      </c>
      <c r="H354" t="s">
        <v>136</v>
      </c>
      <c r="K354" t="s">
        <v>63</v>
      </c>
      <c r="L354">
        <v>3</v>
      </c>
      <c r="N354">
        <v>1</v>
      </c>
      <c r="O354" t="s">
        <v>145</v>
      </c>
      <c r="P354" t="s">
        <v>146</v>
      </c>
      <c r="Q354" t="s">
        <v>147</v>
      </c>
      <c r="R354" t="s">
        <v>151</v>
      </c>
      <c r="S354" t="s">
        <v>33</v>
      </c>
      <c r="T354">
        <v>2</v>
      </c>
      <c r="V354">
        <v>1</v>
      </c>
      <c r="W354" t="s">
        <v>34</v>
      </c>
      <c r="AA354" t="s">
        <v>38</v>
      </c>
      <c r="AB354">
        <v>2</v>
      </c>
      <c r="AC354">
        <v>1</v>
      </c>
      <c r="AD354">
        <v>2</v>
      </c>
      <c r="AE354" t="s">
        <v>67</v>
      </c>
      <c r="AF354" t="s">
        <v>40</v>
      </c>
      <c r="AG354" t="s">
        <v>41</v>
      </c>
      <c r="AH354" t="s">
        <v>42</v>
      </c>
      <c r="AI354">
        <v>0</v>
      </c>
      <c r="AJ354">
        <v>18</v>
      </c>
    </row>
    <row r="355" spans="1:36" x14ac:dyDescent="0.25">
      <c r="A355" s="36" t="s">
        <v>1542</v>
      </c>
      <c r="B355">
        <v>353</v>
      </c>
      <c r="C355" t="s">
        <v>33</v>
      </c>
      <c r="D355">
        <v>2</v>
      </c>
      <c r="F355">
        <v>1</v>
      </c>
      <c r="G355" t="s">
        <v>65</v>
      </c>
      <c r="H355" t="s">
        <v>35</v>
      </c>
      <c r="K355" t="s">
        <v>38</v>
      </c>
      <c r="L355">
        <v>1</v>
      </c>
      <c r="M355">
        <v>1</v>
      </c>
      <c r="N355">
        <v>2</v>
      </c>
      <c r="O355" t="s">
        <v>39</v>
      </c>
      <c r="P355" t="s">
        <v>70</v>
      </c>
      <c r="S355" t="s">
        <v>43</v>
      </c>
      <c r="T355">
        <v>2</v>
      </c>
      <c r="V355">
        <v>1</v>
      </c>
      <c r="W355" t="s">
        <v>44</v>
      </c>
      <c r="AA355" t="s">
        <v>227</v>
      </c>
      <c r="AB355">
        <v>2</v>
      </c>
      <c r="AC355">
        <v>1</v>
      </c>
      <c r="AD355">
        <v>1</v>
      </c>
      <c r="AE355" t="s">
        <v>228</v>
      </c>
      <c r="AF355" t="s">
        <v>231</v>
      </c>
      <c r="AI355">
        <v>0</v>
      </c>
      <c r="AJ355">
        <v>12</v>
      </c>
    </row>
    <row r="356" spans="1:36" x14ac:dyDescent="0.25">
      <c r="A356" t="s">
        <v>1543</v>
      </c>
      <c r="B356">
        <v>354</v>
      </c>
      <c r="C356" t="s">
        <v>45</v>
      </c>
      <c r="D356">
        <v>1</v>
      </c>
      <c r="F356">
        <v>1</v>
      </c>
      <c r="G356" t="s">
        <v>140</v>
      </c>
      <c r="K356" t="s">
        <v>63</v>
      </c>
      <c r="L356">
        <v>2</v>
      </c>
      <c r="N356">
        <v>1</v>
      </c>
      <c r="O356" t="s">
        <v>145</v>
      </c>
      <c r="P356" t="s">
        <v>91</v>
      </c>
      <c r="Q356" t="s">
        <v>147</v>
      </c>
      <c r="R356" t="s">
        <v>149</v>
      </c>
      <c r="S356" t="s">
        <v>33</v>
      </c>
      <c r="T356">
        <v>2</v>
      </c>
      <c r="V356">
        <v>1</v>
      </c>
      <c r="W356" t="s">
        <v>34</v>
      </c>
      <c r="AA356" t="s">
        <v>38</v>
      </c>
      <c r="AB356">
        <v>1</v>
      </c>
      <c r="AC356">
        <v>1</v>
      </c>
      <c r="AD356">
        <v>2</v>
      </c>
      <c r="AE356" t="s">
        <v>39</v>
      </c>
      <c r="AF356" t="s">
        <v>96</v>
      </c>
      <c r="AG356" t="s">
        <v>41</v>
      </c>
      <c r="AH356" t="s">
        <v>42</v>
      </c>
      <c r="AI356">
        <v>0</v>
      </c>
      <c r="AJ356">
        <v>15</v>
      </c>
    </row>
    <row r="357" spans="1:36" x14ac:dyDescent="0.25">
      <c r="A357" s="36" t="s">
        <v>1544</v>
      </c>
      <c r="B357">
        <v>355</v>
      </c>
      <c r="C357" t="s">
        <v>45</v>
      </c>
      <c r="D357">
        <v>3</v>
      </c>
      <c r="F357">
        <v>1</v>
      </c>
      <c r="G357" t="s">
        <v>140</v>
      </c>
      <c r="H357" t="s">
        <v>141</v>
      </c>
      <c r="I357" t="s">
        <v>102</v>
      </c>
      <c r="K357" t="s">
        <v>227</v>
      </c>
      <c r="L357">
        <v>2</v>
      </c>
      <c r="M357">
        <v>1</v>
      </c>
      <c r="N357">
        <v>1</v>
      </c>
      <c r="O357" t="s">
        <v>228</v>
      </c>
      <c r="S357" t="s">
        <v>33</v>
      </c>
      <c r="T357">
        <v>2</v>
      </c>
      <c r="V357">
        <v>2</v>
      </c>
      <c r="W357" t="s">
        <v>65</v>
      </c>
      <c r="X357" t="s">
        <v>35</v>
      </c>
      <c r="AA357" t="s">
        <v>38</v>
      </c>
      <c r="AB357">
        <v>1</v>
      </c>
      <c r="AC357">
        <v>1</v>
      </c>
      <c r="AD357">
        <v>2</v>
      </c>
      <c r="AE357" t="s">
        <v>39</v>
      </c>
      <c r="AF357" t="s">
        <v>96</v>
      </c>
      <c r="AG357" t="s">
        <v>153</v>
      </c>
      <c r="AH357" t="s">
        <v>42</v>
      </c>
      <c r="AI357">
        <v>0</v>
      </c>
      <c r="AJ357">
        <v>16</v>
      </c>
    </row>
    <row r="358" spans="1:36" x14ac:dyDescent="0.25">
      <c r="A358" s="36" t="s">
        <v>1545</v>
      </c>
      <c r="B358">
        <v>356</v>
      </c>
      <c r="C358" t="s">
        <v>33</v>
      </c>
      <c r="D358">
        <v>1</v>
      </c>
      <c r="F358">
        <v>2</v>
      </c>
      <c r="G358" t="s">
        <v>34</v>
      </c>
      <c r="H358" t="s">
        <v>66</v>
      </c>
      <c r="K358" t="s">
        <v>38</v>
      </c>
      <c r="L358">
        <v>3</v>
      </c>
      <c r="M358">
        <v>3</v>
      </c>
      <c r="N358">
        <v>3</v>
      </c>
      <c r="O358" t="s">
        <v>39</v>
      </c>
      <c r="P358" t="s">
        <v>70</v>
      </c>
      <c r="Q358" t="s">
        <v>154</v>
      </c>
      <c r="R358" t="s">
        <v>42</v>
      </c>
      <c r="S358" t="s">
        <v>63</v>
      </c>
      <c r="T358">
        <v>3</v>
      </c>
      <c r="V358">
        <v>3</v>
      </c>
      <c r="W358" t="s">
        <v>145</v>
      </c>
      <c r="X358" t="s">
        <v>91</v>
      </c>
      <c r="Y358" t="s">
        <v>147</v>
      </c>
      <c r="Z358" t="s">
        <v>151</v>
      </c>
      <c r="AA358" t="s">
        <v>227</v>
      </c>
      <c r="AB358">
        <v>1</v>
      </c>
      <c r="AC358">
        <v>1</v>
      </c>
      <c r="AD358">
        <v>1</v>
      </c>
      <c r="AE358" t="s">
        <v>228</v>
      </c>
      <c r="AF358" t="s">
        <v>231</v>
      </c>
      <c r="AI358">
        <v>0</v>
      </c>
      <c r="AJ358">
        <v>31</v>
      </c>
    </row>
    <row r="359" spans="1:36" x14ac:dyDescent="0.25">
      <c r="A359" s="36" t="s">
        <v>1546</v>
      </c>
      <c r="B359">
        <v>357</v>
      </c>
      <c r="C359" t="s">
        <v>43</v>
      </c>
      <c r="D359">
        <v>1</v>
      </c>
      <c r="F359">
        <v>1</v>
      </c>
      <c r="G359" t="s">
        <v>73</v>
      </c>
      <c r="H359" t="s">
        <v>136</v>
      </c>
      <c r="K359" t="s">
        <v>45</v>
      </c>
      <c r="L359">
        <v>3</v>
      </c>
      <c r="N359">
        <v>1</v>
      </c>
      <c r="O359" t="s">
        <v>140</v>
      </c>
      <c r="P359" t="s">
        <v>141</v>
      </c>
      <c r="Q359" t="s">
        <v>102</v>
      </c>
      <c r="S359" t="s">
        <v>33</v>
      </c>
      <c r="T359">
        <v>3</v>
      </c>
      <c r="V359">
        <v>3</v>
      </c>
      <c r="W359" t="s">
        <v>65</v>
      </c>
      <c r="AA359" t="s">
        <v>227</v>
      </c>
      <c r="AB359">
        <v>2</v>
      </c>
      <c r="AC359">
        <v>1</v>
      </c>
      <c r="AD359">
        <v>1</v>
      </c>
      <c r="AE359" t="s">
        <v>228</v>
      </c>
      <c r="AF359" t="s">
        <v>231</v>
      </c>
      <c r="AI359">
        <v>0</v>
      </c>
      <c r="AJ359">
        <v>16</v>
      </c>
    </row>
    <row r="360" spans="1:36" x14ac:dyDescent="0.25">
      <c r="A360" s="36" t="s">
        <v>1547</v>
      </c>
      <c r="B360">
        <v>358</v>
      </c>
      <c r="C360" t="s">
        <v>43</v>
      </c>
      <c r="D360">
        <v>3</v>
      </c>
      <c r="F360">
        <v>1</v>
      </c>
      <c r="G360" t="s">
        <v>44</v>
      </c>
      <c r="H360" t="s">
        <v>74</v>
      </c>
      <c r="K360" t="s">
        <v>63</v>
      </c>
      <c r="L360">
        <v>1</v>
      </c>
      <c r="N360">
        <v>1</v>
      </c>
      <c r="O360" t="s">
        <v>145</v>
      </c>
      <c r="P360" t="s">
        <v>91</v>
      </c>
      <c r="Q360" t="s">
        <v>148</v>
      </c>
      <c r="S360" t="s">
        <v>33</v>
      </c>
      <c r="T360">
        <v>1</v>
      </c>
      <c r="V360">
        <v>2</v>
      </c>
      <c r="W360" t="s">
        <v>34</v>
      </c>
      <c r="AA360" t="s">
        <v>227</v>
      </c>
      <c r="AB360">
        <v>1</v>
      </c>
      <c r="AC360">
        <v>1</v>
      </c>
      <c r="AD360">
        <v>2</v>
      </c>
      <c r="AE360" t="s">
        <v>229</v>
      </c>
      <c r="AF360" t="s">
        <v>231</v>
      </c>
      <c r="AG360" t="s">
        <v>235</v>
      </c>
      <c r="AI360">
        <v>0</v>
      </c>
      <c r="AJ360">
        <v>13</v>
      </c>
    </row>
    <row r="361" spans="1:36" x14ac:dyDescent="0.25">
      <c r="A361" s="36" t="s">
        <v>1548</v>
      </c>
      <c r="B361">
        <v>359</v>
      </c>
      <c r="C361" t="s">
        <v>43</v>
      </c>
      <c r="D361">
        <v>2</v>
      </c>
      <c r="F361">
        <v>1</v>
      </c>
      <c r="G361" t="s">
        <v>135</v>
      </c>
      <c r="H361" t="s">
        <v>136</v>
      </c>
      <c r="I361" t="s">
        <v>137</v>
      </c>
      <c r="J361" t="s">
        <v>138</v>
      </c>
      <c r="K361" t="s">
        <v>38</v>
      </c>
      <c r="L361">
        <v>3</v>
      </c>
      <c r="M361">
        <v>1</v>
      </c>
      <c r="N361">
        <v>2</v>
      </c>
      <c r="O361" t="s">
        <v>67</v>
      </c>
      <c r="P361" t="s">
        <v>70</v>
      </c>
      <c r="Q361" t="s">
        <v>153</v>
      </c>
      <c r="S361" t="s">
        <v>33</v>
      </c>
      <c r="T361">
        <v>1</v>
      </c>
      <c r="V361">
        <v>1</v>
      </c>
      <c r="W361" t="s">
        <v>65</v>
      </c>
      <c r="AA361" t="s">
        <v>227</v>
      </c>
      <c r="AB361">
        <v>1</v>
      </c>
      <c r="AC361">
        <v>1</v>
      </c>
      <c r="AD361">
        <v>3</v>
      </c>
      <c r="AE361" t="s">
        <v>229</v>
      </c>
      <c r="AF361" t="s">
        <v>231</v>
      </c>
      <c r="AI361">
        <v>0</v>
      </c>
      <c r="AJ361">
        <v>17</v>
      </c>
    </row>
    <row r="362" spans="1:36" x14ac:dyDescent="0.25">
      <c r="A362" s="36" t="s">
        <v>1549</v>
      </c>
      <c r="B362">
        <v>360</v>
      </c>
      <c r="C362" t="s">
        <v>45</v>
      </c>
      <c r="D362">
        <v>2</v>
      </c>
      <c r="F362">
        <v>1</v>
      </c>
      <c r="G362" t="s">
        <v>140</v>
      </c>
      <c r="K362" t="s">
        <v>63</v>
      </c>
      <c r="L362">
        <v>2</v>
      </c>
      <c r="N362">
        <v>1</v>
      </c>
      <c r="O362" t="s">
        <v>145</v>
      </c>
      <c r="P362" t="s">
        <v>91</v>
      </c>
      <c r="Q362" t="s">
        <v>147</v>
      </c>
      <c r="R362" t="s">
        <v>151</v>
      </c>
      <c r="S362" t="s">
        <v>33</v>
      </c>
      <c r="T362">
        <v>2</v>
      </c>
      <c r="V362">
        <v>2</v>
      </c>
      <c r="W362" t="s">
        <v>34</v>
      </c>
      <c r="AA362" t="s">
        <v>227</v>
      </c>
      <c r="AB362">
        <v>2</v>
      </c>
      <c r="AC362">
        <v>1</v>
      </c>
      <c r="AD362">
        <v>2</v>
      </c>
      <c r="AE362" t="s">
        <v>228</v>
      </c>
      <c r="AF362" t="s">
        <v>231</v>
      </c>
      <c r="AG362" t="s">
        <v>236</v>
      </c>
      <c r="AH362" t="s">
        <v>238</v>
      </c>
      <c r="AI362">
        <v>0</v>
      </c>
      <c r="AJ362">
        <v>17</v>
      </c>
    </row>
    <row r="363" spans="1:36" x14ac:dyDescent="0.25">
      <c r="A363" s="36" t="s">
        <v>1550</v>
      </c>
      <c r="B363">
        <v>361</v>
      </c>
      <c r="C363" t="s">
        <v>45</v>
      </c>
      <c r="D363">
        <v>2</v>
      </c>
      <c r="F363">
        <v>2</v>
      </c>
      <c r="G363" t="s">
        <v>140</v>
      </c>
      <c r="H363" t="s">
        <v>76</v>
      </c>
      <c r="K363" t="s">
        <v>38</v>
      </c>
      <c r="L363">
        <v>1</v>
      </c>
      <c r="M363">
        <v>1</v>
      </c>
      <c r="N363">
        <v>2</v>
      </c>
      <c r="O363" t="s">
        <v>67</v>
      </c>
      <c r="P363" t="s">
        <v>70</v>
      </c>
      <c r="Q363" t="s">
        <v>153</v>
      </c>
      <c r="S363" t="s">
        <v>33</v>
      </c>
      <c r="T363">
        <v>1</v>
      </c>
      <c r="V363">
        <v>2</v>
      </c>
      <c r="W363" t="s">
        <v>65</v>
      </c>
      <c r="AA363" t="s">
        <v>227</v>
      </c>
      <c r="AB363">
        <v>2</v>
      </c>
      <c r="AC363">
        <v>1</v>
      </c>
      <c r="AD363">
        <v>1</v>
      </c>
      <c r="AE363" t="s">
        <v>228</v>
      </c>
      <c r="AF363" t="s">
        <v>231</v>
      </c>
      <c r="AG363" t="s">
        <v>235</v>
      </c>
      <c r="AI363">
        <v>0</v>
      </c>
      <c r="AJ363">
        <v>15</v>
      </c>
    </row>
    <row r="364" spans="1:36" x14ac:dyDescent="0.25">
      <c r="A364" s="36" t="s">
        <v>1551</v>
      </c>
      <c r="B364">
        <v>362</v>
      </c>
      <c r="C364" t="s">
        <v>63</v>
      </c>
      <c r="D364">
        <v>3</v>
      </c>
      <c r="F364">
        <v>2</v>
      </c>
      <c r="G364" t="s">
        <v>145</v>
      </c>
      <c r="H364" t="s">
        <v>146</v>
      </c>
      <c r="I364" t="s">
        <v>148</v>
      </c>
      <c r="J364" t="s">
        <v>149</v>
      </c>
      <c r="K364" t="s">
        <v>38</v>
      </c>
      <c r="L364">
        <v>1</v>
      </c>
      <c r="M364">
        <v>3</v>
      </c>
      <c r="N364">
        <v>3</v>
      </c>
      <c r="O364" t="s">
        <v>39</v>
      </c>
      <c r="P364" t="s">
        <v>40</v>
      </c>
      <c r="Q364" t="s">
        <v>154</v>
      </c>
      <c r="R364" t="s">
        <v>42</v>
      </c>
      <c r="S364" t="s">
        <v>33</v>
      </c>
      <c r="T364">
        <v>2</v>
      </c>
      <c r="V364">
        <v>2</v>
      </c>
      <c r="W364" t="s">
        <v>65</v>
      </c>
      <c r="X364" t="s">
        <v>35</v>
      </c>
      <c r="AA364" t="s">
        <v>227</v>
      </c>
      <c r="AB364">
        <v>1</v>
      </c>
      <c r="AC364">
        <v>2</v>
      </c>
      <c r="AD364">
        <v>3</v>
      </c>
      <c r="AE364" t="s">
        <v>229</v>
      </c>
      <c r="AF364" t="s">
        <v>231</v>
      </c>
      <c r="AG364" t="s">
        <v>235</v>
      </c>
      <c r="AH364" t="s">
        <v>238</v>
      </c>
      <c r="AI364">
        <v>0</v>
      </c>
      <c r="AJ364">
        <v>26</v>
      </c>
    </row>
    <row r="365" spans="1:36" x14ac:dyDescent="0.25">
      <c r="A365" t="s">
        <v>1552</v>
      </c>
      <c r="B365">
        <v>363</v>
      </c>
      <c r="C365" t="s">
        <v>63</v>
      </c>
      <c r="D365">
        <v>3</v>
      </c>
      <c r="F365">
        <v>3</v>
      </c>
      <c r="G365" t="s">
        <v>145</v>
      </c>
      <c r="H365" t="s">
        <v>146</v>
      </c>
      <c r="I365" t="s">
        <v>104</v>
      </c>
      <c r="J365" t="s">
        <v>149</v>
      </c>
      <c r="K365" t="s">
        <v>38</v>
      </c>
      <c r="L365">
        <v>3</v>
      </c>
      <c r="M365">
        <v>2</v>
      </c>
      <c r="N365">
        <v>3</v>
      </c>
      <c r="O365" t="s">
        <v>39</v>
      </c>
      <c r="P365" t="s">
        <v>96</v>
      </c>
      <c r="Q365" t="s">
        <v>41</v>
      </c>
      <c r="R365" t="s">
        <v>156</v>
      </c>
      <c r="S365" t="s">
        <v>43</v>
      </c>
      <c r="T365">
        <v>1</v>
      </c>
      <c r="V365">
        <v>1</v>
      </c>
      <c r="W365" t="s">
        <v>44</v>
      </c>
      <c r="X365" t="s">
        <v>136</v>
      </c>
      <c r="Y365" t="s">
        <v>137</v>
      </c>
      <c r="AA365" t="s">
        <v>45</v>
      </c>
      <c r="AB365">
        <v>3</v>
      </c>
      <c r="AD365">
        <v>3</v>
      </c>
      <c r="AE365" t="s">
        <v>86</v>
      </c>
      <c r="AF365" t="s">
        <v>141</v>
      </c>
      <c r="AG365" t="s">
        <v>102</v>
      </c>
      <c r="AH365" t="s">
        <v>144</v>
      </c>
      <c r="AI365">
        <v>0</v>
      </c>
      <c r="AJ365">
        <v>31</v>
      </c>
    </row>
    <row r="366" spans="1:36" x14ac:dyDescent="0.25">
      <c r="A366" s="36" t="s">
        <v>1553</v>
      </c>
      <c r="B366">
        <v>364</v>
      </c>
      <c r="C366" t="s">
        <v>43</v>
      </c>
      <c r="D366">
        <v>3</v>
      </c>
      <c r="F366">
        <v>2</v>
      </c>
      <c r="G366" t="s">
        <v>135</v>
      </c>
      <c r="H366" t="s">
        <v>99</v>
      </c>
      <c r="I366" t="s">
        <v>75</v>
      </c>
      <c r="J366" t="s">
        <v>139</v>
      </c>
      <c r="K366" t="s">
        <v>45</v>
      </c>
      <c r="L366">
        <v>3</v>
      </c>
      <c r="N366">
        <v>2</v>
      </c>
      <c r="O366" t="s">
        <v>86</v>
      </c>
      <c r="P366" t="s">
        <v>141</v>
      </c>
      <c r="Q366" t="s">
        <v>102</v>
      </c>
      <c r="R366" t="s">
        <v>144</v>
      </c>
      <c r="S366" t="s">
        <v>63</v>
      </c>
      <c r="T366">
        <v>1</v>
      </c>
      <c r="V366">
        <v>1</v>
      </c>
      <c r="W366" t="s">
        <v>145</v>
      </c>
      <c r="X366" t="s">
        <v>146</v>
      </c>
      <c r="AA366" t="s">
        <v>227</v>
      </c>
      <c r="AB366">
        <v>1</v>
      </c>
      <c r="AC366">
        <v>3</v>
      </c>
      <c r="AD366">
        <v>3</v>
      </c>
      <c r="AE366" t="s">
        <v>229</v>
      </c>
      <c r="AF366" t="s">
        <v>232</v>
      </c>
      <c r="AG366" t="s">
        <v>235</v>
      </c>
      <c r="AH366" t="s">
        <v>238</v>
      </c>
      <c r="AI366">
        <v>0</v>
      </c>
      <c r="AJ366">
        <v>25</v>
      </c>
    </row>
    <row r="367" spans="1:36" x14ac:dyDescent="0.25">
      <c r="A367" s="36" t="s">
        <v>1554</v>
      </c>
      <c r="B367">
        <v>365</v>
      </c>
      <c r="C367" t="s">
        <v>38</v>
      </c>
      <c r="D367">
        <v>1</v>
      </c>
      <c r="E367">
        <v>1</v>
      </c>
      <c r="F367">
        <v>3</v>
      </c>
      <c r="G367" t="s">
        <v>39</v>
      </c>
      <c r="H367" t="s">
        <v>96</v>
      </c>
      <c r="I367" t="s">
        <v>41</v>
      </c>
      <c r="J367" t="s">
        <v>156</v>
      </c>
      <c r="K367" t="s">
        <v>227</v>
      </c>
      <c r="L367">
        <v>1</v>
      </c>
      <c r="M367">
        <v>1</v>
      </c>
      <c r="N367">
        <v>3</v>
      </c>
      <c r="O367" t="s">
        <v>229</v>
      </c>
      <c r="P367" t="s">
        <v>231</v>
      </c>
      <c r="Q367" t="s">
        <v>235</v>
      </c>
      <c r="R367" t="s">
        <v>238</v>
      </c>
      <c r="S367" t="s">
        <v>43</v>
      </c>
      <c r="T367">
        <v>3</v>
      </c>
      <c r="V367">
        <v>1</v>
      </c>
      <c r="W367" t="s">
        <v>73</v>
      </c>
      <c r="X367" t="s">
        <v>99</v>
      </c>
      <c r="Y367" t="s">
        <v>75</v>
      </c>
      <c r="Z367" t="s">
        <v>101</v>
      </c>
      <c r="AA367" t="s">
        <v>45</v>
      </c>
      <c r="AB367">
        <v>2</v>
      </c>
      <c r="AD367">
        <v>2</v>
      </c>
      <c r="AE367" t="s">
        <v>140</v>
      </c>
      <c r="AI367">
        <v>0</v>
      </c>
      <c r="AJ367">
        <v>22</v>
      </c>
    </row>
    <row r="368" spans="1:36" x14ac:dyDescent="0.25">
      <c r="A368" t="s">
        <v>1555</v>
      </c>
      <c r="B368">
        <v>366</v>
      </c>
      <c r="C368" t="s">
        <v>45</v>
      </c>
      <c r="D368">
        <v>3</v>
      </c>
      <c r="F368">
        <v>3</v>
      </c>
      <c r="G368" t="s">
        <v>140</v>
      </c>
      <c r="H368" t="s">
        <v>92</v>
      </c>
      <c r="I368" t="s">
        <v>102</v>
      </c>
      <c r="J368" t="s">
        <v>143</v>
      </c>
      <c r="K368" t="s">
        <v>38</v>
      </c>
      <c r="L368">
        <v>3</v>
      </c>
      <c r="M368">
        <v>2</v>
      </c>
      <c r="N368">
        <v>2</v>
      </c>
      <c r="O368" t="s">
        <v>39</v>
      </c>
      <c r="P368" t="s">
        <v>40</v>
      </c>
      <c r="Q368" t="s">
        <v>153</v>
      </c>
      <c r="R368" t="s">
        <v>42</v>
      </c>
      <c r="S368" t="s">
        <v>43</v>
      </c>
      <c r="T368">
        <v>1</v>
      </c>
      <c r="V368">
        <v>1</v>
      </c>
      <c r="W368" t="s">
        <v>73</v>
      </c>
      <c r="X368" t="s">
        <v>136</v>
      </c>
      <c r="Y368" t="s">
        <v>75</v>
      </c>
      <c r="AA368" t="s">
        <v>63</v>
      </c>
      <c r="AB368">
        <v>3</v>
      </c>
      <c r="AD368">
        <v>2</v>
      </c>
      <c r="AE368" t="s">
        <v>103</v>
      </c>
      <c r="AF368" t="s">
        <v>91</v>
      </c>
      <c r="AG368" t="s">
        <v>148</v>
      </c>
      <c r="AH368" t="s">
        <v>149</v>
      </c>
      <c r="AI368">
        <v>0</v>
      </c>
      <c r="AJ368">
        <v>26</v>
      </c>
    </row>
    <row r="369" spans="1:36" x14ac:dyDescent="0.25">
      <c r="A369" s="36" t="s">
        <v>1556</v>
      </c>
      <c r="B369">
        <v>367</v>
      </c>
      <c r="C369" t="s">
        <v>43</v>
      </c>
      <c r="D369">
        <v>1</v>
      </c>
      <c r="F369">
        <v>1</v>
      </c>
      <c r="G369" t="s">
        <v>135</v>
      </c>
      <c r="H369" t="s">
        <v>136</v>
      </c>
      <c r="I369" t="s">
        <v>137</v>
      </c>
      <c r="K369" t="s">
        <v>63</v>
      </c>
      <c r="L369">
        <v>3</v>
      </c>
      <c r="N369">
        <v>1</v>
      </c>
      <c r="O369" t="s">
        <v>145</v>
      </c>
      <c r="P369" t="s">
        <v>91</v>
      </c>
      <c r="Q369" t="s">
        <v>147</v>
      </c>
      <c r="S369" t="s">
        <v>45</v>
      </c>
      <c r="T369">
        <v>3</v>
      </c>
      <c r="V369">
        <v>1</v>
      </c>
      <c r="W369" t="s">
        <v>140</v>
      </c>
      <c r="AA369" t="s">
        <v>227</v>
      </c>
      <c r="AB369">
        <v>2</v>
      </c>
      <c r="AC369">
        <v>1</v>
      </c>
      <c r="AD369">
        <v>2</v>
      </c>
      <c r="AE369" t="s">
        <v>229</v>
      </c>
      <c r="AF369" t="s">
        <v>231</v>
      </c>
      <c r="AG369" t="s">
        <v>235</v>
      </c>
      <c r="AI369">
        <v>0</v>
      </c>
      <c r="AJ369">
        <v>18</v>
      </c>
    </row>
    <row r="370" spans="1:36" x14ac:dyDescent="0.25">
      <c r="A370" s="36" t="s">
        <v>1557</v>
      </c>
      <c r="B370">
        <v>368</v>
      </c>
      <c r="C370" t="s">
        <v>43</v>
      </c>
      <c r="D370">
        <v>2</v>
      </c>
      <c r="F370">
        <v>2</v>
      </c>
      <c r="G370" t="s">
        <v>73</v>
      </c>
      <c r="H370" t="s">
        <v>74</v>
      </c>
      <c r="I370" t="s">
        <v>75</v>
      </c>
      <c r="J370" t="s">
        <v>138</v>
      </c>
      <c r="K370" t="s">
        <v>63</v>
      </c>
      <c r="L370">
        <v>3</v>
      </c>
      <c r="N370">
        <v>1</v>
      </c>
      <c r="O370" t="s">
        <v>103</v>
      </c>
      <c r="P370" t="s">
        <v>91</v>
      </c>
      <c r="Q370" t="s">
        <v>148</v>
      </c>
      <c r="R370" t="s">
        <v>151</v>
      </c>
      <c r="S370" t="s">
        <v>38</v>
      </c>
      <c r="T370">
        <v>1</v>
      </c>
      <c r="U370">
        <v>1</v>
      </c>
      <c r="V370">
        <v>2</v>
      </c>
      <c r="W370" t="s">
        <v>39</v>
      </c>
      <c r="X370" t="s">
        <v>40</v>
      </c>
      <c r="Y370" t="s">
        <v>153</v>
      </c>
      <c r="AA370" t="s">
        <v>227</v>
      </c>
      <c r="AB370">
        <v>2</v>
      </c>
      <c r="AC370">
        <v>1</v>
      </c>
      <c r="AD370">
        <v>3</v>
      </c>
      <c r="AE370" t="s">
        <v>229</v>
      </c>
      <c r="AF370" t="s">
        <v>231</v>
      </c>
      <c r="AG370" t="s">
        <v>235</v>
      </c>
      <c r="AH370" t="s">
        <v>238</v>
      </c>
      <c r="AI370">
        <v>0</v>
      </c>
      <c r="AJ370">
        <v>24</v>
      </c>
    </row>
    <row r="371" spans="1:36" x14ac:dyDescent="0.25">
      <c r="A371" t="s">
        <v>1558</v>
      </c>
      <c r="B371">
        <v>369</v>
      </c>
      <c r="C371" t="s">
        <v>43</v>
      </c>
      <c r="D371">
        <v>3</v>
      </c>
      <c r="F371">
        <v>1</v>
      </c>
      <c r="G371" t="s">
        <v>135</v>
      </c>
      <c r="H371" t="s">
        <v>99</v>
      </c>
      <c r="I371" t="s">
        <v>137</v>
      </c>
      <c r="K371" t="s">
        <v>38</v>
      </c>
      <c r="L371">
        <v>2</v>
      </c>
      <c r="M371">
        <v>1</v>
      </c>
      <c r="N371">
        <v>2</v>
      </c>
      <c r="O371" t="s">
        <v>39</v>
      </c>
      <c r="P371" t="s">
        <v>96</v>
      </c>
      <c r="Q371" t="s">
        <v>153</v>
      </c>
      <c r="R371" t="s">
        <v>42</v>
      </c>
      <c r="S371" t="s">
        <v>45</v>
      </c>
      <c r="T371">
        <v>3</v>
      </c>
      <c r="V371">
        <v>1</v>
      </c>
      <c r="W371" t="s">
        <v>140</v>
      </c>
      <c r="AA371" t="s">
        <v>63</v>
      </c>
      <c r="AB371">
        <v>2</v>
      </c>
      <c r="AD371">
        <v>1</v>
      </c>
      <c r="AE371" t="s">
        <v>103</v>
      </c>
      <c r="AF371" t="s">
        <v>146</v>
      </c>
      <c r="AG371" t="s">
        <v>104</v>
      </c>
      <c r="AI371">
        <v>0</v>
      </c>
      <c r="AJ371">
        <v>19</v>
      </c>
    </row>
    <row r="372" spans="1:36" x14ac:dyDescent="0.25">
      <c r="A372" s="36" t="s">
        <v>1559</v>
      </c>
      <c r="B372">
        <v>370</v>
      </c>
      <c r="C372" t="s">
        <v>43</v>
      </c>
      <c r="D372">
        <v>2</v>
      </c>
      <c r="F372">
        <v>1</v>
      </c>
      <c r="G372" t="s">
        <v>135</v>
      </c>
      <c r="H372" t="s">
        <v>136</v>
      </c>
      <c r="I372" t="s">
        <v>137</v>
      </c>
      <c r="J372" t="s">
        <v>101</v>
      </c>
      <c r="K372" t="s">
        <v>38</v>
      </c>
      <c r="L372">
        <v>3</v>
      </c>
      <c r="M372">
        <v>1</v>
      </c>
      <c r="N372">
        <v>1</v>
      </c>
      <c r="O372" t="s">
        <v>39</v>
      </c>
      <c r="P372" t="s">
        <v>96</v>
      </c>
      <c r="Q372" t="s">
        <v>41</v>
      </c>
      <c r="R372" t="s">
        <v>42</v>
      </c>
      <c r="S372" t="s">
        <v>45</v>
      </c>
      <c r="T372">
        <v>2</v>
      </c>
      <c r="V372">
        <v>1</v>
      </c>
      <c r="W372" t="s">
        <v>140</v>
      </c>
      <c r="AA372" t="s">
        <v>227</v>
      </c>
      <c r="AB372">
        <v>1</v>
      </c>
      <c r="AC372">
        <v>1</v>
      </c>
      <c r="AD372">
        <v>3</v>
      </c>
      <c r="AE372" t="s">
        <v>229</v>
      </c>
      <c r="AF372" t="s">
        <v>231</v>
      </c>
      <c r="AI372">
        <v>0</v>
      </c>
      <c r="AJ372">
        <v>18</v>
      </c>
    </row>
    <row r="373" spans="1:36" x14ac:dyDescent="0.25">
      <c r="A373" s="36" t="s">
        <v>1560</v>
      </c>
      <c r="B373">
        <v>371</v>
      </c>
      <c r="C373" t="s">
        <v>63</v>
      </c>
      <c r="D373">
        <v>3</v>
      </c>
      <c r="F373">
        <v>1</v>
      </c>
      <c r="G373" t="s">
        <v>103</v>
      </c>
      <c r="H373" t="s">
        <v>146</v>
      </c>
      <c r="I373" t="s">
        <v>147</v>
      </c>
      <c r="J373" t="s">
        <v>151</v>
      </c>
      <c r="K373" t="s">
        <v>227</v>
      </c>
      <c r="L373">
        <v>3</v>
      </c>
      <c r="M373">
        <v>1</v>
      </c>
      <c r="N373">
        <v>2</v>
      </c>
      <c r="O373" t="s">
        <v>229</v>
      </c>
      <c r="P373" t="s">
        <v>231</v>
      </c>
      <c r="Q373" t="s">
        <v>235</v>
      </c>
      <c r="R373" t="s">
        <v>239</v>
      </c>
      <c r="S373" t="s">
        <v>43</v>
      </c>
      <c r="T373">
        <v>3</v>
      </c>
      <c r="V373">
        <v>2</v>
      </c>
      <c r="W373" t="s">
        <v>44</v>
      </c>
      <c r="AA373" t="s">
        <v>38</v>
      </c>
      <c r="AB373">
        <v>2</v>
      </c>
      <c r="AC373">
        <v>1</v>
      </c>
      <c r="AD373">
        <v>3</v>
      </c>
      <c r="AE373" t="s">
        <v>39</v>
      </c>
      <c r="AF373" t="s">
        <v>40</v>
      </c>
      <c r="AG373" t="s">
        <v>153</v>
      </c>
      <c r="AH373" t="s">
        <v>42</v>
      </c>
      <c r="AI373">
        <v>0</v>
      </c>
      <c r="AJ373">
        <v>25</v>
      </c>
    </row>
    <row r="374" spans="1:36" x14ac:dyDescent="0.25">
      <c r="A374" s="36" t="s">
        <v>1561</v>
      </c>
      <c r="B374">
        <v>372</v>
      </c>
      <c r="C374" t="s">
        <v>45</v>
      </c>
      <c r="D374">
        <v>3</v>
      </c>
      <c r="F374">
        <v>1</v>
      </c>
      <c r="G374" t="s">
        <v>140</v>
      </c>
      <c r="K374" t="s">
        <v>63</v>
      </c>
      <c r="L374">
        <v>3</v>
      </c>
      <c r="N374">
        <v>3</v>
      </c>
      <c r="O374" t="s">
        <v>145</v>
      </c>
      <c r="P374" t="s">
        <v>91</v>
      </c>
      <c r="Q374" t="s">
        <v>148</v>
      </c>
      <c r="R374" t="s">
        <v>151</v>
      </c>
      <c r="S374" t="s">
        <v>43</v>
      </c>
      <c r="T374">
        <v>2</v>
      </c>
      <c r="V374">
        <v>1</v>
      </c>
      <c r="W374" t="s">
        <v>44</v>
      </c>
      <c r="X374" t="s">
        <v>136</v>
      </c>
      <c r="AA374" t="s">
        <v>227</v>
      </c>
      <c r="AB374">
        <v>3</v>
      </c>
      <c r="AC374">
        <v>3</v>
      </c>
      <c r="AD374">
        <v>3</v>
      </c>
      <c r="AE374" t="s">
        <v>229</v>
      </c>
      <c r="AF374" t="s">
        <v>231</v>
      </c>
      <c r="AG374" t="s">
        <v>235</v>
      </c>
      <c r="AH374" t="s">
        <v>238</v>
      </c>
      <c r="AI374">
        <v>0</v>
      </c>
      <c r="AJ374">
        <v>30</v>
      </c>
    </row>
    <row r="375" spans="1:36" x14ac:dyDescent="0.25">
      <c r="A375" s="36" t="s">
        <v>1562</v>
      </c>
      <c r="B375">
        <v>373</v>
      </c>
      <c r="C375" t="s">
        <v>45</v>
      </c>
      <c r="D375">
        <v>2</v>
      </c>
      <c r="F375">
        <v>1</v>
      </c>
      <c r="G375" t="s">
        <v>140</v>
      </c>
      <c r="K375" t="s">
        <v>38</v>
      </c>
      <c r="L375">
        <v>3</v>
      </c>
      <c r="M375">
        <v>1</v>
      </c>
      <c r="N375">
        <v>2</v>
      </c>
      <c r="O375" t="s">
        <v>39</v>
      </c>
      <c r="P375" t="s">
        <v>70</v>
      </c>
      <c r="Q375" t="s">
        <v>153</v>
      </c>
      <c r="R375" t="s">
        <v>42</v>
      </c>
      <c r="S375" t="s">
        <v>43</v>
      </c>
      <c r="T375">
        <v>1</v>
      </c>
      <c r="V375">
        <v>1</v>
      </c>
      <c r="W375" t="s">
        <v>135</v>
      </c>
      <c r="X375" t="s">
        <v>136</v>
      </c>
      <c r="AA375" t="s">
        <v>227</v>
      </c>
      <c r="AB375">
        <v>3</v>
      </c>
      <c r="AC375">
        <v>1</v>
      </c>
      <c r="AD375">
        <v>1</v>
      </c>
      <c r="AE375" t="s">
        <v>228</v>
      </c>
      <c r="AF375" t="s">
        <v>231</v>
      </c>
      <c r="AG375" t="s">
        <v>234</v>
      </c>
      <c r="AH375" t="s">
        <v>237</v>
      </c>
      <c r="AI375">
        <v>0</v>
      </c>
      <c r="AJ375">
        <v>18</v>
      </c>
    </row>
    <row r="376" spans="1:36" x14ac:dyDescent="0.25">
      <c r="A376" s="36" t="s">
        <v>1563</v>
      </c>
      <c r="B376">
        <v>374</v>
      </c>
      <c r="C376" t="s">
        <v>63</v>
      </c>
      <c r="D376">
        <v>3</v>
      </c>
      <c r="F376">
        <v>3</v>
      </c>
      <c r="G376" t="s">
        <v>145</v>
      </c>
      <c r="H376" t="s">
        <v>146</v>
      </c>
      <c r="I376" t="s">
        <v>148</v>
      </c>
      <c r="J376" t="s">
        <v>151</v>
      </c>
      <c r="K376" t="s">
        <v>38</v>
      </c>
      <c r="L376">
        <v>3</v>
      </c>
      <c r="M376">
        <v>3</v>
      </c>
      <c r="N376">
        <v>3</v>
      </c>
      <c r="O376" t="s">
        <v>39</v>
      </c>
      <c r="P376" t="s">
        <v>96</v>
      </c>
      <c r="Q376" t="s">
        <v>153</v>
      </c>
      <c r="R376" t="s">
        <v>42</v>
      </c>
      <c r="S376" t="s">
        <v>43</v>
      </c>
      <c r="T376">
        <v>3</v>
      </c>
      <c r="V376">
        <v>3</v>
      </c>
      <c r="W376" t="s">
        <v>44</v>
      </c>
      <c r="X376" t="s">
        <v>136</v>
      </c>
      <c r="Y376" t="s">
        <v>75</v>
      </c>
      <c r="Z376" t="s">
        <v>139</v>
      </c>
      <c r="AA376" t="s">
        <v>227</v>
      </c>
      <c r="AB376">
        <v>1</v>
      </c>
      <c r="AC376">
        <v>1</v>
      </c>
      <c r="AD376">
        <v>1</v>
      </c>
      <c r="AE376" t="s">
        <v>229</v>
      </c>
      <c r="AF376" t="s">
        <v>231</v>
      </c>
      <c r="AG376" t="s">
        <v>235</v>
      </c>
      <c r="AH376" t="s">
        <v>238</v>
      </c>
      <c r="AI376">
        <v>0</v>
      </c>
      <c r="AJ376">
        <v>32</v>
      </c>
    </row>
    <row r="377" spans="1:36" x14ac:dyDescent="0.25">
      <c r="A377" s="36" t="s">
        <v>1564</v>
      </c>
      <c r="B377">
        <v>375</v>
      </c>
      <c r="C377" t="s">
        <v>45</v>
      </c>
      <c r="D377">
        <v>1</v>
      </c>
      <c r="F377">
        <v>1</v>
      </c>
      <c r="G377" t="s">
        <v>140</v>
      </c>
      <c r="K377" t="s">
        <v>63</v>
      </c>
      <c r="L377">
        <v>3</v>
      </c>
      <c r="N377">
        <v>3</v>
      </c>
      <c r="O377" t="s">
        <v>103</v>
      </c>
      <c r="P377" t="s">
        <v>91</v>
      </c>
      <c r="Q377" t="s">
        <v>147</v>
      </c>
      <c r="R377" t="s">
        <v>151</v>
      </c>
      <c r="S377" t="s">
        <v>38</v>
      </c>
      <c r="T377">
        <v>1</v>
      </c>
      <c r="U377">
        <v>1</v>
      </c>
      <c r="V377">
        <v>1</v>
      </c>
      <c r="W377" t="s">
        <v>39</v>
      </c>
      <c r="X377" t="s">
        <v>96</v>
      </c>
      <c r="Y377" t="s">
        <v>154</v>
      </c>
      <c r="Z377" t="s">
        <v>42</v>
      </c>
      <c r="AA377" t="s">
        <v>227</v>
      </c>
      <c r="AB377">
        <v>3</v>
      </c>
      <c r="AC377">
        <v>3</v>
      </c>
      <c r="AD377">
        <v>3</v>
      </c>
      <c r="AE377" t="s">
        <v>228</v>
      </c>
      <c r="AF377" t="s">
        <v>233</v>
      </c>
      <c r="AG377" t="s">
        <v>235</v>
      </c>
      <c r="AH377" t="s">
        <v>238</v>
      </c>
      <c r="AI377">
        <v>0</v>
      </c>
      <c r="AJ377">
        <v>37</v>
      </c>
    </row>
    <row r="378" spans="1:36" x14ac:dyDescent="0.25">
      <c r="A378" s="36" t="s">
        <v>1565</v>
      </c>
      <c r="B378">
        <v>376</v>
      </c>
      <c r="C378" t="s">
        <v>63</v>
      </c>
      <c r="D378">
        <v>3</v>
      </c>
      <c r="F378">
        <v>3</v>
      </c>
      <c r="G378" t="s">
        <v>103</v>
      </c>
      <c r="H378" t="s">
        <v>146</v>
      </c>
      <c r="I378" t="s">
        <v>104</v>
      </c>
      <c r="J378" t="s">
        <v>149</v>
      </c>
      <c r="K378" t="s">
        <v>227</v>
      </c>
      <c r="L378">
        <v>3</v>
      </c>
      <c r="M378">
        <v>2</v>
      </c>
      <c r="N378">
        <v>3</v>
      </c>
      <c r="O378" t="s">
        <v>229</v>
      </c>
      <c r="P378" t="s">
        <v>231</v>
      </c>
      <c r="Q378" t="s">
        <v>235</v>
      </c>
      <c r="R378" t="s">
        <v>238</v>
      </c>
      <c r="S378" t="s">
        <v>45</v>
      </c>
      <c r="T378">
        <v>3</v>
      </c>
      <c r="V378">
        <v>1</v>
      </c>
      <c r="W378" t="s">
        <v>86</v>
      </c>
      <c r="X378" t="s">
        <v>141</v>
      </c>
      <c r="AA378" t="s">
        <v>38</v>
      </c>
      <c r="AB378">
        <v>3</v>
      </c>
      <c r="AC378">
        <v>2</v>
      </c>
      <c r="AD378">
        <v>3</v>
      </c>
      <c r="AE378" t="s">
        <v>39</v>
      </c>
      <c r="AF378" t="s">
        <v>40</v>
      </c>
      <c r="AG378" t="s">
        <v>153</v>
      </c>
      <c r="AH378" t="s">
        <v>42</v>
      </c>
      <c r="AI378">
        <v>0</v>
      </c>
      <c r="AJ378">
        <v>31</v>
      </c>
    </row>
    <row r="379" spans="1:36" x14ac:dyDescent="0.25">
      <c r="A379" s="36" t="s">
        <v>1566</v>
      </c>
      <c r="B379">
        <v>377</v>
      </c>
      <c r="C379" t="s">
        <v>63</v>
      </c>
      <c r="D379">
        <v>3</v>
      </c>
      <c r="F379">
        <v>1</v>
      </c>
      <c r="G379" t="s">
        <v>145</v>
      </c>
      <c r="H379" t="s">
        <v>146</v>
      </c>
      <c r="I379" t="s">
        <v>148</v>
      </c>
      <c r="J379" t="s">
        <v>149</v>
      </c>
      <c r="K379" t="s">
        <v>38</v>
      </c>
      <c r="L379">
        <v>2</v>
      </c>
      <c r="M379">
        <v>1</v>
      </c>
      <c r="N379">
        <v>2</v>
      </c>
      <c r="O379" t="s">
        <v>39</v>
      </c>
      <c r="P379" t="s">
        <v>40</v>
      </c>
      <c r="Q379" t="s">
        <v>154</v>
      </c>
      <c r="R379" t="s">
        <v>155</v>
      </c>
      <c r="S379" t="s">
        <v>45</v>
      </c>
      <c r="T379">
        <v>2</v>
      </c>
      <c r="V379">
        <v>1</v>
      </c>
      <c r="W379" t="s">
        <v>86</v>
      </c>
      <c r="AA379" t="s">
        <v>227</v>
      </c>
      <c r="AB379">
        <v>2</v>
      </c>
      <c r="AC379">
        <v>1</v>
      </c>
      <c r="AD379">
        <v>1</v>
      </c>
      <c r="AE379" t="s">
        <v>230</v>
      </c>
      <c r="AF379" t="s">
        <v>231</v>
      </c>
      <c r="AG379" t="s">
        <v>235</v>
      </c>
      <c r="AH379" t="s">
        <v>238</v>
      </c>
      <c r="AI379">
        <v>0</v>
      </c>
      <c r="AJ379">
        <v>20</v>
      </c>
    </row>
  </sheetData>
  <conditionalFormatting sqref="B160:B1048576 B1">
    <cfRule type="duplicateValues" dxfId="1989" priority="3"/>
  </conditionalFormatting>
  <conditionalFormatting sqref="B2:B379">
    <cfRule type="duplicateValues" dxfId="1988" priority="3554"/>
  </conditionalFormatting>
  <conditionalFormatting sqref="A2:B379">
    <cfRule type="duplicateValues" dxfId="1987" priority="3556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380"/>
  <sheetViews>
    <sheetView topLeftCell="A2" workbookViewId="0">
      <selection activeCell="O19" sqref="O19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3" s="3">
        <f>IF(ScenarioTeams5[[#This Row],[battles]],ScenarioTeams5[[#This Row],[wins]]/ScenarioTeams5[[#This Row],[battles]],0)</f>
        <v>0.61904761904761907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4" s="3">
        <f>IF(ScenarioTeams5[[#This Row],[battles]],ScenarioTeams5[[#This Row],[wins]]/ScenarioTeams5[[#This Row],[battles]],0)</f>
        <v>0.33333333333333331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5" s="3">
        <f>IF(ScenarioTeams5[[#This Row],[battles]],ScenarioTeams5[[#This Row],[wins]]/ScenarioTeams5[[#This Row],[battles]],0)</f>
        <v>0.5714285714285714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14</v>
      </c>
      <c r="M6" s="3">
        <f>IF(ScenarioTeams5[[#This Row],[battles]],ScenarioTeams5[[#This Row],[wins]]/ScenarioTeams5[[#This Row],[battles]],0)</f>
        <v>0.66666666666666663</v>
      </c>
      <c r="O6" s="5" t="s">
        <v>108</v>
      </c>
      <c r="P6" s="31">
        <f>AVERAGE(Scenario5[turns])</f>
        <v>24.206349206349206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7" s="3">
        <f>IF(ScenarioTeams5[[#This Row],[battles]],ScenarioTeams5[[#This Row],[wins]]/ScenarioTeams5[[#This Row],[battles]],0)</f>
        <v>0.5714285714285714</v>
      </c>
      <c r="O7" s="5" t="s">
        <v>160</v>
      </c>
      <c r="P7" s="31">
        <f>MAX(Scenario5[turns])</f>
        <v>58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" t="s">
        <v>48</v>
      </c>
      <c r="E8" t="s">
        <v>227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8" s="3">
        <f>IF(ScenarioTeams5[[#This Row],[battles]],ScenarioTeams5[[#This Row],[wins]]/ScenarioTeams5[[#This Row],[battles]],0)</f>
        <v>0.5714285714285714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43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9" s="3">
        <f>IF(ScenarioTeams5[[#This Row],[battles]],ScenarioTeams5[[#This Row],[wins]]/ScenarioTeams5[[#This Row],[battles]],0)</f>
        <v>0.38095238095238093</v>
      </c>
      <c r="O9" s="4" t="s">
        <v>185</v>
      </c>
      <c r="P9" s="30">
        <f>120000*$P$6/1000/60</f>
        <v>48.412698412698418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45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53</v>
      </c>
      <c r="J10" t="s">
        <v>227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10" s="3">
        <f>IF(ScenarioTeams5[[#This Row],[battles]],ScenarioTeams5[[#This Row],[wins]]/ScenarioTeams5[[#This Row],[battles]],0)</f>
        <v>0.5714285714285714</v>
      </c>
      <c r="O10" s="5" t="s">
        <v>186</v>
      </c>
      <c r="P10" s="31">
        <f>P9*COUNTA(ScenarioStat5[hero-1])/60/24</f>
        <v>12.708333333333336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63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48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1" s="3">
        <f>IF(ScenarioTeams5[[#This Row],[battles]],ScenarioTeams5[[#This Row],[wins]]/ScenarioTeams5[[#This Row],[battles]],0)</f>
        <v>0.52380952380952384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33</v>
      </c>
      <c r="E12" t="s">
        <v>38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33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2" s="3">
        <f>IF(ScenarioTeams5[[#This Row],[battles]],ScenarioTeams5[[#This Row],[wins]]/ScenarioTeams5[[#This Row],[battles]],0)</f>
        <v>0.42857142857142855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33</v>
      </c>
      <c r="E13" t="s">
        <v>227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43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3" s="3">
        <f>IF(ScenarioTeams5[[#This Row],[battles]],ScenarioTeams5[[#This Row],[wins]]/ScenarioTeams5[[#This Row],[battles]],0)</f>
        <v>0.52380952380952384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45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45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14" s="3">
        <f>IF(ScenarioTeams5[[#This Row],[battles]],ScenarioTeams5[[#This Row],[wins]]/ScenarioTeams5[[#This Row],[battles]],0)</f>
        <v>0.52380952380952384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" t="s">
        <v>43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">
        <f>ScenarioStat5[[#This Row],[team-1-win]]+ScenarioStat5[[#This Row],[team-2-win]]</f>
        <v>1</v>
      </c>
      <c r="I15" t="s">
        <v>56</v>
      </c>
      <c r="J15" t="s">
        <v>63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18</v>
      </c>
      <c r="M15" s="3">
        <f>IF(ScenarioTeams5[[#This Row],[battles]],ScenarioTeams5[[#This Row],[wins]]/ScenarioTeams5[[#This Row],[battles]],0)</f>
        <v>0.8571428571428571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43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56</v>
      </c>
      <c r="J16" t="s">
        <v>38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17</v>
      </c>
      <c r="M16" s="3">
        <f>IF(ScenarioTeams5[[#This Row],[battles]],ScenarioTeams5[[#This Row],[wins]]/ScenarioTeams5[[#This Row],[battles]],0)</f>
        <v>0.80952380952380953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43</v>
      </c>
      <c r="E17" t="s">
        <v>227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56</v>
      </c>
      <c r="J17" t="s">
        <v>227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17" s="3">
        <f>IF(ScenarioTeams5[[#This Row],[battles]],ScenarioTeams5[[#This Row],[wins]]/ScenarioTeams5[[#This Row],[battles]],0)</f>
        <v>0.61904761904761907</v>
      </c>
    </row>
    <row r="18" spans="1:13" x14ac:dyDescent="0.25">
      <c r="A18" t="s">
        <v>53</v>
      </c>
      <c r="B18" t="s">
        <v>56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" t="s">
        <v>45</v>
      </c>
      <c r="E18" t="s">
        <v>63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">
        <f>ScenarioStat5[[#This Row],[team-1-win]]+ScenarioStat5[[#This Row],[team-2-win]]</f>
        <v>1</v>
      </c>
      <c r="I18" t="s">
        <v>48</v>
      </c>
      <c r="J18" t="s">
        <v>33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8" s="3">
        <f>IF(ScenarioTeams5[[#This Row],[battles]],ScenarioTeams5[[#This Row],[wins]]/ScenarioTeams5[[#This Row],[battles]],0)</f>
        <v>0.47619047619047616</v>
      </c>
    </row>
    <row r="19" spans="1:13" x14ac:dyDescent="0.25">
      <c r="A19" t="s">
        <v>53</v>
      </c>
      <c r="B19" t="s">
        <v>56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45</v>
      </c>
      <c r="E19" t="s">
        <v>38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43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9" s="3">
        <f>IF(ScenarioTeams5[[#This Row],[battles]],ScenarioTeams5[[#This Row],[wins]]/ScenarioTeams5[[#This Row],[battles]],0)</f>
        <v>0.33333333333333331</v>
      </c>
    </row>
    <row r="20" spans="1:13" x14ac:dyDescent="0.25">
      <c r="A20" t="s">
        <v>53</v>
      </c>
      <c r="B20" t="s">
        <v>56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45</v>
      </c>
      <c r="E20" t="s">
        <v>227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45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0" s="3">
        <f>IF(ScenarioTeams5[[#This Row],[battles]],ScenarioTeams5[[#This Row],[wins]]/ScenarioTeams5[[#This Row],[battles]],0)</f>
        <v>0.38095238095238093</v>
      </c>
    </row>
    <row r="21" spans="1:13" x14ac:dyDescent="0.25">
      <c r="A21" t="s">
        <v>53</v>
      </c>
      <c r="B21" t="s">
        <v>56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63</v>
      </c>
      <c r="E21" t="s">
        <v>38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48</v>
      </c>
      <c r="J21" t="s">
        <v>63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21" s="3">
        <f>IF(ScenarioTeams5[[#This Row],[battles]],ScenarioTeams5[[#This Row],[wins]]/ScenarioTeams5[[#This Row],[battles]],0)</f>
        <v>0.61904761904761907</v>
      </c>
    </row>
    <row r="22" spans="1:13" x14ac:dyDescent="0.25">
      <c r="A22" t="s">
        <v>53</v>
      </c>
      <c r="B22" t="s">
        <v>56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63</v>
      </c>
      <c r="E22" t="s">
        <v>227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48</v>
      </c>
      <c r="J22" t="s">
        <v>38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22" s="3">
        <f>IF(ScenarioTeams5[[#This Row],[battles]],ScenarioTeams5[[#This Row],[wins]]/ScenarioTeams5[[#This Row],[battles]],0)</f>
        <v>0.52380952380952384</v>
      </c>
    </row>
    <row r="23" spans="1:13" x14ac:dyDescent="0.25">
      <c r="A23" t="s">
        <v>53</v>
      </c>
      <c r="B23" t="s">
        <v>56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" t="s">
        <v>38</v>
      </c>
      <c r="E23" t="s">
        <v>227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1</v>
      </c>
      <c r="I23" t="s">
        <v>48</v>
      </c>
      <c r="J23" t="s">
        <v>227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3" s="3">
        <f>IF(ScenarioTeams5[[#This Row],[battles]],ScenarioTeams5[[#This Row],[wins]]/ScenarioTeams5[[#This Row],[battles]],0)</f>
        <v>0.33333333333333331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56</v>
      </c>
      <c r="E24" t="s">
        <v>33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43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4" s="3">
        <f>IF(ScenarioTeams5[[#This Row],[battles]],ScenarioTeams5[[#This Row],[wins]]/ScenarioTeams5[[#This Row],[battles]],0)</f>
        <v>0.47619047619047616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56</v>
      </c>
      <c r="E25" t="s">
        <v>43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33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5" s="3">
        <f>IF(ScenarioTeams5[[#This Row],[battles]],ScenarioTeams5[[#This Row],[wins]]/ScenarioTeams5[[#This Row],[battles]],0)</f>
        <v>0.42857142857142855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56</v>
      </c>
      <c r="E26" t="s">
        <v>45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33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26" s="3">
        <f>IF(ScenarioTeams5[[#This Row],[battles]],ScenarioTeams5[[#This Row],[wins]]/ScenarioTeams5[[#This Row],[battles]],0)</f>
        <v>0.61904761904761907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56</v>
      </c>
      <c r="E27" t="s">
        <v>63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33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7" s="3">
        <f>IF(ScenarioTeams5[[#This Row],[battles]],ScenarioTeams5[[#This Row],[wins]]/ScenarioTeams5[[#This Row],[battles]],0)</f>
        <v>0.47619047619047616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56</v>
      </c>
      <c r="E28" t="s">
        <v>38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33</v>
      </c>
      <c r="J28" t="s">
        <v>227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8" s="3">
        <f>IF(ScenarioTeams5[[#This Row],[battles]],ScenarioTeams5[[#This Row],[wins]]/ScenarioTeams5[[#This Row],[battles]],0)</f>
        <v>0.33333333333333331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" t="s">
        <v>56</v>
      </c>
      <c r="E29" t="s">
        <v>227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">
        <f>ScenarioStat5[[#This Row],[team-1-win]]+ScenarioStat5[[#This Row],[team-2-win]]</f>
        <v>1</v>
      </c>
      <c r="I29" t="s">
        <v>43</v>
      </c>
      <c r="J29" t="s">
        <v>45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9" s="3">
        <f>IF(ScenarioTeams5[[#This Row],[battles]],ScenarioTeams5[[#This Row],[wins]]/ScenarioTeams5[[#This Row],[battles]],0)</f>
        <v>0.33333333333333331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33</v>
      </c>
      <c r="E30" t="s">
        <v>43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43</v>
      </c>
      <c r="J30" t="s">
        <v>63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30" s="3">
        <f>IF(ScenarioTeams5[[#This Row],[battles]],ScenarioTeams5[[#This Row],[wins]]/ScenarioTeams5[[#This Row],[battles]],0)</f>
        <v>0.5714285714285714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33</v>
      </c>
      <c r="E31" t="s">
        <v>45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  <c r="I31" t="s">
        <v>43</v>
      </c>
      <c r="J31" t="s">
        <v>38</v>
      </c>
      <c r="K3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31" s="3">
        <f>IF(ScenarioTeams5[[#This Row],[battles]],ScenarioTeams5[[#This Row],[wins]]/ScenarioTeams5[[#This Row],[battles]],0)</f>
        <v>0.33333333333333331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33</v>
      </c>
      <c r="E32" t="s">
        <v>63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  <c r="I32" t="s">
        <v>43</v>
      </c>
      <c r="J32" t="s">
        <v>227</v>
      </c>
      <c r="K3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32" s="3">
        <f>IF(ScenarioTeams5[[#This Row],[battles]],ScenarioTeams5[[#This Row],[wins]]/ScenarioTeams5[[#This Row],[battles]],0)</f>
        <v>0.19047619047619047</v>
      </c>
    </row>
    <row r="33" spans="1:13" x14ac:dyDescent="0.25">
      <c r="A33" t="s">
        <v>53</v>
      </c>
      <c r="B33" t="s">
        <v>48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33</v>
      </c>
      <c r="E33" t="s">
        <v>38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  <c r="I33" t="s">
        <v>45</v>
      </c>
      <c r="J33" t="s">
        <v>63</v>
      </c>
      <c r="K3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14</v>
      </c>
      <c r="M33" s="3">
        <f>IF(ScenarioTeams5[[#This Row],[battles]],ScenarioTeams5[[#This Row],[wins]]/ScenarioTeams5[[#This Row],[battles]],0)</f>
        <v>0.66666666666666663</v>
      </c>
    </row>
    <row r="34" spans="1:13" x14ac:dyDescent="0.25">
      <c r="A34" t="s">
        <v>53</v>
      </c>
      <c r="B34" t="s">
        <v>48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33</v>
      </c>
      <c r="E34" t="s">
        <v>227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  <c r="I34" t="s">
        <v>45</v>
      </c>
      <c r="J34" t="s">
        <v>38</v>
      </c>
      <c r="K3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34" s="3">
        <f>IF(ScenarioTeams5[[#This Row],[battles]],ScenarioTeams5[[#This Row],[wins]]/ScenarioTeams5[[#This Row],[battles]],0)</f>
        <v>0.61904761904761907</v>
      </c>
    </row>
    <row r="35" spans="1:13" x14ac:dyDescent="0.25">
      <c r="A35" t="s">
        <v>53</v>
      </c>
      <c r="B35" t="s">
        <v>48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" t="s">
        <v>43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1</v>
      </c>
      <c r="I35" t="s">
        <v>45</v>
      </c>
      <c r="J35" t="s">
        <v>227</v>
      </c>
      <c r="K3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35" s="3">
        <f>IF(ScenarioTeams5[[#This Row],[battles]],ScenarioTeams5[[#This Row],[wins]]/ScenarioTeams5[[#This Row],[battles]],0)</f>
        <v>0.38095238095238093</v>
      </c>
    </row>
    <row r="36" spans="1:13" x14ac:dyDescent="0.25">
      <c r="A36" t="s">
        <v>53</v>
      </c>
      <c r="B36" t="s">
        <v>48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43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">
        <f>ScenarioStat5[[#This Row],[team-1-win]]+ScenarioStat5[[#This Row],[team-2-win]]</f>
        <v>1</v>
      </c>
      <c r="I36" t="s">
        <v>63</v>
      </c>
      <c r="J36" t="s">
        <v>38</v>
      </c>
      <c r="K3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36" s="3">
        <f>IF(ScenarioTeams5[[#This Row],[battles]],ScenarioTeams5[[#This Row],[wins]]/ScenarioTeams5[[#This Row],[battles]],0)</f>
        <v>0.61904761904761907</v>
      </c>
    </row>
    <row r="37" spans="1:13" x14ac:dyDescent="0.25">
      <c r="A37" t="s">
        <v>53</v>
      </c>
      <c r="B37" t="s">
        <v>48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43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  <c r="I37" t="s">
        <v>38</v>
      </c>
      <c r="J37" t="s">
        <v>227</v>
      </c>
      <c r="K3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21</v>
      </c>
      <c r="L3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37" s="3">
        <f>IF(ScenarioTeams5[[#This Row],[battles]],ScenarioTeams5[[#This Row],[wins]]/ScenarioTeams5[[#This Row],[battles]],0)</f>
        <v>0.38095238095238093</v>
      </c>
    </row>
    <row r="38" spans="1:13" x14ac:dyDescent="0.25">
      <c r="A38" t="s">
        <v>53</v>
      </c>
      <c r="B38" t="s">
        <v>48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43</v>
      </c>
      <c r="E38" t="s">
        <v>227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13" x14ac:dyDescent="0.25">
      <c r="A39" t="s">
        <v>53</v>
      </c>
      <c r="B39" t="s">
        <v>48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45</v>
      </c>
      <c r="E39" t="s">
        <v>63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9">
        <f>ScenarioStat5[[#This Row],[team-1-win]]+ScenarioStat5[[#This Row],[team-2-win]]</f>
        <v>1</v>
      </c>
    </row>
    <row r="40" spans="1:13" x14ac:dyDescent="0.25">
      <c r="A40" t="s">
        <v>53</v>
      </c>
      <c r="B40" t="s">
        <v>48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45</v>
      </c>
      <c r="E40" t="s">
        <v>38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0">
        <f>ScenarioStat5[[#This Row],[team-1-win]]+ScenarioStat5[[#This Row],[team-2-win]]</f>
        <v>1</v>
      </c>
    </row>
    <row r="41" spans="1:13" x14ac:dyDescent="0.25">
      <c r="A41" t="s">
        <v>53</v>
      </c>
      <c r="B41" t="s">
        <v>48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45</v>
      </c>
      <c r="E41" t="s">
        <v>227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1">
        <f>ScenarioStat5[[#This Row],[team-1-win]]+ScenarioStat5[[#This Row],[team-2-win]]</f>
        <v>1</v>
      </c>
    </row>
    <row r="42" spans="1:13" x14ac:dyDescent="0.25">
      <c r="A42" t="s">
        <v>53</v>
      </c>
      <c r="B42" t="s">
        <v>48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63</v>
      </c>
      <c r="E42" t="s">
        <v>38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13" x14ac:dyDescent="0.25">
      <c r="A43" t="s">
        <v>53</v>
      </c>
      <c r="B43" t="s">
        <v>48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3" t="s">
        <v>63</v>
      </c>
      <c r="E43" t="s">
        <v>227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3">
        <f>ScenarioStat5[[#This Row],[team-1-win]]+ScenarioStat5[[#This Row],[team-2-win]]</f>
        <v>1</v>
      </c>
    </row>
    <row r="44" spans="1:13" x14ac:dyDescent="0.25">
      <c r="A44" t="s">
        <v>53</v>
      </c>
      <c r="B44" t="s">
        <v>48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38</v>
      </c>
      <c r="E44" t="s">
        <v>227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13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56</v>
      </c>
      <c r="E45" t="s">
        <v>48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13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56</v>
      </c>
      <c r="E46" t="s">
        <v>43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13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56</v>
      </c>
      <c r="E47" t="s">
        <v>45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13" x14ac:dyDescent="0.25">
      <c r="A48" t="s">
        <v>53</v>
      </c>
      <c r="B48" t="s">
        <v>33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63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33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38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33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227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33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48</v>
      </c>
      <c r="E51" t="s">
        <v>43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33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48</v>
      </c>
      <c r="E52" t="s">
        <v>45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33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63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33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38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33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227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33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43</v>
      </c>
      <c r="E56" t="s">
        <v>45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33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43</v>
      </c>
      <c r="E57" t="s">
        <v>63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33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43</v>
      </c>
      <c r="E58" t="s">
        <v>38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33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9" t="s">
        <v>43</v>
      </c>
      <c r="E59" t="s">
        <v>227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33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33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33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45</v>
      </c>
      <c r="E62" t="s">
        <v>227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33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63</v>
      </c>
      <c r="E63" t="s">
        <v>38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33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63</v>
      </c>
      <c r="E64" t="s">
        <v>227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33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38</v>
      </c>
      <c r="E65" t="s">
        <v>227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43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48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43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33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43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56</v>
      </c>
      <c r="E68" t="s">
        <v>45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43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9" t="s">
        <v>56</v>
      </c>
      <c r="E69" t="s">
        <v>63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43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56</v>
      </c>
      <c r="E70" t="s">
        <v>38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43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56</v>
      </c>
      <c r="E71" t="s">
        <v>227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43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48</v>
      </c>
      <c r="E72" t="s">
        <v>33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43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48</v>
      </c>
      <c r="E73" t="s">
        <v>45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43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48</v>
      </c>
      <c r="E74" t="s">
        <v>63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43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48</v>
      </c>
      <c r="E75" t="s">
        <v>38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43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48</v>
      </c>
      <c r="E76" t="s">
        <v>227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43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33</v>
      </c>
      <c r="E77" t="s">
        <v>45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43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33</v>
      </c>
      <c r="E78" t="s">
        <v>63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43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9" t="s">
        <v>33</v>
      </c>
      <c r="E79" t="s">
        <v>38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43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33</v>
      </c>
      <c r="E80" t="s">
        <v>227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43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45</v>
      </c>
      <c r="E81" t="s">
        <v>63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43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45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43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45</v>
      </c>
      <c r="E83" t="s">
        <v>227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43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63</v>
      </c>
      <c r="E84" t="s">
        <v>38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43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5" t="s">
        <v>63</v>
      </c>
      <c r="E85" t="s">
        <v>227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43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38</v>
      </c>
      <c r="E86" t="s">
        <v>227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45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56</v>
      </c>
      <c r="E87" t="s">
        <v>48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45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56</v>
      </c>
      <c r="E88" t="s">
        <v>33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45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56</v>
      </c>
      <c r="E89" t="s">
        <v>43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45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56</v>
      </c>
      <c r="E90" t="s">
        <v>63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45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1" t="s">
        <v>56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45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2" t="s">
        <v>56</v>
      </c>
      <c r="E92" t="s">
        <v>227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45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48</v>
      </c>
      <c r="E93" t="s">
        <v>33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45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48</v>
      </c>
      <c r="E94" t="s">
        <v>43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45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48</v>
      </c>
      <c r="E95" t="s">
        <v>63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45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48</v>
      </c>
      <c r="E96" t="s">
        <v>38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45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48</v>
      </c>
      <c r="E97" t="s">
        <v>227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45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33</v>
      </c>
      <c r="E98" t="s">
        <v>43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45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33</v>
      </c>
      <c r="E99" t="s">
        <v>63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45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33</v>
      </c>
      <c r="E100" t="s">
        <v>38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45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33</v>
      </c>
      <c r="E101" t="s">
        <v>227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45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43</v>
      </c>
      <c r="E102" t="s">
        <v>63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45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43</v>
      </c>
      <c r="E103" t="s">
        <v>38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45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43</v>
      </c>
      <c r="E104" t="s">
        <v>227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45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63</v>
      </c>
      <c r="E105" t="s">
        <v>38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45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63</v>
      </c>
      <c r="E106" t="s">
        <v>227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45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7" t="s">
        <v>38</v>
      </c>
      <c r="E107" t="s">
        <v>227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7">
        <f>ScenarioStat5[[#This Row],[team-1-win]]+ScenarioStat5[[#This Row],[team-2-win]]</f>
        <v>1</v>
      </c>
    </row>
    <row r="108" spans="1:7" x14ac:dyDescent="0.25">
      <c r="A108" t="s">
        <v>53</v>
      </c>
      <c r="B108" t="s">
        <v>63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56</v>
      </c>
      <c r="E108" t="s">
        <v>48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53</v>
      </c>
      <c r="B109" t="s">
        <v>63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9" t="s">
        <v>56</v>
      </c>
      <c r="E109" t="s">
        <v>33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9">
        <f>ScenarioStat5[[#This Row],[team-1-win]]+ScenarioStat5[[#This Row],[team-2-win]]</f>
        <v>1</v>
      </c>
    </row>
    <row r="110" spans="1:7" x14ac:dyDescent="0.25">
      <c r="A110" t="s">
        <v>53</v>
      </c>
      <c r="B110" t="s">
        <v>63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0" t="s">
        <v>56</v>
      </c>
      <c r="E110" t="s">
        <v>43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1</v>
      </c>
    </row>
    <row r="111" spans="1:7" x14ac:dyDescent="0.25">
      <c r="A111" t="s">
        <v>53</v>
      </c>
      <c r="B111" t="s">
        <v>63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56</v>
      </c>
      <c r="E111" t="s">
        <v>45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53</v>
      </c>
      <c r="B112" t="s">
        <v>63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56</v>
      </c>
      <c r="E112" t="s">
        <v>38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53</v>
      </c>
      <c r="B113" t="s">
        <v>63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56</v>
      </c>
      <c r="E113" t="s">
        <v>227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53</v>
      </c>
      <c r="B114" t="s">
        <v>63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4" t="s">
        <v>48</v>
      </c>
      <c r="E114" t="s">
        <v>33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4">
        <f>ScenarioStat5[[#This Row],[team-1-win]]+ScenarioStat5[[#This Row],[team-2-win]]</f>
        <v>1</v>
      </c>
    </row>
    <row r="115" spans="1:7" x14ac:dyDescent="0.25">
      <c r="A115" t="s">
        <v>53</v>
      </c>
      <c r="B115" t="s">
        <v>63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48</v>
      </c>
      <c r="E115" t="s">
        <v>43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53</v>
      </c>
      <c r="B116" t="s">
        <v>63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48</v>
      </c>
      <c r="E116" t="s">
        <v>45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53</v>
      </c>
      <c r="B117" t="s">
        <v>63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48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53</v>
      </c>
      <c r="B118" t="s">
        <v>63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227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53</v>
      </c>
      <c r="B119" t="s">
        <v>63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33</v>
      </c>
      <c r="E119" t="s">
        <v>43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53</v>
      </c>
      <c r="B120" t="s">
        <v>63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33</v>
      </c>
      <c r="E120" t="s">
        <v>45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53</v>
      </c>
      <c r="B121" t="s">
        <v>63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33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53</v>
      </c>
      <c r="B122" t="s">
        <v>63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2" t="s">
        <v>33</v>
      </c>
      <c r="E122" t="s">
        <v>227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1</v>
      </c>
    </row>
    <row r="123" spans="1:7" x14ac:dyDescent="0.25">
      <c r="A123" t="s">
        <v>53</v>
      </c>
      <c r="B123" t="s">
        <v>63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3" t="s">
        <v>43</v>
      </c>
      <c r="E123" t="s">
        <v>45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1</v>
      </c>
    </row>
    <row r="124" spans="1:7" x14ac:dyDescent="0.25">
      <c r="A124" t="s">
        <v>53</v>
      </c>
      <c r="B124" t="s">
        <v>63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1</v>
      </c>
    </row>
    <row r="125" spans="1:7" x14ac:dyDescent="0.25">
      <c r="A125" t="s">
        <v>53</v>
      </c>
      <c r="B125" t="s">
        <v>63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43</v>
      </c>
      <c r="E125" t="s">
        <v>227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53</v>
      </c>
      <c r="B126" t="s">
        <v>63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1</v>
      </c>
    </row>
    <row r="127" spans="1:7" x14ac:dyDescent="0.25">
      <c r="A127" t="s">
        <v>53</v>
      </c>
      <c r="B127" t="s">
        <v>63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45</v>
      </c>
      <c r="E127" t="s">
        <v>227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53</v>
      </c>
      <c r="B128" t="s">
        <v>63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38</v>
      </c>
      <c r="E128" t="s">
        <v>227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53</v>
      </c>
      <c r="B129" t="s">
        <v>38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56</v>
      </c>
      <c r="E129" t="s">
        <v>48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53</v>
      </c>
      <c r="B130" t="s">
        <v>38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56</v>
      </c>
      <c r="E130" t="s">
        <v>33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0">
        <f>ScenarioStat5[[#This Row],[team-1-win]]+ScenarioStat5[[#This Row],[team-2-win]]</f>
        <v>1</v>
      </c>
    </row>
    <row r="131" spans="1:7" x14ac:dyDescent="0.25">
      <c r="A131" t="s">
        <v>53</v>
      </c>
      <c r="B131" t="s">
        <v>38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56</v>
      </c>
      <c r="E131" t="s">
        <v>43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53</v>
      </c>
      <c r="B132" t="s">
        <v>38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56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53</v>
      </c>
      <c r="B133" t="s">
        <v>38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56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53</v>
      </c>
      <c r="B134" t="s">
        <v>38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56</v>
      </c>
      <c r="E134" t="s">
        <v>227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53</v>
      </c>
      <c r="B135" t="s">
        <v>38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48</v>
      </c>
      <c r="E135" t="s">
        <v>33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53</v>
      </c>
      <c r="B136" t="s">
        <v>38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48</v>
      </c>
      <c r="E136" t="s">
        <v>43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53</v>
      </c>
      <c r="B137" t="s">
        <v>38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48</v>
      </c>
      <c r="E137" t="s">
        <v>45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7">
        <f>ScenarioStat5[[#This Row],[team-1-win]]+ScenarioStat5[[#This Row],[team-2-win]]</f>
        <v>1</v>
      </c>
    </row>
    <row r="138" spans="1:7" x14ac:dyDescent="0.25">
      <c r="A138" t="s">
        <v>53</v>
      </c>
      <c r="B138" t="s">
        <v>38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63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8">
        <f>ScenarioStat5[[#This Row],[team-1-win]]+ScenarioStat5[[#This Row],[team-2-win]]</f>
        <v>1</v>
      </c>
    </row>
    <row r="139" spans="1:7" x14ac:dyDescent="0.25">
      <c r="A139" t="s">
        <v>53</v>
      </c>
      <c r="B139" t="s">
        <v>38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227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53</v>
      </c>
      <c r="B140" t="s">
        <v>38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33</v>
      </c>
      <c r="E140" t="s">
        <v>43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25">
      <c r="A141" t="s">
        <v>53</v>
      </c>
      <c r="B141" t="s">
        <v>38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33</v>
      </c>
      <c r="E141" t="s">
        <v>45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53</v>
      </c>
      <c r="B142" t="s">
        <v>38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63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53</v>
      </c>
      <c r="B143" t="s">
        <v>38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227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53</v>
      </c>
      <c r="B144" t="s">
        <v>38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4" t="s">
        <v>43</v>
      </c>
      <c r="E144" t="s">
        <v>45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1</v>
      </c>
    </row>
    <row r="145" spans="1:7" x14ac:dyDescent="0.25">
      <c r="A145" t="s">
        <v>53</v>
      </c>
      <c r="B145" t="s">
        <v>38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53</v>
      </c>
      <c r="B146" t="s">
        <v>38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6" t="s">
        <v>43</v>
      </c>
      <c r="E146" t="s">
        <v>227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6">
        <f>ScenarioStat5[[#This Row],[team-1-win]]+ScenarioStat5[[#This Row],[team-2-win]]</f>
        <v>1</v>
      </c>
    </row>
    <row r="147" spans="1:7" x14ac:dyDescent="0.25">
      <c r="A147" t="s">
        <v>53</v>
      </c>
      <c r="B147" t="s">
        <v>38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45</v>
      </c>
      <c r="E147" t="s">
        <v>63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53</v>
      </c>
      <c r="B148" t="s">
        <v>38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45</v>
      </c>
      <c r="E148" t="s">
        <v>227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53</v>
      </c>
      <c r="B149" t="s">
        <v>38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63</v>
      </c>
      <c r="E149" t="s">
        <v>227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9">
        <f>ScenarioStat5[[#This Row],[team-1-win]]+ScenarioStat5[[#This Row],[team-2-win]]</f>
        <v>1</v>
      </c>
    </row>
    <row r="150" spans="1:7" x14ac:dyDescent="0.25">
      <c r="A150" t="s">
        <v>53</v>
      </c>
      <c r="B150" t="s">
        <v>227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56</v>
      </c>
      <c r="E150" t="s">
        <v>48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53</v>
      </c>
      <c r="B151" t="s">
        <v>227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56</v>
      </c>
      <c r="E151" t="s">
        <v>33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53</v>
      </c>
      <c r="B152" t="s">
        <v>227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56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2">
        <f>ScenarioStat5[[#This Row],[team-1-win]]+ScenarioStat5[[#This Row],[team-2-win]]</f>
        <v>1</v>
      </c>
    </row>
    <row r="153" spans="1:7" x14ac:dyDescent="0.25">
      <c r="A153" t="s">
        <v>53</v>
      </c>
      <c r="B153" t="s">
        <v>227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56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53</v>
      </c>
      <c r="B154" t="s">
        <v>227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4" t="s">
        <v>56</v>
      </c>
      <c r="E154" t="s">
        <v>63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4">
        <f>ScenarioStat5[[#This Row],[team-1-win]]+ScenarioStat5[[#This Row],[team-2-win]]</f>
        <v>1</v>
      </c>
    </row>
    <row r="155" spans="1:7" x14ac:dyDescent="0.25">
      <c r="A155" t="s">
        <v>53</v>
      </c>
      <c r="B155" t="s">
        <v>227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5" t="s">
        <v>56</v>
      </c>
      <c r="E155" t="s">
        <v>38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5">
        <f>ScenarioStat5[[#This Row],[team-1-win]]+ScenarioStat5[[#This Row],[team-2-win]]</f>
        <v>1</v>
      </c>
    </row>
    <row r="156" spans="1:7" x14ac:dyDescent="0.25">
      <c r="A156" t="s">
        <v>53</v>
      </c>
      <c r="B156" t="s">
        <v>227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48</v>
      </c>
      <c r="E156" t="s">
        <v>33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53</v>
      </c>
      <c r="B157" t="s">
        <v>227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7" t="s">
        <v>48</v>
      </c>
      <c r="E157" t="s">
        <v>43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7">
        <f>ScenarioStat5[[#This Row],[team-1-win]]+ScenarioStat5[[#This Row],[team-2-win]]</f>
        <v>1</v>
      </c>
    </row>
    <row r="158" spans="1:7" x14ac:dyDescent="0.25">
      <c r="A158" t="s">
        <v>53</v>
      </c>
      <c r="B158" t="s">
        <v>227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45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53</v>
      </c>
      <c r="B159" t="s">
        <v>227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63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53</v>
      </c>
      <c r="B160" t="s">
        <v>227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38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25">
      <c r="A161" t="s">
        <v>53</v>
      </c>
      <c r="B161" t="s">
        <v>227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33</v>
      </c>
      <c r="E161" t="s">
        <v>43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53</v>
      </c>
      <c r="B162" t="s">
        <v>227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45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53</v>
      </c>
      <c r="B163" t="s">
        <v>227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63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3">
        <f>ScenarioStat5[[#This Row],[team-1-win]]+ScenarioStat5[[#This Row],[team-2-win]]</f>
        <v>1</v>
      </c>
    </row>
    <row r="164" spans="1:7" x14ac:dyDescent="0.25">
      <c r="A164" t="s">
        <v>53</v>
      </c>
      <c r="B164" t="s">
        <v>227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38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53</v>
      </c>
      <c r="B165" t="s">
        <v>227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53</v>
      </c>
      <c r="B166" t="s">
        <v>227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53</v>
      </c>
      <c r="B167" t="s">
        <v>227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43</v>
      </c>
      <c r="E167" t="s">
        <v>38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53</v>
      </c>
      <c r="B168" t="s">
        <v>227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45</v>
      </c>
      <c r="E168" t="s">
        <v>63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53</v>
      </c>
      <c r="B169" t="s">
        <v>227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45</v>
      </c>
      <c r="E169" t="s">
        <v>38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53</v>
      </c>
      <c r="B170" t="s">
        <v>227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0" t="s">
        <v>63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1</v>
      </c>
    </row>
    <row r="171" spans="1:7" x14ac:dyDescent="0.25">
      <c r="A171" t="s">
        <v>56</v>
      </c>
      <c r="B171" t="s">
        <v>48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33</v>
      </c>
      <c r="E171" t="s">
        <v>43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56</v>
      </c>
      <c r="B172" t="s">
        <v>48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33</v>
      </c>
      <c r="E172" t="s">
        <v>45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56</v>
      </c>
      <c r="B173" t="s">
        <v>48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3" t="s">
        <v>33</v>
      </c>
      <c r="E173" t="s">
        <v>63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1</v>
      </c>
    </row>
    <row r="174" spans="1:7" x14ac:dyDescent="0.25">
      <c r="A174" t="s">
        <v>56</v>
      </c>
      <c r="B174" t="s">
        <v>48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38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56</v>
      </c>
      <c r="B175" t="s">
        <v>48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227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25">
      <c r="A176" t="s">
        <v>56</v>
      </c>
      <c r="B176" t="s">
        <v>48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43</v>
      </c>
      <c r="E176" t="s">
        <v>45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56</v>
      </c>
      <c r="B177" t="s">
        <v>48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43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56</v>
      </c>
      <c r="B178" t="s">
        <v>48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43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56</v>
      </c>
      <c r="B179" t="s">
        <v>48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43</v>
      </c>
      <c r="E179" t="s">
        <v>227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56</v>
      </c>
      <c r="B180" t="s">
        <v>48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45</v>
      </c>
      <c r="E180" t="s">
        <v>63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56</v>
      </c>
      <c r="B181" t="s">
        <v>48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45</v>
      </c>
      <c r="E181" t="s">
        <v>38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56</v>
      </c>
      <c r="B182" t="s">
        <v>48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45</v>
      </c>
      <c r="E182" t="s">
        <v>227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56</v>
      </c>
      <c r="B183" t="s">
        <v>48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63</v>
      </c>
      <c r="E183" t="s">
        <v>38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56</v>
      </c>
      <c r="B184" t="s">
        <v>48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63</v>
      </c>
      <c r="E184" t="s">
        <v>227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56</v>
      </c>
      <c r="B185" t="s">
        <v>48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38</v>
      </c>
      <c r="E185" t="s">
        <v>227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56</v>
      </c>
      <c r="B186" t="s">
        <v>33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48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56</v>
      </c>
      <c r="B187" t="s">
        <v>33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7" t="s">
        <v>48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7">
        <f>ScenarioStat5[[#This Row],[team-1-win]]+ScenarioStat5[[#This Row],[team-2-win]]</f>
        <v>1</v>
      </c>
    </row>
    <row r="188" spans="1:7" x14ac:dyDescent="0.25">
      <c r="A188" t="s">
        <v>56</v>
      </c>
      <c r="B188" t="s">
        <v>33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48</v>
      </c>
      <c r="E188" t="s">
        <v>63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56</v>
      </c>
      <c r="B189" t="s">
        <v>33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9" t="s">
        <v>48</v>
      </c>
      <c r="E189" t="s">
        <v>38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9">
        <f>ScenarioStat5[[#This Row],[team-1-win]]+ScenarioStat5[[#This Row],[team-2-win]]</f>
        <v>1</v>
      </c>
    </row>
    <row r="190" spans="1:7" x14ac:dyDescent="0.25">
      <c r="A190" t="s">
        <v>56</v>
      </c>
      <c r="B190" t="s">
        <v>33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48</v>
      </c>
      <c r="E190" t="s">
        <v>227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56</v>
      </c>
      <c r="B191" t="s">
        <v>33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43</v>
      </c>
      <c r="E191" t="s">
        <v>45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1">
        <f>ScenarioStat5[[#This Row],[team-1-win]]+ScenarioStat5[[#This Row],[team-2-win]]</f>
        <v>1</v>
      </c>
    </row>
    <row r="192" spans="1:7" x14ac:dyDescent="0.25">
      <c r="A192" t="s">
        <v>56</v>
      </c>
      <c r="B192" t="s">
        <v>33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43</v>
      </c>
      <c r="E192" t="s">
        <v>63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56</v>
      </c>
      <c r="B193" t="s">
        <v>33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43</v>
      </c>
      <c r="E193" t="s">
        <v>38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56</v>
      </c>
      <c r="B194" t="s">
        <v>33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43</v>
      </c>
      <c r="E194" t="s">
        <v>227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56</v>
      </c>
      <c r="B195" t="s">
        <v>33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45</v>
      </c>
      <c r="E195" t="s">
        <v>63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56</v>
      </c>
      <c r="B196" t="s">
        <v>33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45</v>
      </c>
      <c r="E196" t="s">
        <v>38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56</v>
      </c>
      <c r="B197" t="s">
        <v>33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227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56</v>
      </c>
      <c r="B198" t="s">
        <v>33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63</v>
      </c>
      <c r="E198" t="s">
        <v>38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56</v>
      </c>
      <c r="B199" t="s">
        <v>33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9" t="s">
        <v>63</v>
      </c>
      <c r="E199" t="s">
        <v>227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9">
        <f>ScenarioStat5[[#This Row],[team-1-win]]+ScenarioStat5[[#This Row],[team-2-win]]</f>
        <v>1</v>
      </c>
    </row>
    <row r="200" spans="1:7" x14ac:dyDescent="0.25">
      <c r="A200" t="s">
        <v>56</v>
      </c>
      <c r="B200" t="s">
        <v>33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38</v>
      </c>
      <c r="E200" t="s">
        <v>227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56</v>
      </c>
      <c r="B201" t="s">
        <v>43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48</v>
      </c>
      <c r="E201" t="s">
        <v>33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56</v>
      </c>
      <c r="B202" t="s">
        <v>43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48</v>
      </c>
      <c r="E202" t="s">
        <v>45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56</v>
      </c>
      <c r="B203" t="s">
        <v>43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48</v>
      </c>
      <c r="E203" t="s">
        <v>63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25">
      <c r="A204" t="s">
        <v>56</v>
      </c>
      <c r="B204" t="s">
        <v>43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48</v>
      </c>
      <c r="E204" t="s">
        <v>38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56</v>
      </c>
      <c r="B205" t="s">
        <v>43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48</v>
      </c>
      <c r="E205" t="s">
        <v>227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56</v>
      </c>
      <c r="B206" t="s">
        <v>43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33</v>
      </c>
      <c r="E206" t="s">
        <v>45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56</v>
      </c>
      <c r="B207" t="s">
        <v>43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33</v>
      </c>
      <c r="E207" t="s">
        <v>63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56</v>
      </c>
      <c r="B208" t="s">
        <v>43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8" t="s">
        <v>33</v>
      </c>
      <c r="E208" t="s">
        <v>38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1</v>
      </c>
    </row>
    <row r="209" spans="1:7" x14ac:dyDescent="0.25">
      <c r="A209" t="s">
        <v>56</v>
      </c>
      <c r="B209" t="s">
        <v>43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33</v>
      </c>
      <c r="E209" t="s">
        <v>227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56</v>
      </c>
      <c r="B210" t="s">
        <v>43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45</v>
      </c>
      <c r="E210" t="s">
        <v>63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56</v>
      </c>
      <c r="B211" t="s">
        <v>43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1">
        <f>ScenarioStat5[[#This Row],[team-1-win]]+ScenarioStat5[[#This Row],[team-2-win]]</f>
        <v>1</v>
      </c>
    </row>
    <row r="212" spans="1:7" x14ac:dyDescent="0.25">
      <c r="A212" t="s">
        <v>56</v>
      </c>
      <c r="B212" t="s">
        <v>43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227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  <row r="213" spans="1:7" x14ac:dyDescent="0.25">
      <c r="A213" t="s">
        <v>56</v>
      </c>
      <c r="B213" t="s">
        <v>43</v>
      </c>
      <c r="C2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3" t="s">
        <v>63</v>
      </c>
      <c r="E213" t="s">
        <v>38</v>
      </c>
      <c r="F2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3">
        <f>ScenarioStat5[[#This Row],[team-1-win]]+ScenarioStat5[[#This Row],[team-2-win]]</f>
        <v>1</v>
      </c>
    </row>
    <row r="214" spans="1:7" x14ac:dyDescent="0.25">
      <c r="A214" t="s">
        <v>56</v>
      </c>
      <c r="B214" t="s">
        <v>43</v>
      </c>
      <c r="C2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4" t="s">
        <v>63</v>
      </c>
      <c r="E214" t="s">
        <v>227</v>
      </c>
      <c r="F2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4">
        <f>ScenarioStat5[[#This Row],[team-1-win]]+ScenarioStat5[[#This Row],[team-2-win]]</f>
        <v>1</v>
      </c>
    </row>
    <row r="215" spans="1:7" x14ac:dyDescent="0.25">
      <c r="A215" t="s">
        <v>56</v>
      </c>
      <c r="B215" t="s">
        <v>43</v>
      </c>
      <c r="C2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5" t="s">
        <v>38</v>
      </c>
      <c r="E215" t="s">
        <v>227</v>
      </c>
      <c r="F2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5">
        <f>ScenarioStat5[[#This Row],[team-1-win]]+ScenarioStat5[[#This Row],[team-2-win]]</f>
        <v>1</v>
      </c>
    </row>
    <row r="216" spans="1:7" x14ac:dyDescent="0.25">
      <c r="A216" t="s">
        <v>56</v>
      </c>
      <c r="B216" t="s">
        <v>45</v>
      </c>
      <c r="C2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6" t="s">
        <v>48</v>
      </c>
      <c r="E216" t="s">
        <v>33</v>
      </c>
      <c r="F2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6">
        <f>ScenarioStat5[[#This Row],[team-1-win]]+ScenarioStat5[[#This Row],[team-2-win]]</f>
        <v>1</v>
      </c>
    </row>
    <row r="217" spans="1:7" x14ac:dyDescent="0.25">
      <c r="A217" t="s">
        <v>56</v>
      </c>
      <c r="B217" t="s">
        <v>45</v>
      </c>
      <c r="C2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7" t="s">
        <v>48</v>
      </c>
      <c r="E217" t="s">
        <v>43</v>
      </c>
      <c r="F2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7">
        <f>ScenarioStat5[[#This Row],[team-1-win]]+ScenarioStat5[[#This Row],[team-2-win]]</f>
        <v>1</v>
      </c>
    </row>
    <row r="218" spans="1:7" x14ac:dyDescent="0.25">
      <c r="A218" t="s">
        <v>56</v>
      </c>
      <c r="B218" t="s">
        <v>45</v>
      </c>
      <c r="C2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8" t="s">
        <v>48</v>
      </c>
      <c r="E218" t="s">
        <v>63</v>
      </c>
      <c r="F2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8">
        <f>ScenarioStat5[[#This Row],[team-1-win]]+ScenarioStat5[[#This Row],[team-2-win]]</f>
        <v>1</v>
      </c>
    </row>
    <row r="219" spans="1:7" x14ac:dyDescent="0.25">
      <c r="A219" t="s">
        <v>56</v>
      </c>
      <c r="B219" t="s">
        <v>45</v>
      </c>
      <c r="C2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9" t="s">
        <v>48</v>
      </c>
      <c r="E219" t="s">
        <v>38</v>
      </c>
      <c r="F2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9">
        <f>ScenarioStat5[[#This Row],[team-1-win]]+ScenarioStat5[[#This Row],[team-2-win]]</f>
        <v>1</v>
      </c>
    </row>
    <row r="220" spans="1:7" x14ac:dyDescent="0.25">
      <c r="A220" t="s">
        <v>56</v>
      </c>
      <c r="B220" t="s">
        <v>45</v>
      </c>
      <c r="C2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0" t="s">
        <v>48</v>
      </c>
      <c r="E220" t="s">
        <v>227</v>
      </c>
      <c r="F2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0">
        <f>ScenarioStat5[[#This Row],[team-1-win]]+ScenarioStat5[[#This Row],[team-2-win]]</f>
        <v>1</v>
      </c>
    </row>
    <row r="221" spans="1:7" x14ac:dyDescent="0.25">
      <c r="A221" t="s">
        <v>56</v>
      </c>
      <c r="B221" t="s">
        <v>45</v>
      </c>
      <c r="C2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1" t="s">
        <v>33</v>
      </c>
      <c r="E221" t="s">
        <v>43</v>
      </c>
      <c r="F2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1">
        <f>ScenarioStat5[[#This Row],[team-1-win]]+ScenarioStat5[[#This Row],[team-2-win]]</f>
        <v>1</v>
      </c>
    </row>
    <row r="222" spans="1:7" x14ac:dyDescent="0.25">
      <c r="A222" t="s">
        <v>56</v>
      </c>
      <c r="B222" t="s">
        <v>45</v>
      </c>
      <c r="C2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2" t="s">
        <v>33</v>
      </c>
      <c r="E222" t="s">
        <v>63</v>
      </c>
      <c r="F2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2">
        <f>ScenarioStat5[[#This Row],[team-1-win]]+ScenarioStat5[[#This Row],[team-2-win]]</f>
        <v>1</v>
      </c>
    </row>
    <row r="223" spans="1:7" x14ac:dyDescent="0.25">
      <c r="A223" t="s">
        <v>56</v>
      </c>
      <c r="B223" t="s">
        <v>45</v>
      </c>
      <c r="C2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3" t="s">
        <v>33</v>
      </c>
      <c r="E223" t="s">
        <v>38</v>
      </c>
      <c r="F2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3">
        <f>ScenarioStat5[[#This Row],[team-1-win]]+ScenarioStat5[[#This Row],[team-2-win]]</f>
        <v>1</v>
      </c>
    </row>
    <row r="224" spans="1:7" x14ac:dyDescent="0.25">
      <c r="A224" t="s">
        <v>56</v>
      </c>
      <c r="B224" t="s">
        <v>45</v>
      </c>
      <c r="C2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4" t="s">
        <v>33</v>
      </c>
      <c r="E224" t="s">
        <v>227</v>
      </c>
      <c r="F2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4">
        <f>ScenarioStat5[[#This Row],[team-1-win]]+ScenarioStat5[[#This Row],[team-2-win]]</f>
        <v>1</v>
      </c>
    </row>
    <row r="225" spans="1:7" x14ac:dyDescent="0.25">
      <c r="A225" t="s">
        <v>56</v>
      </c>
      <c r="B225" t="s">
        <v>45</v>
      </c>
      <c r="C2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5" t="s">
        <v>43</v>
      </c>
      <c r="E225" t="s">
        <v>63</v>
      </c>
      <c r="F2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5">
        <f>ScenarioStat5[[#This Row],[team-1-win]]+ScenarioStat5[[#This Row],[team-2-win]]</f>
        <v>1</v>
      </c>
    </row>
    <row r="226" spans="1:7" x14ac:dyDescent="0.25">
      <c r="A226" t="s">
        <v>56</v>
      </c>
      <c r="B226" t="s">
        <v>45</v>
      </c>
      <c r="C2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6" t="s">
        <v>43</v>
      </c>
      <c r="E226" t="s">
        <v>38</v>
      </c>
      <c r="F2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6">
        <f>ScenarioStat5[[#This Row],[team-1-win]]+ScenarioStat5[[#This Row],[team-2-win]]</f>
        <v>1</v>
      </c>
    </row>
    <row r="227" spans="1:7" x14ac:dyDescent="0.25">
      <c r="A227" t="s">
        <v>56</v>
      </c>
      <c r="B227" t="s">
        <v>45</v>
      </c>
      <c r="C2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7" t="s">
        <v>43</v>
      </c>
      <c r="E227" t="s">
        <v>227</v>
      </c>
      <c r="F2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7">
        <f>ScenarioStat5[[#This Row],[team-1-win]]+ScenarioStat5[[#This Row],[team-2-win]]</f>
        <v>1</v>
      </c>
    </row>
    <row r="228" spans="1:7" x14ac:dyDescent="0.25">
      <c r="A228" t="s">
        <v>56</v>
      </c>
      <c r="B228" t="s">
        <v>45</v>
      </c>
      <c r="C2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8" t="s">
        <v>63</v>
      </c>
      <c r="E228" t="s">
        <v>38</v>
      </c>
      <c r="F2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8">
        <f>ScenarioStat5[[#This Row],[team-1-win]]+ScenarioStat5[[#This Row],[team-2-win]]</f>
        <v>1</v>
      </c>
    </row>
    <row r="229" spans="1:7" x14ac:dyDescent="0.25">
      <c r="A229" t="s">
        <v>56</v>
      </c>
      <c r="B229" t="s">
        <v>45</v>
      </c>
      <c r="C2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9" t="s">
        <v>63</v>
      </c>
      <c r="E229" t="s">
        <v>227</v>
      </c>
      <c r="F2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9">
        <f>ScenarioStat5[[#This Row],[team-1-win]]+ScenarioStat5[[#This Row],[team-2-win]]</f>
        <v>1</v>
      </c>
    </row>
    <row r="230" spans="1:7" x14ac:dyDescent="0.25">
      <c r="A230" t="s">
        <v>56</v>
      </c>
      <c r="B230" t="s">
        <v>45</v>
      </c>
      <c r="C2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0" t="s">
        <v>38</v>
      </c>
      <c r="E230" t="s">
        <v>227</v>
      </c>
      <c r="F2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0">
        <f>ScenarioStat5[[#This Row],[team-1-win]]+ScenarioStat5[[#This Row],[team-2-win]]</f>
        <v>1</v>
      </c>
    </row>
    <row r="231" spans="1:7" x14ac:dyDescent="0.25">
      <c r="A231" t="s">
        <v>56</v>
      </c>
      <c r="B231" t="s">
        <v>63</v>
      </c>
      <c r="C2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1" t="s">
        <v>48</v>
      </c>
      <c r="E231" t="s">
        <v>33</v>
      </c>
      <c r="F2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1">
        <f>ScenarioStat5[[#This Row],[team-1-win]]+ScenarioStat5[[#This Row],[team-2-win]]</f>
        <v>1</v>
      </c>
    </row>
    <row r="232" spans="1:7" x14ac:dyDescent="0.25">
      <c r="A232" t="s">
        <v>56</v>
      </c>
      <c r="B232" t="s">
        <v>63</v>
      </c>
      <c r="C2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2" t="s">
        <v>48</v>
      </c>
      <c r="E232" t="s">
        <v>43</v>
      </c>
      <c r="F2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2">
        <f>ScenarioStat5[[#This Row],[team-1-win]]+ScenarioStat5[[#This Row],[team-2-win]]</f>
        <v>1</v>
      </c>
    </row>
    <row r="233" spans="1:7" x14ac:dyDescent="0.25">
      <c r="A233" t="s">
        <v>56</v>
      </c>
      <c r="B233" t="s">
        <v>63</v>
      </c>
      <c r="C2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3" t="s">
        <v>48</v>
      </c>
      <c r="E233" t="s">
        <v>45</v>
      </c>
      <c r="F2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3">
        <f>ScenarioStat5[[#This Row],[team-1-win]]+ScenarioStat5[[#This Row],[team-2-win]]</f>
        <v>1</v>
      </c>
    </row>
    <row r="234" spans="1:7" x14ac:dyDescent="0.25">
      <c r="A234" t="s">
        <v>56</v>
      </c>
      <c r="B234" t="s">
        <v>63</v>
      </c>
      <c r="C2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4" t="s">
        <v>48</v>
      </c>
      <c r="E234" t="s">
        <v>38</v>
      </c>
      <c r="F2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4">
        <f>ScenarioStat5[[#This Row],[team-1-win]]+ScenarioStat5[[#This Row],[team-2-win]]</f>
        <v>1</v>
      </c>
    </row>
    <row r="235" spans="1:7" x14ac:dyDescent="0.25">
      <c r="A235" t="s">
        <v>56</v>
      </c>
      <c r="B235" t="s">
        <v>63</v>
      </c>
      <c r="C2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5" t="s">
        <v>48</v>
      </c>
      <c r="E235" t="s">
        <v>227</v>
      </c>
      <c r="F2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5">
        <f>ScenarioStat5[[#This Row],[team-1-win]]+ScenarioStat5[[#This Row],[team-2-win]]</f>
        <v>1</v>
      </c>
    </row>
    <row r="236" spans="1:7" x14ac:dyDescent="0.25">
      <c r="A236" t="s">
        <v>56</v>
      </c>
      <c r="B236" t="s">
        <v>63</v>
      </c>
      <c r="C2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6" t="s">
        <v>33</v>
      </c>
      <c r="E236" t="s">
        <v>43</v>
      </c>
      <c r="F2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6">
        <f>ScenarioStat5[[#This Row],[team-1-win]]+ScenarioStat5[[#This Row],[team-2-win]]</f>
        <v>1</v>
      </c>
    </row>
    <row r="237" spans="1:7" x14ac:dyDescent="0.25">
      <c r="A237" t="s">
        <v>56</v>
      </c>
      <c r="B237" t="s">
        <v>63</v>
      </c>
      <c r="C2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7" t="s">
        <v>33</v>
      </c>
      <c r="E237" t="s">
        <v>45</v>
      </c>
      <c r="F2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7">
        <f>ScenarioStat5[[#This Row],[team-1-win]]+ScenarioStat5[[#This Row],[team-2-win]]</f>
        <v>1</v>
      </c>
    </row>
    <row r="238" spans="1:7" x14ac:dyDescent="0.25">
      <c r="A238" t="s">
        <v>56</v>
      </c>
      <c r="B238" t="s">
        <v>63</v>
      </c>
      <c r="C2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8" t="s">
        <v>33</v>
      </c>
      <c r="E238" t="s">
        <v>38</v>
      </c>
      <c r="F2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8">
        <f>ScenarioStat5[[#This Row],[team-1-win]]+ScenarioStat5[[#This Row],[team-2-win]]</f>
        <v>1</v>
      </c>
    </row>
    <row r="239" spans="1:7" x14ac:dyDescent="0.25">
      <c r="A239" t="s">
        <v>56</v>
      </c>
      <c r="B239" t="s">
        <v>63</v>
      </c>
      <c r="C2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9" t="s">
        <v>33</v>
      </c>
      <c r="E239" t="s">
        <v>227</v>
      </c>
      <c r="F2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9">
        <f>ScenarioStat5[[#This Row],[team-1-win]]+ScenarioStat5[[#This Row],[team-2-win]]</f>
        <v>1</v>
      </c>
    </row>
    <row r="240" spans="1:7" x14ac:dyDescent="0.25">
      <c r="A240" t="s">
        <v>56</v>
      </c>
      <c r="B240" t="s">
        <v>63</v>
      </c>
      <c r="C2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0" t="s">
        <v>43</v>
      </c>
      <c r="E240" t="s">
        <v>45</v>
      </c>
      <c r="F2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0">
        <f>ScenarioStat5[[#This Row],[team-1-win]]+ScenarioStat5[[#This Row],[team-2-win]]</f>
        <v>1</v>
      </c>
    </row>
    <row r="241" spans="1:7" x14ac:dyDescent="0.25">
      <c r="A241" t="s">
        <v>56</v>
      </c>
      <c r="B241" t="s">
        <v>63</v>
      </c>
      <c r="C2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1" t="s">
        <v>43</v>
      </c>
      <c r="E241" t="s">
        <v>38</v>
      </c>
      <c r="F2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1">
        <f>ScenarioStat5[[#This Row],[team-1-win]]+ScenarioStat5[[#This Row],[team-2-win]]</f>
        <v>1</v>
      </c>
    </row>
    <row r="242" spans="1:7" x14ac:dyDescent="0.25">
      <c r="A242" t="s">
        <v>56</v>
      </c>
      <c r="B242" t="s">
        <v>63</v>
      </c>
      <c r="C2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2" t="s">
        <v>43</v>
      </c>
      <c r="E242" t="s">
        <v>227</v>
      </c>
      <c r="F2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2">
        <f>ScenarioStat5[[#This Row],[team-1-win]]+ScenarioStat5[[#This Row],[team-2-win]]</f>
        <v>1</v>
      </c>
    </row>
    <row r="243" spans="1:7" x14ac:dyDescent="0.25">
      <c r="A243" t="s">
        <v>56</v>
      </c>
      <c r="B243" t="s">
        <v>63</v>
      </c>
      <c r="C2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3" t="s">
        <v>45</v>
      </c>
      <c r="E243" t="s">
        <v>38</v>
      </c>
      <c r="F2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3">
        <f>ScenarioStat5[[#This Row],[team-1-win]]+ScenarioStat5[[#This Row],[team-2-win]]</f>
        <v>1</v>
      </c>
    </row>
    <row r="244" spans="1:7" x14ac:dyDescent="0.25">
      <c r="A244" t="s">
        <v>56</v>
      </c>
      <c r="B244" t="s">
        <v>63</v>
      </c>
      <c r="C2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4" t="s">
        <v>45</v>
      </c>
      <c r="E244" t="s">
        <v>227</v>
      </c>
      <c r="F2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4">
        <f>ScenarioStat5[[#This Row],[team-1-win]]+ScenarioStat5[[#This Row],[team-2-win]]</f>
        <v>1</v>
      </c>
    </row>
    <row r="245" spans="1:7" x14ac:dyDescent="0.25">
      <c r="A245" t="s">
        <v>56</v>
      </c>
      <c r="B245" t="s">
        <v>63</v>
      </c>
      <c r="C2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5" t="s">
        <v>38</v>
      </c>
      <c r="E245" t="s">
        <v>227</v>
      </c>
      <c r="F2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5">
        <f>ScenarioStat5[[#This Row],[team-1-win]]+ScenarioStat5[[#This Row],[team-2-win]]</f>
        <v>1</v>
      </c>
    </row>
    <row r="246" spans="1:7" x14ac:dyDescent="0.25">
      <c r="A246" t="s">
        <v>56</v>
      </c>
      <c r="B246" t="s">
        <v>38</v>
      </c>
      <c r="C2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6" t="s">
        <v>48</v>
      </c>
      <c r="E246" t="s">
        <v>33</v>
      </c>
      <c r="F2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6">
        <f>ScenarioStat5[[#This Row],[team-1-win]]+ScenarioStat5[[#This Row],[team-2-win]]</f>
        <v>1</v>
      </c>
    </row>
    <row r="247" spans="1:7" x14ac:dyDescent="0.25">
      <c r="A247" t="s">
        <v>56</v>
      </c>
      <c r="B247" t="s">
        <v>38</v>
      </c>
      <c r="C2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47" t="s">
        <v>48</v>
      </c>
      <c r="E247" t="s">
        <v>43</v>
      </c>
      <c r="F2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47">
        <f>ScenarioStat5[[#This Row],[team-1-win]]+ScenarioStat5[[#This Row],[team-2-win]]</f>
        <v>1</v>
      </c>
    </row>
    <row r="248" spans="1:7" x14ac:dyDescent="0.25">
      <c r="A248" t="s">
        <v>56</v>
      </c>
      <c r="B248" t="s">
        <v>38</v>
      </c>
      <c r="C2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8" t="s">
        <v>48</v>
      </c>
      <c r="E248" t="s">
        <v>45</v>
      </c>
      <c r="F2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8">
        <f>ScenarioStat5[[#This Row],[team-1-win]]+ScenarioStat5[[#This Row],[team-2-win]]</f>
        <v>1</v>
      </c>
    </row>
    <row r="249" spans="1:7" x14ac:dyDescent="0.25">
      <c r="A249" t="s">
        <v>56</v>
      </c>
      <c r="B249" t="s">
        <v>38</v>
      </c>
      <c r="C2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9" t="s">
        <v>48</v>
      </c>
      <c r="E249" t="s">
        <v>63</v>
      </c>
      <c r="F2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9">
        <f>ScenarioStat5[[#This Row],[team-1-win]]+ScenarioStat5[[#This Row],[team-2-win]]</f>
        <v>1</v>
      </c>
    </row>
    <row r="250" spans="1:7" x14ac:dyDescent="0.25">
      <c r="A250" t="s">
        <v>56</v>
      </c>
      <c r="B250" t="s">
        <v>38</v>
      </c>
      <c r="C2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0" t="s">
        <v>48</v>
      </c>
      <c r="E250" t="s">
        <v>227</v>
      </c>
      <c r="F2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0">
        <f>ScenarioStat5[[#This Row],[team-1-win]]+ScenarioStat5[[#This Row],[team-2-win]]</f>
        <v>1</v>
      </c>
    </row>
    <row r="251" spans="1:7" x14ac:dyDescent="0.25">
      <c r="A251" t="s">
        <v>56</v>
      </c>
      <c r="B251" t="s">
        <v>38</v>
      </c>
      <c r="C2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1" t="s">
        <v>33</v>
      </c>
      <c r="E251" t="s">
        <v>43</v>
      </c>
      <c r="F2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1">
        <f>ScenarioStat5[[#This Row],[team-1-win]]+ScenarioStat5[[#This Row],[team-2-win]]</f>
        <v>1</v>
      </c>
    </row>
    <row r="252" spans="1:7" x14ac:dyDescent="0.25">
      <c r="A252" t="s">
        <v>56</v>
      </c>
      <c r="B252" t="s">
        <v>38</v>
      </c>
      <c r="C2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2" t="s">
        <v>33</v>
      </c>
      <c r="E252" t="s">
        <v>45</v>
      </c>
      <c r="F2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2">
        <f>ScenarioStat5[[#This Row],[team-1-win]]+ScenarioStat5[[#This Row],[team-2-win]]</f>
        <v>1</v>
      </c>
    </row>
    <row r="253" spans="1:7" x14ac:dyDescent="0.25">
      <c r="A253" t="s">
        <v>56</v>
      </c>
      <c r="B253" t="s">
        <v>38</v>
      </c>
      <c r="C2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3" t="s">
        <v>33</v>
      </c>
      <c r="E253" t="s">
        <v>63</v>
      </c>
      <c r="F2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3">
        <f>ScenarioStat5[[#This Row],[team-1-win]]+ScenarioStat5[[#This Row],[team-2-win]]</f>
        <v>1</v>
      </c>
    </row>
    <row r="254" spans="1:7" x14ac:dyDescent="0.25">
      <c r="A254" t="s">
        <v>56</v>
      </c>
      <c r="B254" t="s">
        <v>38</v>
      </c>
      <c r="C2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4" t="s">
        <v>33</v>
      </c>
      <c r="E254" t="s">
        <v>227</v>
      </c>
      <c r="F2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4">
        <f>ScenarioStat5[[#This Row],[team-1-win]]+ScenarioStat5[[#This Row],[team-2-win]]</f>
        <v>1</v>
      </c>
    </row>
    <row r="255" spans="1:7" x14ac:dyDescent="0.25">
      <c r="A255" t="s">
        <v>56</v>
      </c>
      <c r="B255" t="s">
        <v>38</v>
      </c>
      <c r="C2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5" t="s">
        <v>43</v>
      </c>
      <c r="E255" t="s">
        <v>45</v>
      </c>
      <c r="F2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5">
        <f>ScenarioStat5[[#This Row],[team-1-win]]+ScenarioStat5[[#This Row],[team-2-win]]</f>
        <v>1</v>
      </c>
    </row>
    <row r="256" spans="1:7" x14ac:dyDescent="0.25">
      <c r="A256" t="s">
        <v>56</v>
      </c>
      <c r="B256" t="s">
        <v>38</v>
      </c>
      <c r="C2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6" t="s">
        <v>43</v>
      </c>
      <c r="E256" t="s">
        <v>63</v>
      </c>
      <c r="F2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6">
        <f>ScenarioStat5[[#This Row],[team-1-win]]+ScenarioStat5[[#This Row],[team-2-win]]</f>
        <v>1</v>
      </c>
    </row>
    <row r="257" spans="1:7" x14ac:dyDescent="0.25">
      <c r="A257" t="s">
        <v>56</v>
      </c>
      <c r="B257" t="s">
        <v>38</v>
      </c>
      <c r="C2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7" t="s">
        <v>43</v>
      </c>
      <c r="E257" t="s">
        <v>227</v>
      </c>
      <c r="F2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7">
        <f>ScenarioStat5[[#This Row],[team-1-win]]+ScenarioStat5[[#This Row],[team-2-win]]</f>
        <v>1</v>
      </c>
    </row>
    <row r="258" spans="1:7" x14ac:dyDescent="0.25">
      <c r="A258" t="s">
        <v>56</v>
      </c>
      <c r="B258" t="s">
        <v>38</v>
      </c>
      <c r="C2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8" t="s">
        <v>45</v>
      </c>
      <c r="E258" t="s">
        <v>63</v>
      </c>
      <c r="F2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8">
        <f>ScenarioStat5[[#This Row],[team-1-win]]+ScenarioStat5[[#This Row],[team-2-win]]</f>
        <v>1</v>
      </c>
    </row>
    <row r="259" spans="1:7" x14ac:dyDescent="0.25">
      <c r="A259" t="s">
        <v>56</v>
      </c>
      <c r="B259" t="s">
        <v>38</v>
      </c>
      <c r="C2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9" t="s">
        <v>45</v>
      </c>
      <c r="E259" t="s">
        <v>227</v>
      </c>
      <c r="F2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9">
        <f>ScenarioStat5[[#This Row],[team-1-win]]+ScenarioStat5[[#This Row],[team-2-win]]</f>
        <v>1</v>
      </c>
    </row>
    <row r="260" spans="1:7" x14ac:dyDescent="0.25">
      <c r="A260" t="s">
        <v>56</v>
      </c>
      <c r="B260" t="s">
        <v>38</v>
      </c>
      <c r="C2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0" t="s">
        <v>63</v>
      </c>
      <c r="E260" t="s">
        <v>227</v>
      </c>
      <c r="F2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0">
        <f>ScenarioStat5[[#This Row],[team-1-win]]+ScenarioStat5[[#This Row],[team-2-win]]</f>
        <v>1</v>
      </c>
    </row>
    <row r="261" spans="1:7" x14ac:dyDescent="0.25">
      <c r="A261" t="s">
        <v>56</v>
      </c>
      <c r="B261" t="s">
        <v>227</v>
      </c>
      <c r="C2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1" t="s">
        <v>48</v>
      </c>
      <c r="E261" t="s">
        <v>33</v>
      </c>
      <c r="F2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1">
        <f>ScenarioStat5[[#This Row],[team-1-win]]+ScenarioStat5[[#This Row],[team-2-win]]</f>
        <v>1</v>
      </c>
    </row>
    <row r="262" spans="1:7" x14ac:dyDescent="0.25">
      <c r="A262" t="s">
        <v>56</v>
      </c>
      <c r="B262" t="s">
        <v>227</v>
      </c>
      <c r="C2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2" t="s">
        <v>48</v>
      </c>
      <c r="E262" t="s">
        <v>43</v>
      </c>
      <c r="F2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2">
        <f>ScenarioStat5[[#This Row],[team-1-win]]+ScenarioStat5[[#This Row],[team-2-win]]</f>
        <v>1</v>
      </c>
    </row>
    <row r="263" spans="1:7" x14ac:dyDescent="0.25">
      <c r="A263" t="s">
        <v>56</v>
      </c>
      <c r="B263" t="s">
        <v>227</v>
      </c>
      <c r="C2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3" t="s">
        <v>48</v>
      </c>
      <c r="E263" t="s">
        <v>45</v>
      </c>
      <c r="F2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3">
        <f>ScenarioStat5[[#This Row],[team-1-win]]+ScenarioStat5[[#This Row],[team-2-win]]</f>
        <v>1</v>
      </c>
    </row>
    <row r="264" spans="1:7" x14ac:dyDescent="0.25">
      <c r="A264" t="s">
        <v>56</v>
      </c>
      <c r="B264" t="s">
        <v>227</v>
      </c>
      <c r="C2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4" t="s">
        <v>48</v>
      </c>
      <c r="E264" t="s">
        <v>63</v>
      </c>
      <c r="F2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4">
        <f>ScenarioStat5[[#This Row],[team-1-win]]+ScenarioStat5[[#This Row],[team-2-win]]</f>
        <v>1</v>
      </c>
    </row>
    <row r="265" spans="1:7" x14ac:dyDescent="0.25">
      <c r="A265" t="s">
        <v>56</v>
      </c>
      <c r="B265" t="s">
        <v>227</v>
      </c>
      <c r="C2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5" t="s">
        <v>48</v>
      </c>
      <c r="E265" t="s">
        <v>38</v>
      </c>
      <c r="F2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5">
        <f>ScenarioStat5[[#This Row],[team-1-win]]+ScenarioStat5[[#This Row],[team-2-win]]</f>
        <v>1</v>
      </c>
    </row>
    <row r="266" spans="1:7" x14ac:dyDescent="0.25">
      <c r="A266" t="s">
        <v>56</v>
      </c>
      <c r="B266" t="s">
        <v>227</v>
      </c>
      <c r="C2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6" t="s">
        <v>33</v>
      </c>
      <c r="E266" t="s">
        <v>43</v>
      </c>
      <c r="F2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6">
        <f>ScenarioStat5[[#This Row],[team-1-win]]+ScenarioStat5[[#This Row],[team-2-win]]</f>
        <v>1</v>
      </c>
    </row>
    <row r="267" spans="1:7" x14ac:dyDescent="0.25">
      <c r="A267" t="s">
        <v>56</v>
      </c>
      <c r="B267" t="s">
        <v>227</v>
      </c>
      <c r="C2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67" t="s">
        <v>33</v>
      </c>
      <c r="E267" t="s">
        <v>45</v>
      </c>
      <c r="F2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67">
        <f>ScenarioStat5[[#This Row],[team-1-win]]+ScenarioStat5[[#This Row],[team-2-win]]</f>
        <v>1</v>
      </c>
    </row>
    <row r="268" spans="1:7" x14ac:dyDescent="0.25">
      <c r="A268" t="s">
        <v>56</v>
      </c>
      <c r="B268" t="s">
        <v>227</v>
      </c>
      <c r="C2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8" t="s">
        <v>33</v>
      </c>
      <c r="E268" t="s">
        <v>63</v>
      </c>
      <c r="F2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8">
        <f>ScenarioStat5[[#This Row],[team-1-win]]+ScenarioStat5[[#This Row],[team-2-win]]</f>
        <v>1</v>
      </c>
    </row>
    <row r="269" spans="1:7" x14ac:dyDescent="0.25">
      <c r="A269" t="s">
        <v>56</v>
      </c>
      <c r="B269" t="s">
        <v>227</v>
      </c>
      <c r="C2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9" t="s">
        <v>33</v>
      </c>
      <c r="E269" t="s">
        <v>38</v>
      </c>
      <c r="F2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9">
        <f>ScenarioStat5[[#This Row],[team-1-win]]+ScenarioStat5[[#This Row],[team-2-win]]</f>
        <v>1</v>
      </c>
    </row>
    <row r="270" spans="1:7" x14ac:dyDescent="0.25">
      <c r="A270" t="s">
        <v>56</v>
      </c>
      <c r="B270" t="s">
        <v>227</v>
      </c>
      <c r="C2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0" t="s">
        <v>43</v>
      </c>
      <c r="E270" t="s">
        <v>45</v>
      </c>
      <c r="F2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0">
        <f>ScenarioStat5[[#This Row],[team-1-win]]+ScenarioStat5[[#This Row],[team-2-win]]</f>
        <v>1</v>
      </c>
    </row>
    <row r="271" spans="1:7" x14ac:dyDescent="0.25">
      <c r="A271" t="s">
        <v>56</v>
      </c>
      <c r="B271" t="s">
        <v>227</v>
      </c>
      <c r="C2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1" t="s">
        <v>43</v>
      </c>
      <c r="E271" t="s">
        <v>63</v>
      </c>
      <c r="F2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1">
        <f>ScenarioStat5[[#This Row],[team-1-win]]+ScenarioStat5[[#This Row],[team-2-win]]</f>
        <v>1</v>
      </c>
    </row>
    <row r="272" spans="1:7" x14ac:dyDescent="0.25">
      <c r="A272" t="s">
        <v>56</v>
      </c>
      <c r="B272" t="s">
        <v>227</v>
      </c>
      <c r="C2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2" t="s">
        <v>43</v>
      </c>
      <c r="E272" t="s">
        <v>38</v>
      </c>
      <c r="F2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2">
        <f>ScenarioStat5[[#This Row],[team-1-win]]+ScenarioStat5[[#This Row],[team-2-win]]</f>
        <v>1</v>
      </c>
    </row>
    <row r="273" spans="1:7" x14ac:dyDescent="0.25">
      <c r="A273" t="s">
        <v>56</v>
      </c>
      <c r="B273" t="s">
        <v>227</v>
      </c>
      <c r="C2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3" t="s">
        <v>45</v>
      </c>
      <c r="E273" t="s">
        <v>63</v>
      </c>
      <c r="F2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3">
        <f>ScenarioStat5[[#This Row],[team-1-win]]+ScenarioStat5[[#This Row],[team-2-win]]</f>
        <v>1</v>
      </c>
    </row>
    <row r="274" spans="1:7" x14ac:dyDescent="0.25">
      <c r="A274" t="s">
        <v>56</v>
      </c>
      <c r="B274" t="s">
        <v>227</v>
      </c>
      <c r="C2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4" t="s">
        <v>45</v>
      </c>
      <c r="E274" t="s">
        <v>38</v>
      </c>
      <c r="F2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4">
        <f>ScenarioStat5[[#This Row],[team-1-win]]+ScenarioStat5[[#This Row],[team-2-win]]</f>
        <v>1</v>
      </c>
    </row>
    <row r="275" spans="1:7" x14ac:dyDescent="0.25">
      <c r="A275" t="s">
        <v>56</v>
      </c>
      <c r="B275" t="s">
        <v>227</v>
      </c>
      <c r="C2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5" t="s">
        <v>63</v>
      </c>
      <c r="E275" t="s">
        <v>38</v>
      </c>
      <c r="F2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5">
        <f>ScenarioStat5[[#This Row],[team-1-win]]+ScenarioStat5[[#This Row],[team-2-win]]</f>
        <v>1</v>
      </c>
    </row>
    <row r="276" spans="1:7" x14ac:dyDescent="0.25">
      <c r="A276" t="s">
        <v>48</v>
      </c>
      <c r="B276" t="s">
        <v>33</v>
      </c>
      <c r="C2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6" t="s">
        <v>43</v>
      </c>
      <c r="E276" t="s">
        <v>45</v>
      </c>
      <c r="F2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6">
        <f>ScenarioStat5[[#This Row],[team-1-win]]+ScenarioStat5[[#This Row],[team-2-win]]</f>
        <v>1</v>
      </c>
    </row>
    <row r="277" spans="1:7" x14ac:dyDescent="0.25">
      <c r="A277" t="s">
        <v>48</v>
      </c>
      <c r="B277" t="s">
        <v>33</v>
      </c>
      <c r="C2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7" t="s">
        <v>43</v>
      </c>
      <c r="E277" t="s">
        <v>63</v>
      </c>
      <c r="F2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7">
        <f>ScenarioStat5[[#This Row],[team-1-win]]+ScenarioStat5[[#This Row],[team-2-win]]</f>
        <v>1</v>
      </c>
    </row>
    <row r="278" spans="1:7" x14ac:dyDescent="0.25">
      <c r="A278" t="s">
        <v>48</v>
      </c>
      <c r="B278" t="s">
        <v>33</v>
      </c>
      <c r="C2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8" t="s">
        <v>43</v>
      </c>
      <c r="E278" t="s">
        <v>38</v>
      </c>
      <c r="F2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8">
        <f>ScenarioStat5[[#This Row],[team-1-win]]+ScenarioStat5[[#This Row],[team-2-win]]</f>
        <v>1</v>
      </c>
    </row>
    <row r="279" spans="1:7" x14ac:dyDescent="0.25">
      <c r="A279" t="s">
        <v>48</v>
      </c>
      <c r="B279" t="s">
        <v>33</v>
      </c>
      <c r="C2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9" t="s">
        <v>43</v>
      </c>
      <c r="E279" t="s">
        <v>227</v>
      </c>
      <c r="F2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9">
        <f>ScenarioStat5[[#This Row],[team-1-win]]+ScenarioStat5[[#This Row],[team-2-win]]</f>
        <v>1</v>
      </c>
    </row>
    <row r="280" spans="1:7" x14ac:dyDescent="0.25">
      <c r="A280" t="s">
        <v>48</v>
      </c>
      <c r="B280" t="s">
        <v>33</v>
      </c>
      <c r="C2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0" t="s">
        <v>45</v>
      </c>
      <c r="E280" t="s">
        <v>63</v>
      </c>
      <c r="F2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0">
        <f>ScenarioStat5[[#This Row],[team-1-win]]+ScenarioStat5[[#This Row],[team-2-win]]</f>
        <v>1</v>
      </c>
    </row>
    <row r="281" spans="1:7" x14ac:dyDescent="0.25">
      <c r="A281" t="s">
        <v>48</v>
      </c>
      <c r="B281" t="s">
        <v>33</v>
      </c>
      <c r="C2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1" t="s">
        <v>45</v>
      </c>
      <c r="E281" t="s">
        <v>38</v>
      </c>
      <c r="F2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1">
        <f>ScenarioStat5[[#This Row],[team-1-win]]+ScenarioStat5[[#This Row],[team-2-win]]</f>
        <v>1</v>
      </c>
    </row>
    <row r="282" spans="1:7" x14ac:dyDescent="0.25">
      <c r="A282" t="s">
        <v>48</v>
      </c>
      <c r="B282" t="s">
        <v>33</v>
      </c>
      <c r="C2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2" t="s">
        <v>45</v>
      </c>
      <c r="E282" t="s">
        <v>227</v>
      </c>
      <c r="F2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2">
        <f>ScenarioStat5[[#This Row],[team-1-win]]+ScenarioStat5[[#This Row],[team-2-win]]</f>
        <v>1</v>
      </c>
    </row>
    <row r="283" spans="1:7" x14ac:dyDescent="0.25">
      <c r="A283" t="s">
        <v>48</v>
      </c>
      <c r="B283" t="s">
        <v>33</v>
      </c>
      <c r="C2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3" t="s">
        <v>63</v>
      </c>
      <c r="E283" t="s">
        <v>38</v>
      </c>
      <c r="F2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3">
        <f>ScenarioStat5[[#This Row],[team-1-win]]+ScenarioStat5[[#This Row],[team-2-win]]</f>
        <v>1</v>
      </c>
    </row>
    <row r="284" spans="1:7" x14ac:dyDescent="0.25">
      <c r="A284" t="s">
        <v>48</v>
      </c>
      <c r="B284" t="s">
        <v>33</v>
      </c>
      <c r="C2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4" t="s">
        <v>63</v>
      </c>
      <c r="E284" t="s">
        <v>227</v>
      </c>
      <c r="F2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4">
        <f>ScenarioStat5[[#This Row],[team-1-win]]+ScenarioStat5[[#This Row],[team-2-win]]</f>
        <v>1</v>
      </c>
    </row>
    <row r="285" spans="1:7" x14ac:dyDescent="0.25">
      <c r="A285" t="s">
        <v>48</v>
      </c>
      <c r="B285" t="s">
        <v>33</v>
      </c>
      <c r="C2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5" t="s">
        <v>38</v>
      </c>
      <c r="E285" t="s">
        <v>227</v>
      </c>
      <c r="F2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5">
        <f>ScenarioStat5[[#This Row],[team-1-win]]+ScenarioStat5[[#This Row],[team-2-win]]</f>
        <v>1</v>
      </c>
    </row>
    <row r="286" spans="1:7" x14ac:dyDescent="0.25">
      <c r="A286" t="s">
        <v>48</v>
      </c>
      <c r="B286" t="s">
        <v>43</v>
      </c>
      <c r="C2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6" t="s">
        <v>33</v>
      </c>
      <c r="E286" t="s">
        <v>45</v>
      </c>
      <c r="F2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6">
        <f>ScenarioStat5[[#This Row],[team-1-win]]+ScenarioStat5[[#This Row],[team-2-win]]</f>
        <v>1</v>
      </c>
    </row>
    <row r="287" spans="1:7" x14ac:dyDescent="0.25">
      <c r="A287" t="s">
        <v>48</v>
      </c>
      <c r="B287" t="s">
        <v>43</v>
      </c>
      <c r="C2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7" t="s">
        <v>33</v>
      </c>
      <c r="E287" t="s">
        <v>63</v>
      </c>
      <c r="F2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7">
        <f>ScenarioStat5[[#This Row],[team-1-win]]+ScenarioStat5[[#This Row],[team-2-win]]</f>
        <v>1</v>
      </c>
    </row>
    <row r="288" spans="1:7" x14ac:dyDescent="0.25">
      <c r="A288" t="s">
        <v>48</v>
      </c>
      <c r="B288" t="s">
        <v>43</v>
      </c>
      <c r="C2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8" t="s">
        <v>33</v>
      </c>
      <c r="E288" t="s">
        <v>38</v>
      </c>
      <c r="F2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8">
        <f>ScenarioStat5[[#This Row],[team-1-win]]+ScenarioStat5[[#This Row],[team-2-win]]</f>
        <v>1</v>
      </c>
    </row>
    <row r="289" spans="1:7" x14ac:dyDescent="0.25">
      <c r="A289" t="s">
        <v>48</v>
      </c>
      <c r="B289" t="s">
        <v>43</v>
      </c>
      <c r="C28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9" t="s">
        <v>33</v>
      </c>
      <c r="E289" t="s">
        <v>227</v>
      </c>
      <c r="F28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9">
        <f>ScenarioStat5[[#This Row],[team-1-win]]+ScenarioStat5[[#This Row],[team-2-win]]</f>
        <v>1</v>
      </c>
    </row>
    <row r="290" spans="1:7" x14ac:dyDescent="0.25">
      <c r="A290" t="s">
        <v>48</v>
      </c>
      <c r="B290" t="s">
        <v>43</v>
      </c>
      <c r="C2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0" t="s">
        <v>45</v>
      </c>
      <c r="E290" t="s">
        <v>63</v>
      </c>
      <c r="F2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0">
        <f>ScenarioStat5[[#This Row],[team-1-win]]+ScenarioStat5[[#This Row],[team-2-win]]</f>
        <v>1</v>
      </c>
    </row>
    <row r="291" spans="1:7" x14ac:dyDescent="0.25">
      <c r="A291" t="s">
        <v>48</v>
      </c>
      <c r="B291" t="s">
        <v>43</v>
      </c>
      <c r="C2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1" t="s">
        <v>45</v>
      </c>
      <c r="E291" t="s">
        <v>38</v>
      </c>
      <c r="F2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1">
        <f>ScenarioStat5[[#This Row],[team-1-win]]+ScenarioStat5[[#This Row],[team-2-win]]</f>
        <v>1</v>
      </c>
    </row>
    <row r="292" spans="1:7" x14ac:dyDescent="0.25">
      <c r="A292" t="s">
        <v>48</v>
      </c>
      <c r="B292" t="s">
        <v>43</v>
      </c>
      <c r="C2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2" t="s">
        <v>45</v>
      </c>
      <c r="E292" t="s">
        <v>227</v>
      </c>
      <c r="F2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2">
        <f>ScenarioStat5[[#This Row],[team-1-win]]+ScenarioStat5[[#This Row],[team-2-win]]</f>
        <v>1</v>
      </c>
    </row>
    <row r="293" spans="1:7" x14ac:dyDescent="0.25">
      <c r="A293" t="s">
        <v>48</v>
      </c>
      <c r="B293" t="s">
        <v>43</v>
      </c>
      <c r="C2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3" t="s">
        <v>63</v>
      </c>
      <c r="E293" t="s">
        <v>38</v>
      </c>
      <c r="F2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3">
        <f>ScenarioStat5[[#This Row],[team-1-win]]+ScenarioStat5[[#This Row],[team-2-win]]</f>
        <v>1</v>
      </c>
    </row>
    <row r="294" spans="1:7" x14ac:dyDescent="0.25">
      <c r="A294" t="s">
        <v>48</v>
      </c>
      <c r="B294" t="s">
        <v>43</v>
      </c>
      <c r="C2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4" t="s">
        <v>63</v>
      </c>
      <c r="E294" t="s">
        <v>227</v>
      </c>
      <c r="F2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4">
        <f>ScenarioStat5[[#This Row],[team-1-win]]+ScenarioStat5[[#This Row],[team-2-win]]</f>
        <v>1</v>
      </c>
    </row>
    <row r="295" spans="1:7" x14ac:dyDescent="0.25">
      <c r="A295" t="s">
        <v>48</v>
      </c>
      <c r="B295" t="s">
        <v>43</v>
      </c>
      <c r="C2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5" t="s">
        <v>38</v>
      </c>
      <c r="E295" t="s">
        <v>227</v>
      </c>
      <c r="F2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5">
        <f>ScenarioStat5[[#This Row],[team-1-win]]+ScenarioStat5[[#This Row],[team-2-win]]</f>
        <v>1</v>
      </c>
    </row>
    <row r="296" spans="1:7" x14ac:dyDescent="0.25">
      <c r="A296" t="s">
        <v>48</v>
      </c>
      <c r="B296" t="s">
        <v>45</v>
      </c>
      <c r="C2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6" t="s">
        <v>33</v>
      </c>
      <c r="E296" t="s">
        <v>43</v>
      </c>
      <c r="F2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6">
        <f>ScenarioStat5[[#This Row],[team-1-win]]+ScenarioStat5[[#This Row],[team-2-win]]</f>
        <v>1</v>
      </c>
    </row>
    <row r="297" spans="1:7" x14ac:dyDescent="0.25">
      <c r="A297" t="s">
        <v>48</v>
      </c>
      <c r="B297" t="s">
        <v>45</v>
      </c>
      <c r="C2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7" t="s">
        <v>33</v>
      </c>
      <c r="E297" t="s">
        <v>63</v>
      </c>
      <c r="F2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7">
        <f>ScenarioStat5[[#This Row],[team-1-win]]+ScenarioStat5[[#This Row],[team-2-win]]</f>
        <v>1</v>
      </c>
    </row>
    <row r="298" spans="1:7" x14ac:dyDescent="0.25">
      <c r="A298" t="s">
        <v>48</v>
      </c>
      <c r="B298" t="s">
        <v>45</v>
      </c>
      <c r="C2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8" t="s">
        <v>33</v>
      </c>
      <c r="E298" t="s">
        <v>38</v>
      </c>
      <c r="F2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8">
        <f>ScenarioStat5[[#This Row],[team-1-win]]+ScenarioStat5[[#This Row],[team-2-win]]</f>
        <v>1</v>
      </c>
    </row>
    <row r="299" spans="1:7" x14ac:dyDescent="0.25">
      <c r="A299" t="s">
        <v>48</v>
      </c>
      <c r="B299" t="s">
        <v>45</v>
      </c>
      <c r="C2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9" t="s">
        <v>33</v>
      </c>
      <c r="E299" t="s">
        <v>227</v>
      </c>
      <c r="F2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9">
        <f>ScenarioStat5[[#This Row],[team-1-win]]+ScenarioStat5[[#This Row],[team-2-win]]</f>
        <v>1</v>
      </c>
    </row>
    <row r="300" spans="1:7" x14ac:dyDescent="0.25">
      <c r="A300" t="s">
        <v>48</v>
      </c>
      <c r="B300" t="s">
        <v>45</v>
      </c>
      <c r="C3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0" t="s">
        <v>43</v>
      </c>
      <c r="E300" t="s">
        <v>63</v>
      </c>
      <c r="F3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0">
        <f>ScenarioStat5[[#This Row],[team-1-win]]+ScenarioStat5[[#This Row],[team-2-win]]</f>
        <v>1</v>
      </c>
    </row>
    <row r="301" spans="1:7" x14ac:dyDescent="0.25">
      <c r="A301" t="s">
        <v>48</v>
      </c>
      <c r="B301" t="s">
        <v>45</v>
      </c>
      <c r="C3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1" t="s">
        <v>43</v>
      </c>
      <c r="E301" t="s">
        <v>38</v>
      </c>
      <c r="F3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1">
        <f>ScenarioStat5[[#This Row],[team-1-win]]+ScenarioStat5[[#This Row],[team-2-win]]</f>
        <v>1</v>
      </c>
    </row>
    <row r="302" spans="1:7" x14ac:dyDescent="0.25">
      <c r="A302" t="s">
        <v>48</v>
      </c>
      <c r="B302" t="s">
        <v>45</v>
      </c>
      <c r="C3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2" t="s">
        <v>43</v>
      </c>
      <c r="E302" t="s">
        <v>227</v>
      </c>
      <c r="F3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2">
        <f>ScenarioStat5[[#This Row],[team-1-win]]+ScenarioStat5[[#This Row],[team-2-win]]</f>
        <v>1</v>
      </c>
    </row>
    <row r="303" spans="1:7" x14ac:dyDescent="0.25">
      <c r="A303" t="s">
        <v>48</v>
      </c>
      <c r="B303" t="s">
        <v>45</v>
      </c>
      <c r="C3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3" t="s">
        <v>63</v>
      </c>
      <c r="E303" t="s">
        <v>38</v>
      </c>
      <c r="F3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3">
        <f>ScenarioStat5[[#This Row],[team-1-win]]+ScenarioStat5[[#This Row],[team-2-win]]</f>
        <v>1</v>
      </c>
    </row>
    <row r="304" spans="1:7" x14ac:dyDescent="0.25">
      <c r="A304" t="s">
        <v>48</v>
      </c>
      <c r="B304" t="s">
        <v>45</v>
      </c>
      <c r="C3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4" t="s">
        <v>63</v>
      </c>
      <c r="E304" t="s">
        <v>227</v>
      </c>
      <c r="F3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4">
        <f>ScenarioStat5[[#This Row],[team-1-win]]+ScenarioStat5[[#This Row],[team-2-win]]</f>
        <v>1</v>
      </c>
    </row>
    <row r="305" spans="1:7" x14ac:dyDescent="0.25">
      <c r="A305" t="s">
        <v>48</v>
      </c>
      <c r="B305" t="s">
        <v>45</v>
      </c>
      <c r="C3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5" t="s">
        <v>38</v>
      </c>
      <c r="E305" t="s">
        <v>227</v>
      </c>
      <c r="F3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5">
        <f>ScenarioStat5[[#This Row],[team-1-win]]+ScenarioStat5[[#This Row],[team-2-win]]</f>
        <v>1</v>
      </c>
    </row>
    <row r="306" spans="1:7" x14ac:dyDescent="0.25">
      <c r="A306" t="s">
        <v>48</v>
      </c>
      <c r="B306" t="s">
        <v>63</v>
      </c>
      <c r="C3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6" t="s">
        <v>33</v>
      </c>
      <c r="E306" t="s">
        <v>43</v>
      </c>
      <c r="F3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6">
        <f>ScenarioStat5[[#This Row],[team-1-win]]+ScenarioStat5[[#This Row],[team-2-win]]</f>
        <v>1</v>
      </c>
    </row>
    <row r="307" spans="1:7" x14ac:dyDescent="0.25">
      <c r="A307" t="s">
        <v>48</v>
      </c>
      <c r="B307" t="s">
        <v>63</v>
      </c>
      <c r="C3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7" t="s">
        <v>33</v>
      </c>
      <c r="E307" t="s">
        <v>45</v>
      </c>
      <c r="F3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7">
        <f>ScenarioStat5[[#This Row],[team-1-win]]+ScenarioStat5[[#This Row],[team-2-win]]</f>
        <v>1</v>
      </c>
    </row>
    <row r="308" spans="1:7" x14ac:dyDescent="0.25">
      <c r="A308" t="s">
        <v>48</v>
      </c>
      <c r="B308" t="s">
        <v>63</v>
      </c>
      <c r="C3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8" t="s">
        <v>33</v>
      </c>
      <c r="E308" t="s">
        <v>38</v>
      </c>
      <c r="F3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8">
        <f>ScenarioStat5[[#This Row],[team-1-win]]+ScenarioStat5[[#This Row],[team-2-win]]</f>
        <v>1</v>
      </c>
    </row>
    <row r="309" spans="1:7" x14ac:dyDescent="0.25">
      <c r="A309" t="s">
        <v>48</v>
      </c>
      <c r="B309" t="s">
        <v>63</v>
      </c>
      <c r="C3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9" t="s">
        <v>33</v>
      </c>
      <c r="E309" t="s">
        <v>227</v>
      </c>
      <c r="F3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9">
        <f>ScenarioStat5[[#This Row],[team-1-win]]+ScenarioStat5[[#This Row],[team-2-win]]</f>
        <v>1</v>
      </c>
    </row>
    <row r="310" spans="1:7" x14ac:dyDescent="0.25">
      <c r="A310" t="s">
        <v>48</v>
      </c>
      <c r="B310" t="s">
        <v>63</v>
      </c>
      <c r="C3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0" t="s">
        <v>43</v>
      </c>
      <c r="E310" t="s">
        <v>45</v>
      </c>
      <c r="F3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0">
        <f>ScenarioStat5[[#This Row],[team-1-win]]+ScenarioStat5[[#This Row],[team-2-win]]</f>
        <v>1</v>
      </c>
    </row>
    <row r="311" spans="1:7" x14ac:dyDescent="0.25">
      <c r="A311" t="s">
        <v>48</v>
      </c>
      <c r="B311" t="s">
        <v>63</v>
      </c>
      <c r="C3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1" t="s">
        <v>43</v>
      </c>
      <c r="E311" t="s">
        <v>38</v>
      </c>
      <c r="F3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1">
        <f>ScenarioStat5[[#This Row],[team-1-win]]+ScenarioStat5[[#This Row],[team-2-win]]</f>
        <v>1</v>
      </c>
    </row>
    <row r="312" spans="1:7" x14ac:dyDescent="0.25">
      <c r="A312" t="s">
        <v>48</v>
      </c>
      <c r="B312" t="s">
        <v>63</v>
      </c>
      <c r="C3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2" t="s">
        <v>43</v>
      </c>
      <c r="E312" t="s">
        <v>227</v>
      </c>
      <c r="F3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2">
        <f>ScenarioStat5[[#This Row],[team-1-win]]+ScenarioStat5[[#This Row],[team-2-win]]</f>
        <v>1</v>
      </c>
    </row>
    <row r="313" spans="1:7" x14ac:dyDescent="0.25">
      <c r="A313" t="s">
        <v>48</v>
      </c>
      <c r="B313" t="s">
        <v>63</v>
      </c>
      <c r="C3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3" t="s">
        <v>45</v>
      </c>
      <c r="E313" t="s">
        <v>38</v>
      </c>
      <c r="F3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3">
        <f>ScenarioStat5[[#This Row],[team-1-win]]+ScenarioStat5[[#This Row],[team-2-win]]</f>
        <v>1</v>
      </c>
    </row>
    <row r="314" spans="1:7" x14ac:dyDescent="0.25">
      <c r="A314" t="s">
        <v>48</v>
      </c>
      <c r="B314" t="s">
        <v>63</v>
      </c>
      <c r="C3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4" t="s">
        <v>45</v>
      </c>
      <c r="E314" t="s">
        <v>227</v>
      </c>
      <c r="F3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4">
        <f>ScenarioStat5[[#This Row],[team-1-win]]+ScenarioStat5[[#This Row],[team-2-win]]</f>
        <v>1</v>
      </c>
    </row>
    <row r="315" spans="1:7" x14ac:dyDescent="0.25">
      <c r="A315" t="s">
        <v>48</v>
      </c>
      <c r="B315" t="s">
        <v>63</v>
      </c>
      <c r="C3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5" t="s">
        <v>38</v>
      </c>
      <c r="E315" t="s">
        <v>227</v>
      </c>
      <c r="F3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5">
        <f>ScenarioStat5[[#This Row],[team-1-win]]+ScenarioStat5[[#This Row],[team-2-win]]</f>
        <v>1</v>
      </c>
    </row>
    <row r="316" spans="1:7" x14ac:dyDescent="0.25">
      <c r="A316" t="s">
        <v>48</v>
      </c>
      <c r="B316" t="s">
        <v>38</v>
      </c>
      <c r="C3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6" t="s">
        <v>33</v>
      </c>
      <c r="E316" t="s">
        <v>43</v>
      </c>
      <c r="F3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6">
        <f>ScenarioStat5[[#This Row],[team-1-win]]+ScenarioStat5[[#This Row],[team-2-win]]</f>
        <v>1</v>
      </c>
    </row>
    <row r="317" spans="1:7" x14ac:dyDescent="0.25">
      <c r="A317" t="s">
        <v>48</v>
      </c>
      <c r="B317" t="s">
        <v>38</v>
      </c>
      <c r="C3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7" t="s">
        <v>33</v>
      </c>
      <c r="E317" t="s">
        <v>45</v>
      </c>
      <c r="F3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7">
        <f>ScenarioStat5[[#This Row],[team-1-win]]+ScenarioStat5[[#This Row],[team-2-win]]</f>
        <v>1</v>
      </c>
    </row>
    <row r="318" spans="1:7" x14ac:dyDescent="0.25">
      <c r="A318" t="s">
        <v>48</v>
      </c>
      <c r="B318" t="s">
        <v>38</v>
      </c>
      <c r="C3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8" t="s">
        <v>33</v>
      </c>
      <c r="E318" t="s">
        <v>63</v>
      </c>
      <c r="F3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8">
        <f>ScenarioStat5[[#This Row],[team-1-win]]+ScenarioStat5[[#This Row],[team-2-win]]</f>
        <v>1</v>
      </c>
    </row>
    <row r="319" spans="1:7" x14ac:dyDescent="0.25">
      <c r="A319" t="s">
        <v>48</v>
      </c>
      <c r="B319" t="s">
        <v>38</v>
      </c>
      <c r="C3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9" t="s">
        <v>33</v>
      </c>
      <c r="E319" t="s">
        <v>227</v>
      </c>
      <c r="F3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9">
        <f>ScenarioStat5[[#This Row],[team-1-win]]+ScenarioStat5[[#This Row],[team-2-win]]</f>
        <v>1</v>
      </c>
    </row>
    <row r="320" spans="1:7" x14ac:dyDescent="0.25">
      <c r="A320" t="s">
        <v>48</v>
      </c>
      <c r="B320" t="s">
        <v>38</v>
      </c>
      <c r="C3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0" t="s">
        <v>43</v>
      </c>
      <c r="E320" t="s">
        <v>45</v>
      </c>
      <c r="F3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0">
        <f>ScenarioStat5[[#This Row],[team-1-win]]+ScenarioStat5[[#This Row],[team-2-win]]</f>
        <v>1</v>
      </c>
    </row>
    <row r="321" spans="1:7" x14ac:dyDescent="0.25">
      <c r="A321" t="s">
        <v>48</v>
      </c>
      <c r="B321" t="s">
        <v>38</v>
      </c>
      <c r="C3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1" t="s">
        <v>43</v>
      </c>
      <c r="E321" t="s">
        <v>63</v>
      </c>
      <c r="F3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1">
        <f>ScenarioStat5[[#This Row],[team-1-win]]+ScenarioStat5[[#This Row],[team-2-win]]</f>
        <v>1</v>
      </c>
    </row>
    <row r="322" spans="1:7" x14ac:dyDescent="0.25">
      <c r="A322" t="s">
        <v>48</v>
      </c>
      <c r="B322" t="s">
        <v>38</v>
      </c>
      <c r="C3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2" t="s">
        <v>43</v>
      </c>
      <c r="E322" t="s">
        <v>227</v>
      </c>
      <c r="F3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2">
        <f>ScenarioStat5[[#This Row],[team-1-win]]+ScenarioStat5[[#This Row],[team-2-win]]</f>
        <v>1</v>
      </c>
    </row>
    <row r="323" spans="1:7" x14ac:dyDescent="0.25">
      <c r="A323" t="s">
        <v>48</v>
      </c>
      <c r="B323" t="s">
        <v>38</v>
      </c>
      <c r="C3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3" t="s">
        <v>45</v>
      </c>
      <c r="E323" t="s">
        <v>63</v>
      </c>
      <c r="F3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3">
        <f>ScenarioStat5[[#This Row],[team-1-win]]+ScenarioStat5[[#This Row],[team-2-win]]</f>
        <v>1</v>
      </c>
    </row>
    <row r="324" spans="1:7" x14ac:dyDescent="0.25">
      <c r="A324" t="s">
        <v>48</v>
      </c>
      <c r="B324" t="s">
        <v>38</v>
      </c>
      <c r="C3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4" t="s">
        <v>45</v>
      </c>
      <c r="E324" t="s">
        <v>227</v>
      </c>
      <c r="F3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4">
        <f>ScenarioStat5[[#This Row],[team-1-win]]+ScenarioStat5[[#This Row],[team-2-win]]</f>
        <v>1</v>
      </c>
    </row>
    <row r="325" spans="1:7" x14ac:dyDescent="0.25">
      <c r="A325" t="s">
        <v>48</v>
      </c>
      <c r="B325" t="s">
        <v>38</v>
      </c>
      <c r="C3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5" t="s">
        <v>63</v>
      </c>
      <c r="E325" t="s">
        <v>227</v>
      </c>
      <c r="F3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5">
        <f>ScenarioStat5[[#This Row],[team-1-win]]+ScenarioStat5[[#This Row],[team-2-win]]</f>
        <v>1</v>
      </c>
    </row>
    <row r="326" spans="1:7" x14ac:dyDescent="0.25">
      <c r="A326" t="s">
        <v>48</v>
      </c>
      <c r="B326" t="s">
        <v>227</v>
      </c>
      <c r="C3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6" t="s">
        <v>33</v>
      </c>
      <c r="E326" t="s">
        <v>43</v>
      </c>
      <c r="F3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6">
        <f>ScenarioStat5[[#This Row],[team-1-win]]+ScenarioStat5[[#This Row],[team-2-win]]</f>
        <v>1</v>
      </c>
    </row>
    <row r="327" spans="1:7" x14ac:dyDescent="0.25">
      <c r="A327" t="s">
        <v>48</v>
      </c>
      <c r="B327" t="s">
        <v>227</v>
      </c>
      <c r="C3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27" t="s">
        <v>33</v>
      </c>
      <c r="E327" t="s">
        <v>45</v>
      </c>
      <c r="F3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27">
        <f>ScenarioStat5[[#This Row],[team-1-win]]+ScenarioStat5[[#This Row],[team-2-win]]</f>
        <v>1</v>
      </c>
    </row>
    <row r="328" spans="1:7" x14ac:dyDescent="0.25">
      <c r="A328" t="s">
        <v>48</v>
      </c>
      <c r="B328" t="s">
        <v>227</v>
      </c>
      <c r="C3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8" t="s">
        <v>33</v>
      </c>
      <c r="E328" t="s">
        <v>63</v>
      </c>
      <c r="F3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8">
        <f>ScenarioStat5[[#This Row],[team-1-win]]+ScenarioStat5[[#This Row],[team-2-win]]</f>
        <v>1</v>
      </c>
    </row>
    <row r="329" spans="1:7" x14ac:dyDescent="0.25">
      <c r="A329" t="s">
        <v>48</v>
      </c>
      <c r="B329" t="s">
        <v>227</v>
      </c>
      <c r="C3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9" t="s">
        <v>33</v>
      </c>
      <c r="E329" t="s">
        <v>38</v>
      </c>
      <c r="F3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9">
        <f>ScenarioStat5[[#This Row],[team-1-win]]+ScenarioStat5[[#This Row],[team-2-win]]</f>
        <v>1</v>
      </c>
    </row>
    <row r="330" spans="1:7" x14ac:dyDescent="0.25">
      <c r="A330" t="s">
        <v>48</v>
      </c>
      <c r="B330" t="s">
        <v>227</v>
      </c>
      <c r="C3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0" t="s">
        <v>43</v>
      </c>
      <c r="E330" t="s">
        <v>45</v>
      </c>
      <c r="F3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0">
        <f>ScenarioStat5[[#This Row],[team-1-win]]+ScenarioStat5[[#This Row],[team-2-win]]</f>
        <v>1</v>
      </c>
    </row>
    <row r="331" spans="1:7" x14ac:dyDescent="0.25">
      <c r="A331" t="s">
        <v>48</v>
      </c>
      <c r="B331" t="s">
        <v>227</v>
      </c>
      <c r="C3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1" t="s">
        <v>43</v>
      </c>
      <c r="E331" t="s">
        <v>63</v>
      </c>
      <c r="F3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1">
        <f>ScenarioStat5[[#This Row],[team-1-win]]+ScenarioStat5[[#This Row],[team-2-win]]</f>
        <v>1</v>
      </c>
    </row>
    <row r="332" spans="1:7" x14ac:dyDescent="0.25">
      <c r="A332" t="s">
        <v>48</v>
      </c>
      <c r="B332" t="s">
        <v>227</v>
      </c>
      <c r="C3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2" t="s">
        <v>43</v>
      </c>
      <c r="E332" t="s">
        <v>38</v>
      </c>
      <c r="F3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2">
        <f>ScenarioStat5[[#This Row],[team-1-win]]+ScenarioStat5[[#This Row],[team-2-win]]</f>
        <v>1</v>
      </c>
    </row>
    <row r="333" spans="1:7" x14ac:dyDescent="0.25">
      <c r="A333" t="s">
        <v>48</v>
      </c>
      <c r="B333" t="s">
        <v>227</v>
      </c>
      <c r="C3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3" t="s">
        <v>45</v>
      </c>
      <c r="E333" t="s">
        <v>63</v>
      </c>
      <c r="F3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3">
        <f>ScenarioStat5[[#This Row],[team-1-win]]+ScenarioStat5[[#This Row],[team-2-win]]</f>
        <v>1</v>
      </c>
    </row>
    <row r="334" spans="1:7" x14ac:dyDescent="0.25">
      <c r="A334" t="s">
        <v>48</v>
      </c>
      <c r="B334" t="s">
        <v>227</v>
      </c>
      <c r="C3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4" t="s">
        <v>45</v>
      </c>
      <c r="E334" t="s">
        <v>38</v>
      </c>
      <c r="F3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4">
        <f>ScenarioStat5[[#This Row],[team-1-win]]+ScenarioStat5[[#This Row],[team-2-win]]</f>
        <v>1</v>
      </c>
    </row>
    <row r="335" spans="1:7" x14ac:dyDescent="0.25">
      <c r="A335" t="s">
        <v>48</v>
      </c>
      <c r="B335" t="s">
        <v>227</v>
      </c>
      <c r="C3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5" t="s">
        <v>63</v>
      </c>
      <c r="E335" t="s">
        <v>38</v>
      </c>
      <c r="F3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5">
        <f>ScenarioStat5[[#This Row],[team-1-win]]+ScenarioStat5[[#This Row],[team-2-win]]</f>
        <v>1</v>
      </c>
    </row>
    <row r="336" spans="1:7" x14ac:dyDescent="0.25">
      <c r="A336" t="s">
        <v>33</v>
      </c>
      <c r="B336" t="s">
        <v>43</v>
      </c>
      <c r="C3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6" t="s">
        <v>45</v>
      </c>
      <c r="E336" t="s">
        <v>63</v>
      </c>
      <c r="F3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6">
        <f>ScenarioStat5[[#This Row],[team-1-win]]+ScenarioStat5[[#This Row],[team-2-win]]</f>
        <v>1</v>
      </c>
    </row>
    <row r="337" spans="1:7" x14ac:dyDescent="0.25">
      <c r="A337" t="s">
        <v>33</v>
      </c>
      <c r="B337" t="s">
        <v>43</v>
      </c>
      <c r="C3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7" t="s">
        <v>45</v>
      </c>
      <c r="E337" t="s">
        <v>38</v>
      </c>
      <c r="F3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7">
        <f>ScenarioStat5[[#This Row],[team-1-win]]+ScenarioStat5[[#This Row],[team-2-win]]</f>
        <v>1</v>
      </c>
    </row>
    <row r="338" spans="1:7" x14ac:dyDescent="0.25">
      <c r="A338" t="s">
        <v>33</v>
      </c>
      <c r="B338" t="s">
        <v>43</v>
      </c>
      <c r="C3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8" t="s">
        <v>45</v>
      </c>
      <c r="E338" t="s">
        <v>227</v>
      </c>
      <c r="F3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8">
        <f>ScenarioStat5[[#This Row],[team-1-win]]+ScenarioStat5[[#This Row],[team-2-win]]</f>
        <v>1</v>
      </c>
    </row>
    <row r="339" spans="1:7" x14ac:dyDescent="0.25">
      <c r="A339" t="s">
        <v>33</v>
      </c>
      <c r="B339" t="s">
        <v>43</v>
      </c>
      <c r="C3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39" t="s">
        <v>63</v>
      </c>
      <c r="E339" t="s">
        <v>38</v>
      </c>
      <c r="F3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39">
        <f>ScenarioStat5[[#This Row],[team-1-win]]+ScenarioStat5[[#This Row],[team-2-win]]</f>
        <v>1</v>
      </c>
    </row>
    <row r="340" spans="1:7" x14ac:dyDescent="0.25">
      <c r="A340" t="s">
        <v>33</v>
      </c>
      <c r="B340" t="s">
        <v>43</v>
      </c>
      <c r="C3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0" t="s">
        <v>63</v>
      </c>
      <c r="E340" t="s">
        <v>227</v>
      </c>
      <c r="F3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0">
        <f>ScenarioStat5[[#This Row],[team-1-win]]+ScenarioStat5[[#This Row],[team-2-win]]</f>
        <v>1</v>
      </c>
    </row>
    <row r="341" spans="1:7" x14ac:dyDescent="0.25">
      <c r="A341" t="s">
        <v>33</v>
      </c>
      <c r="B341" t="s">
        <v>43</v>
      </c>
      <c r="C3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1" t="s">
        <v>38</v>
      </c>
      <c r="E341" t="s">
        <v>227</v>
      </c>
      <c r="F3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1">
        <f>ScenarioStat5[[#This Row],[team-1-win]]+ScenarioStat5[[#This Row],[team-2-win]]</f>
        <v>1</v>
      </c>
    </row>
    <row r="342" spans="1:7" x14ac:dyDescent="0.25">
      <c r="A342" t="s">
        <v>33</v>
      </c>
      <c r="B342" t="s">
        <v>45</v>
      </c>
      <c r="C3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2" t="s">
        <v>43</v>
      </c>
      <c r="E342" t="s">
        <v>63</v>
      </c>
      <c r="F3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2">
        <f>ScenarioStat5[[#This Row],[team-1-win]]+ScenarioStat5[[#This Row],[team-2-win]]</f>
        <v>1</v>
      </c>
    </row>
    <row r="343" spans="1:7" x14ac:dyDescent="0.25">
      <c r="A343" t="s">
        <v>33</v>
      </c>
      <c r="B343" t="s">
        <v>45</v>
      </c>
      <c r="C3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3" t="s">
        <v>43</v>
      </c>
      <c r="E343" t="s">
        <v>38</v>
      </c>
      <c r="F3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3">
        <f>ScenarioStat5[[#This Row],[team-1-win]]+ScenarioStat5[[#This Row],[team-2-win]]</f>
        <v>1</v>
      </c>
    </row>
    <row r="344" spans="1:7" x14ac:dyDescent="0.25">
      <c r="A344" t="s">
        <v>33</v>
      </c>
      <c r="B344" t="s">
        <v>45</v>
      </c>
      <c r="C3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4" t="s">
        <v>43</v>
      </c>
      <c r="E344" t="s">
        <v>227</v>
      </c>
      <c r="F3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4">
        <f>ScenarioStat5[[#This Row],[team-1-win]]+ScenarioStat5[[#This Row],[team-2-win]]</f>
        <v>1</v>
      </c>
    </row>
    <row r="345" spans="1:7" x14ac:dyDescent="0.25">
      <c r="A345" t="s">
        <v>33</v>
      </c>
      <c r="B345" t="s">
        <v>45</v>
      </c>
      <c r="C3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5" t="s">
        <v>63</v>
      </c>
      <c r="E345" t="s">
        <v>38</v>
      </c>
      <c r="F3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5">
        <f>ScenarioStat5[[#This Row],[team-1-win]]+ScenarioStat5[[#This Row],[team-2-win]]</f>
        <v>1</v>
      </c>
    </row>
    <row r="346" spans="1:7" x14ac:dyDescent="0.25">
      <c r="A346" t="s">
        <v>33</v>
      </c>
      <c r="B346" t="s">
        <v>45</v>
      </c>
      <c r="C3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6" t="s">
        <v>63</v>
      </c>
      <c r="E346" t="s">
        <v>227</v>
      </c>
      <c r="F3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6">
        <f>ScenarioStat5[[#This Row],[team-1-win]]+ScenarioStat5[[#This Row],[team-2-win]]</f>
        <v>1</v>
      </c>
    </row>
    <row r="347" spans="1:7" x14ac:dyDescent="0.25">
      <c r="A347" t="s">
        <v>33</v>
      </c>
      <c r="B347" t="s">
        <v>45</v>
      </c>
      <c r="C3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7" t="s">
        <v>38</v>
      </c>
      <c r="E347" t="s">
        <v>227</v>
      </c>
      <c r="F3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7">
        <f>ScenarioStat5[[#This Row],[team-1-win]]+ScenarioStat5[[#This Row],[team-2-win]]</f>
        <v>1</v>
      </c>
    </row>
    <row r="348" spans="1:7" x14ac:dyDescent="0.25">
      <c r="A348" t="s">
        <v>33</v>
      </c>
      <c r="B348" t="s">
        <v>63</v>
      </c>
      <c r="C3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8" t="s">
        <v>43</v>
      </c>
      <c r="E348" t="s">
        <v>45</v>
      </c>
      <c r="F3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8">
        <f>ScenarioStat5[[#This Row],[team-1-win]]+ScenarioStat5[[#This Row],[team-2-win]]</f>
        <v>1</v>
      </c>
    </row>
    <row r="349" spans="1:7" x14ac:dyDescent="0.25">
      <c r="A349" t="s">
        <v>33</v>
      </c>
      <c r="B349" t="s">
        <v>63</v>
      </c>
      <c r="C3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9" t="s">
        <v>43</v>
      </c>
      <c r="E349" t="s">
        <v>38</v>
      </c>
      <c r="F3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9">
        <f>ScenarioStat5[[#This Row],[team-1-win]]+ScenarioStat5[[#This Row],[team-2-win]]</f>
        <v>1</v>
      </c>
    </row>
    <row r="350" spans="1:7" x14ac:dyDescent="0.25">
      <c r="A350" t="s">
        <v>33</v>
      </c>
      <c r="B350" t="s">
        <v>63</v>
      </c>
      <c r="C3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0" t="s">
        <v>43</v>
      </c>
      <c r="E350" t="s">
        <v>227</v>
      </c>
      <c r="F3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0">
        <f>ScenarioStat5[[#This Row],[team-1-win]]+ScenarioStat5[[#This Row],[team-2-win]]</f>
        <v>1</v>
      </c>
    </row>
    <row r="351" spans="1:7" x14ac:dyDescent="0.25">
      <c r="A351" t="s">
        <v>33</v>
      </c>
      <c r="B351" t="s">
        <v>63</v>
      </c>
      <c r="C3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1" t="s">
        <v>45</v>
      </c>
      <c r="E351" t="s">
        <v>38</v>
      </c>
      <c r="F3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1">
        <f>ScenarioStat5[[#This Row],[team-1-win]]+ScenarioStat5[[#This Row],[team-2-win]]</f>
        <v>1</v>
      </c>
    </row>
    <row r="352" spans="1:7" x14ac:dyDescent="0.25">
      <c r="A352" t="s">
        <v>33</v>
      </c>
      <c r="B352" t="s">
        <v>63</v>
      </c>
      <c r="C3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2" t="s">
        <v>45</v>
      </c>
      <c r="E352" t="s">
        <v>227</v>
      </c>
      <c r="F3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2">
        <f>ScenarioStat5[[#This Row],[team-1-win]]+ScenarioStat5[[#This Row],[team-2-win]]</f>
        <v>1</v>
      </c>
    </row>
    <row r="353" spans="1:7" x14ac:dyDescent="0.25">
      <c r="A353" t="s">
        <v>33</v>
      </c>
      <c r="B353" t="s">
        <v>63</v>
      </c>
      <c r="C3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3" t="s">
        <v>38</v>
      </c>
      <c r="E353" t="s">
        <v>227</v>
      </c>
      <c r="F3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3">
        <f>ScenarioStat5[[#This Row],[team-1-win]]+ScenarioStat5[[#This Row],[team-2-win]]</f>
        <v>1</v>
      </c>
    </row>
    <row r="354" spans="1:7" x14ac:dyDescent="0.25">
      <c r="A354" t="s">
        <v>33</v>
      </c>
      <c r="B354" t="s">
        <v>38</v>
      </c>
      <c r="C3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4" t="s">
        <v>43</v>
      </c>
      <c r="E354" t="s">
        <v>45</v>
      </c>
      <c r="F3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4">
        <f>ScenarioStat5[[#This Row],[team-1-win]]+ScenarioStat5[[#This Row],[team-2-win]]</f>
        <v>1</v>
      </c>
    </row>
    <row r="355" spans="1:7" x14ac:dyDescent="0.25">
      <c r="A355" t="s">
        <v>33</v>
      </c>
      <c r="B355" t="s">
        <v>38</v>
      </c>
      <c r="C3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5" t="s">
        <v>43</v>
      </c>
      <c r="E355" t="s">
        <v>63</v>
      </c>
      <c r="F3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5">
        <f>ScenarioStat5[[#This Row],[team-1-win]]+ScenarioStat5[[#This Row],[team-2-win]]</f>
        <v>1</v>
      </c>
    </row>
    <row r="356" spans="1:7" x14ac:dyDescent="0.25">
      <c r="A356" t="s">
        <v>33</v>
      </c>
      <c r="B356" t="s">
        <v>38</v>
      </c>
      <c r="C3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6" t="s">
        <v>43</v>
      </c>
      <c r="E356" t="s">
        <v>227</v>
      </c>
      <c r="F3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6">
        <f>ScenarioStat5[[#This Row],[team-1-win]]+ScenarioStat5[[#This Row],[team-2-win]]</f>
        <v>1</v>
      </c>
    </row>
    <row r="357" spans="1:7" x14ac:dyDescent="0.25">
      <c r="A357" t="s">
        <v>33</v>
      </c>
      <c r="B357" t="s">
        <v>38</v>
      </c>
      <c r="C3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7" t="s">
        <v>45</v>
      </c>
      <c r="E357" t="s">
        <v>63</v>
      </c>
      <c r="F3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7">
        <f>ScenarioStat5[[#This Row],[team-1-win]]+ScenarioStat5[[#This Row],[team-2-win]]</f>
        <v>1</v>
      </c>
    </row>
    <row r="358" spans="1:7" x14ac:dyDescent="0.25">
      <c r="A358" t="s">
        <v>33</v>
      </c>
      <c r="B358" t="s">
        <v>38</v>
      </c>
      <c r="C3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8" t="s">
        <v>45</v>
      </c>
      <c r="E358" t="s">
        <v>227</v>
      </c>
      <c r="F3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8">
        <f>ScenarioStat5[[#This Row],[team-1-win]]+ScenarioStat5[[#This Row],[team-2-win]]</f>
        <v>1</v>
      </c>
    </row>
    <row r="359" spans="1:7" x14ac:dyDescent="0.25">
      <c r="A359" t="s">
        <v>33</v>
      </c>
      <c r="B359" t="s">
        <v>38</v>
      </c>
      <c r="C3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9" t="s">
        <v>63</v>
      </c>
      <c r="E359" t="s">
        <v>227</v>
      </c>
      <c r="F3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9">
        <f>ScenarioStat5[[#This Row],[team-1-win]]+ScenarioStat5[[#This Row],[team-2-win]]</f>
        <v>1</v>
      </c>
    </row>
    <row r="360" spans="1:7" x14ac:dyDescent="0.25">
      <c r="A360" t="s">
        <v>33</v>
      </c>
      <c r="B360" t="s">
        <v>227</v>
      </c>
      <c r="C3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0" t="s">
        <v>43</v>
      </c>
      <c r="E360" t="s">
        <v>45</v>
      </c>
      <c r="F3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0">
        <f>ScenarioStat5[[#This Row],[team-1-win]]+ScenarioStat5[[#This Row],[team-2-win]]</f>
        <v>1</v>
      </c>
    </row>
    <row r="361" spans="1:7" x14ac:dyDescent="0.25">
      <c r="A361" t="s">
        <v>33</v>
      </c>
      <c r="B361" t="s">
        <v>227</v>
      </c>
      <c r="C3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1" t="s">
        <v>43</v>
      </c>
      <c r="E361" t="s">
        <v>63</v>
      </c>
      <c r="F3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1">
        <f>ScenarioStat5[[#This Row],[team-1-win]]+ScenarioStat5[[#This Row],[team-2-win]]</f>
        <v>1</v>
      </c>
    </row>
    <row r="362" spans="1:7" x14ac:dyDescent="0.25">
      <c r="A362" t="s">
        <v>33</v>
      </c>
      <c r="B362" t="s">
        <v>227</v>
      </c>
      <c r="C3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2" t="s">
        <v>43</v>
      </c>
      <c r="E362" t="s">
        <v>38</v>
      </c>
      <c r="F3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2">
        <f>ScenarioStat5[[#This Row],[team-1-win]]+ScenarioStat5[[#This Row],[team-2-win]]</f>
        <v>1</v>
      </c>
    </row>
    <row r="363" spans="1:7" x14ac:dyDescent="0.25">
      <c r="A363" t="s">
        <v>33</v>
      </c>
      <c r="B363" t="s">
        <v>227</v>
      </c>
      <c r="C3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3" t="s">
        <v>45</v>
      </c>
      <c r="E363" t="s">
        <v>63</v>
      </c>
      <c r="F3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3">
        <f>ScenarioStat5[[#This Row],[team-1-win]]+ScenarioStat5[[#This Row],[team-2-win]]</f>
        <v>1</v>
      </c>
    </row>
    <row r="364" spans="1:7" x14ac:dyDescent="0.25">
      <c r="A364" t="s">
        <v>33</v>
      </c>
      <c r="B364" t="s">
        <v>227</v>
      </c>
      <c r="C3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4" t="s">
        <v>45</v>
      </c>
      <c r="E364" t="s">
        <v>38</v>
      </c>
      <c r="F3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4">
        <f>ScenarioStat5[[#This Row],[team-1-win]]+ScenarioStat5[[#This Row],[team-2-win]]</f>
        <v>1</v>
      </c>
    </row>
    <row r="365" spans="1:7" x14ac:dyDescent="0.25">
      <c r="A365" t="s">
        <v>33</v>
      </c>
      <c r="B365" t="s">
        <v>227</v>
      </c>
      <c r="C3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5" t="s">
        <v>63</v>
      </c>
      <c r="E365" t="s">
        <v>38</v>
      </c>
      <c r="F3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5">
        <f>ScenarioStat5[[#This Row],[team-1-win]]+ScenarioStat5[[#This Row],[team-2-win]]</f>
        <v>1</v>
      </c>
    </row>
    <row r="366" spans="1:7" x14ac:dyDescent="0.25">
      <c r="A366" t="s">
        <v>43</v>
      </c>
      <c r="B366" t="s">
        <v>45</v>
      </c>
      <c r="C3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6" t="s">
        <v>63</v>
      </c>
      <c r="E366" t="s">
        <v>38</v>
      </c>
      <c r="F3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6">
        <f>ScenarioStat5[[#This Row],[team-1-win]]+ScenarioStat5[[#This Row],[team-2-win]]</f>
        <v>1</v>
      </c>
    </row>
    <row r="367" spans="1:7" x14ac:dyDescent="0.25">
      <c r="A367" t="s">
        <v>43</v>
      </c>
      <c r="B367" t="s">
        <v>45</v>
      </c>
      <c r="C3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7" t="s">
        <v>63</v>
      </c>
      <c r="E367" t="s">
        <v>227</v>
      </c>
      <c r="F3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7">
        <f>ScenarioStat5[[#This Row],[team-1-win]]+ScenarioStat5[[#This Row],[team-2-win]]</f>
        <v>1</v>
      </c>
    </row>
    <row r="368" spans="1:7" x14ac:dyDescent="0.25">
      <c r="A368" t="s">
        <v>43</v>
      </c>
      <c r="B368" t="s">
        <v>45</v>
      </c>
      <c r="C3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8" t="s">
        <v>38</v>
      </c>
      <c r="E368" t="s">
        <v>227</v>
      </c>
      <c r="F3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8">
        <f>ScenarioStat5[[#This Row],[team-1-win]]+ScenarioStat5[[#This Row],[team-2-win]]</f>
        <v>1</v>
      </c>
    </row>
    <row r="369" spans="1:7" x14ac:dyDescent="0.25">
      <c r="A369" t="s">
        <v>43</v>
      </c>
      <c r="B369" t="s">
        <v>63</v>
      </c>
      <c r="C3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9" t="s">
        <v>45</v>
      </c>
      <c r="E369" t="s">
        <v>38</v>
      </c>
      <c r="F3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9">
        <f>ScenarioStat5[[#This Row],[team-1-win]]+ScenarioStat5[[#This Row],[team-2-win]]</f>
        <v>1</v>
      </c>
    </row>
    <row r="370" spans="1:7" x14ac:dyDescent="0.25">
      <c r="A370" t="s">
        <v>43</v>
      </c>
      <c r="B370" t="s">
        <v>63</v>
      </c>
      <c r="C3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0" t="s">
        <v>45</v>
      </c>
      <c r="E370" t="s">
        <v>227</v>
      </c>
      <c r="F3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0">
        <f>ScenarioStat5[[#This Row],[team-1-win]]+ScenarioStat5[[#This Row],[team-2-win]]</f>
        <v>1</v>
      </c>
    </row>
    <row r="371" spans="1:7" x14ac:dyDescent="0.25">
      <c r="A371" t="s">
        <v>43</v>
      </c>
      <c r="B371" t="s">
        <v>63</v>
      </c>
      <c r="C3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1" t="s">
        <v>38</v>
      </c>
      <c r="E371" t="s">
        <v>227</v>
      </c>
      <c r="F3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1">
        <f>ScenarioStat5[[#This Row],[team-1-win]]+ScenarioStat5[[#This Row],[team-2-win]]</f>
        <v>1</v>
      </c>
    </row>
    <row r="372" spans="1:7" x14ac:dyDescent="0.25">
      <c r="A372" t="s">
        <v>43</v>
      </c>
      <c r="B372" t="s">
        <v>38</v>
      </c>
      <c r="C3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2" t="s">
        <v>45</v>
      </c>
      <c r="E372" t="s">
        <v>63</v>
      </c>
      <c r="F3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2">
        <f>ScenarioStat5[[#This Row],[team-1-win]]+ScenarioStat5[[#This Row],[team-2-win]]</f>
        <v>1</v>
      </c>
    </row>
    <row r="373" spans="1:7" x14ac:dyDescent="0.25">
      <c r="A373" t="s">
        <v>43</v>
      </c>
      <c r="B373" t="s">
        <v>38</v>
      </c>
      <c r="C3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3" t="s">
        <v>45</v>
      </c>
      <c r="E373" t="s">
        <v>227</v>
      </c>
      <c r="F3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3">
        <f>ScenarioStat5[[#This Row],[team-1-win]]+ScenarioStat5[[#This Row],[team-2-win]]</f>
        <v>1</v>
      </c>
    </row>
    <row r="374" spans="1:7" x14ac:dyDescent="0.25">
      <c r="A374" t="s">
        <v>43</v>
      </c>
      <c r="B374" t="s">
        <v>38</v>
      </c>
      <c r="C3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4" t="s">
        <v>63</v>
      </c>
      <c r="E374" t="s">
        <v>227</v>
      </c>
      <c r="F3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4">
        <f>ScenarioStat5[[#This Row],[team-1-win]]+ScenarioStat5[[#This Row],[team-2-win]]</f>
        <v>1</v>
      </c>
    </row>
    <row r="375" spans="1:7" x14ac:dyDescent="0.25">
      <c r="A375" t="s">
        <v>43</v>
      </c>
      <c r="B375" t="s">
        <v>227</v>
      </c>
      <c r="C3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5" t="s">
        <v>45</v>
      </c>
      <c r="E375" t="s">
        <v>63</v>
      </c>
      <c r="F3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5">
        <f>ScenarioStat5[[#This Row],[team-1-win]]+ScenarioStat5[[#This Row],[team-2-win]]</f>
        <v>1</v>
      </c>
    </row>
    <row r="376" spans="1:7" x14ac:dyDescent="0.25">
      <c r="A376" t="s">
        <v>43</v>
      </c>
      <c r="B376" t="s">
        <v>227</v>
      </c>
      <c r="C3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6" t="s">
        <v>45</v>
      </c>
      <c r="E376" t="s">
        <v>38</v>
      </c>
      <c r="F3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6">
        <f>ScenarioStat5[[#This Row],[team-1-win]]+ScenarioStat5[[#This Row],[team-2-win]]</f>
        <v>1</v>
      </c>
    </row>
    <row r="377" spans="1:7" x14ac:dyDescent="0.25">
      <c r="A377" t="s">
        <v>43</v>
      </c>
      <c r="B377" t="s">
        <v>227</v>
      </c>
      <c r="C3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7" t="s">
        <v>63</v>
      </c>
      <c r="E377" t="s">
        <v>38</v>
      </c>
      <c r="F3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7">
        <f>ScenarioStat5[[#This Row],[team-1-win]]+ScenarioStat5[[#This Row],[team-2-win]]</f>
        <v>1</v>
      </c>
    </row>
    <row r="378" spans="1:7" x14ac:dyDescent="0.25">
      <c r="A378" t="s">
        <v>45</v>
      </c>
      <c r="B378" t="s">
        <v>63</v>
      </c>
      <c r="C3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8" t="s">
        <v>38</v>
      </c>
      <c r="E378" t="s">
        <v>227</v>
      </c>
      <c r="F3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8">
        <f>ScenarioStat5[[#This Row],[team-1-win]]+ScenarioStat5[[#This Row],[team-2-win]]</f>
        <v>1</v>
      </c>
    </row>
    <row r="379" spans="1:7" x14ac:dyDescent="0.25">
      <c r="A379" t="s">
        <v>45</v>
      </c>
      <c r="B379" t="s">
        <v>38</v>
      </c>
      <c r="C3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9" t="s">
        <v>63</v>
      </c>
      <c r="E379" t="s">
        <v>227</v>
      </c>
      <c r="F3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9">
        <f>ScenarioStat5[[#This Row],[team-1-win]]+ScenarioStat5[[#This Row],[team-2-win]]</f>
        <v>1</v>
      </c>
    </row>
    <row r="380" spans="1:7" x14ac:dyDescent="0.25">
      <c r="A380" t="s">
        <v>45</v>
      </c>
      <c r="B380" t="s">
        <v>227</v>
      </c>
      <c r="C3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0" t="s">
        <v>63</v>
      </c>
      <c r="E380" t="s">
        <v>38</v>
      </c>
      <c r="F3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80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workbookViewId="0">
      <selection activeCell="J20" sqref="J20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2">
        <f>COUNTIF(Scenario0[winner1],HeroStatistics[[#This Row],[hero]])+COUNTIF(Scenario0[winner2],HeroStatistics[[#This Row],[hero]])</f>
        <v>71</v>
      </c>
      <c r="D2">
        <f>COUNTIF(Scenario1[winner1],HeroStatistics[[#This Row],[hero]])+COUNTIF(Scenario1[winner2],HeroStatistics[[#This Row],[hero]])</f>
        <v>84</v>
      </c>
      <c r="E2">
        <f>COUNTIF(Scenario2[winner1],HeroStatistics[[#This Row],[hero]])</f>
        <v>13</v>
      </c>
      <c r="F2">
        <f>COUNTIF(Scenario3[winner1],HeroStatistics[[#This Row],[hero]])</f>
        <v>11</v>
      </c>
      <c r="G2">
        <f>COUNTIF(Scenario4[winner1],HeroStatistics[[#This Row],[hero]])</f>
        <v>19</v>
      </c>
      <c r="H2">
        <f>COUNTIF(Scenario5[winner1],HeroStatistics[[#This Row],[hero]])+COUNTIF(Scenario5[winner2],HeroStatistics[[#This Row],[hero]])</f>
        <v>90</v>
      </c>
      <c r="I2">
        <f>SUM(HeroStatistics[[#This Row],[0-wins]:[5-wins]])</f>
        <v>288</v>
      </c>
      <c r="J2" s="35">
        <f>HeroStatistics[[#This Row],[wins]]/HeroStatistics[[#This Row],[battles]]</f>
        <v>0.47682119205298013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3">
        <f>COUNTIF(Scenario0[winner1],HeroStatistics[[#This Row],[hero]])+COUNTIF(Scenario0[winner2],HeroStatistics[[#This Row],[hero]])</f>
        <v>72</v>
      </c>
      <c r="D3">
        <f>COUNTIF(Scenario1[winner1],HeroStatistics[[#This Row],[hero]])+COUNTIF(Scenario1[winner2],HeroStatistics[[#This Row],[hero]])</f>
        <v>69</v>
      </c>
      <c r="E3">
        <f>COUNTIF(Scenario2[winner1],HeroStatistics[[#This Row],[hero]])</f>
        <v>4</v>
      </c>
      <c r="F3">
        <f>COUNTIF(Scenario3[winner1],HeroStatistics[[#This Row],[hero]])</f>
        <v>13</v>
      </c>
      <c r="G3">
        <f>COUNTIF(Scenario4[winner1],HeroStatistics[[#This Row],[hero]])</f>
        <v>12</v>
      </c>
      <c r="H3">
        <f>COUNTIF(Scenario5[winner1],HeroStatistics[[#This Row],[hero]])+COUNTIF(Scenario5[winner2],HeroStatistics[[#This Row],[hero]])</f>
        <v>103</v>
      </c>
      <c r="I3">
        <f>SUM(HeroStatistics[[#This Row],[0-wins]:[5-wins]])</f>
        <v>273</v>
      </c>
      <c r="J3" s="35">
        <f>HeroStatistics[[#This Row],[wins]]/HeroStatistics[[#This Row],[battles]]</f>
        <v>0.45198675496688739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4">
        <f>COUNTIF(Scenario0[winner1],HeroStatistics[[#This Row],[hero]])+COUNTIF(Scenario0[winner2],HeroStatistics[[#This Row],[hero]])</f>
        <v>104</v>
      </c>
      <c r="D4">
        <f>COUNTIF(Scenario1[winner1],HeroStatistics[[#This Row],[hero]])+COUNTIF(Scenario1[winner2],HeroStatistics[[#This Row],[hero]])</f>
        <v>108</v>
      </c>
      <c r="E4">
        <f>COUNTIF(Scenario2[winner1],HeroStatistics[[#This Row],[hero]])</f>
        <v>12</v>
      </c>
      <c r="F4">
        <f>COUNTIF(Scenario3[winner1],HeroStatistics[[#This Row],[hero]])</f>
        <v>10</v>
      </c>
      <c r="G4">
        <f>COUNTIF(Scenario4[winner1],HeroStatistics[[#This Row],[hero]])</f>
        <v>11</v>
      </c>
      <c r="H4">
        <f>COUNTIF(Scenario5[winner1],HeroStatistics[[#This Row],[hero]])+COUNTIF(Scenario5[winner2],HeroStatistics[[#This Row],[hero]])</f>
        <v>74</v>
      </c>
      <c r="I4">
        <f>SUM(HeroStatistics[[#This Row],[0-wins]:[5-wins]])</f>
        <v>319</v>
      </c>
      <c r="J4" s="35">
        <f>HeroStatistics[[#This Row],[wins]]/HeroStatistics[[#This Row],[battles]]</f>
        <v>0.52814569536423839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5">
        <f>COUNTIF(Scenario0[winner1],HeroStatistics[[#This Row],[hero]])+COUNTIF(Scenario0[winner2],HeroStatistics[[#This Row],[hero]])</f>
        <v>102</v>
      </c>
      <c r="D5">
        <f>COUNTIF(Scenario1[winner1],HeroStatistics[[#This Row],[hero]])+COUNTIF(Scenario1[winner2],HeroStatistics[[#This Row],[hero]])</f>
        <v>99</v>
      </c>
      <c r="E5">
        <f>COUNTIF(Scenario2[winner1],HeroStatistics[[#This Row],[hero]])</f>
        <v>6</v>
      </c>
      <c r="F5">
        <f>COUNTIF(Scenario3[winner1],HeroStatistics[[#This Row],[hero]])</f>
        <v>14</v>
      </c>
      <c r="G5">
        <f>COUNTIF(Scenario4[winner1],HeroStatistics[[#This Row],[hero]])</f>
        <v>22</v>
      </c>
      <c r="H5">
        <f>COUNTIF(Scenario5[winner1],HeroStatistics[[#This Row],[hero]])+COUNTIF(Scenario5[winner2],HeroStatistics[[#This Row],[hero]])</f>
        <v>80</v>
      </c>
      <c r="I5">
        <f>SUM(HeroStatistics[[#This Row],[0-wins]:[5-wins]])</f>
        <v>323</v>
      </c>
      <c r="J5" s="35">
        <f>HeroStatistics[[#This Row],[wins]]/HeroStatistics[[#This Row],[battles]]</f>
        <v>0.53476821192052981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6">
        <f>COUNTIF(Scenario0[winner1],HeroStatistics[[#This Row],[hero]])+COUNTIF(Scenario0[winner2],HeroStatistics[[#This Row],[hero]])</f>
        <v>88</v>
      </c>
      <c r="D6">
        <f>COUNTIF(Scenario1[winner1],HeroStatistics[[#This Row],[hero]])+COUNTIF(Scenario1[winner2],HeroStatistics[[#This Row],[hero]])</f>
        <v>77</v>
      </c>
      <c r="E6">
        <f>COUNTIF(Scenario2[winner1],HeroStatistics[[#This Row],[hero]])</f>
        <v>8</v>
      </c>
      <c r="F6">
        <f>COUNTIF(Scenario3[winner1],HeroStatistics[[#This Row],[hero]])</f>
        <v>8</v>
      </c>
      <c r="G6">
        <f>COUNTIF(Scenario4[winner1],HeroStatistics[[#This Row],[hero]])</f>
        <v>6</v>
      </c>
      <c r="H6">
        <f>COUNTIF(Scenario5[winner1],HeroStatistics[[#This Row],[hero]])+COUNTIF(Scenario5[winner2],HeroStatistics[[#This Row],[hero]])</f>
        <v>72</v>
      </c>
      <c r="I6">
        <f>SUM(HeroStatistics[[#This Row],[0-wins]:[5-wins]])</f>
        <v>259</v>
      </c>
      <c r="J6" s="35">
        <f>HeroStatistics[[#This Row],[wins]]/HeroStatistics[[#This Row],[battles]]</f>
        <v>0.42880794701986757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7">
        <f>COUNTIF(Scenario0[winner1],HeroStatistics[[#This Row],[hero]])+COUNTIF(Scenario0[winner2],HeroStatistics[[#This Row],[hero]])</f>
        <v>87</v>
      </c>
      <c r="D7">
        <f>COUNTIF(Scenario1[winner1],HeroStatistics[[#This Row],[hero]])+COUNTIF(Scenario1[winner2],HeroStatistics[[#This Row],[hero]])</f>
        <v>97</v>
      </c>
      <c r="E7">
        <f>COUNTIF(Scenario2[winner1],HeroStatistics[[#This Row],[hero]])</f>
        <v>6</v>
      </c>
      <c r="F7">
        <f>COUNTIF(Scenario3[winner1],HeroStatistics[[#This Row],[hero]])</f>
        <v>6</v>
      </c>
      <c r="G7">
        <f>COUNTIF(Scenario4[winner1],HeroStatistics[[#This Row],[hero]])</f>
        <v>16</v>
      </c>
      <c r="H7">
        <f>COUNTIF(Scenario5[winner1],HeroStatistics[[#This Row],[hero]])+COUNTIF(Scenario5[winner2],HeroStatistics[[#This Row],[hero]])</f>
        <v>82</v>
      </c>
      <c r="I7">
        <f>SUM(HeroStatistics[[#This Row],[0-wins]:[5-wins]])</f>
        <v>294</v>
      </c>
      <c r="J7" s="35">
        <f>HeroStatistics[[#This Row],[wins]]/HeroStatistics[[#This Row],[battles]]</f>
        <v>0.48675496688741721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8">
        <f>COUNTIF(Scenario0[winner1],HeroStatistics[[#This Row],[hero]])+COUNTIF(Scenario0[winner2],HeroStatistics[[#This Row],[hero]])</f>
        <v>70</v>
      </c>
      <c r="D8">
        <f>COUNTIF(Scenario1[winner1],HeroStatistics[[#This Row],[hero]])+COUNTIF(Scenario1[winner2],HeroStatistics[[#This Row],[hero]])</f>
        <v>56</v>
      </c>
      <c r="E8">
        <f>COUNTIF(Scenario2[winner1],HeroStatistics[[#This Row],[hero]])</f>
        <v>8</v>
      </c>
      <c r="F8">
        <f>COUNTIF(Scenario3[winner1],HeroStatistics[[#This Row],[hero]])</f>
        <v>8</v>
      </c>
      <c r="G8">
        <f>COUNTIF(Scenario4[winner1],HeroStatistics[[#This Row],[hero]])</f>
        <v>18</v>
      </c>
      <c r="H8">
        <f>COUNTIF(Scenario5[winner1],HeroStatistics[[#This Row],[hero]])+COUNTIF(Scenario5[winner2],HeroStatistics[[#This Row],[hero]])</f>
        <v>102</v>
      </c>
      <c r="I8">
        <f>SUM(HeroStatistics[[#This Row],[0-wins]:[5-wins]])</f>
        <v>262</v>
      </c>
      <c r="J8" s="35">
        <f>HeroStatistics[[#This Row],[wins]]/HeroStatistics[[#This Row],[battles]]</f>
        <v>0.43377483443708609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9">
        <f>COUNTIF(Scenario0[winner1],HeroStatistics[[#This Row],[hero]])+COUNTIF(Scenario0[winner2],HeroStatistics[[#This Row],[hero]])</f>
        <v>103</v>
      </c>
      <c r="D9">
        <f>COUNTIF(Scenario1[winner1],HeroStatistics[[#This Row],[hero]])+COUNTIF(Scenario1[winner2],HeroStatistics[[#This Row],[hero]])</f>
        <v>114</v>
      </c>
      <c r="E9">
        <f>COUNTIF(Scenario2[winner1],HeroStatistics[[#This Row],[hero]])</f>
        <v>8</v>
      </c>
      <c r="F9">
        <f>COUNTIF(Scenario3[winner1],HeroStatistics[[#This Row],[hero]])</f>
        <v>8</v>
      </c>
      <c r="G9">
        <f>COUNTIF(Scenario4[winner1],HeroStatistics[[#This Row],[hero]])</f>
        <v>12</v>
      </c>
      <c r="H9">
        <f>COUNTIF(Scenario5[winner1],HeroStatistics[[#This Row],[hero]])+COUNTIF(Scenario5[winner2],HeroStatistics[[#This Row],[hero]])</f>
        <v>87</v>
      </c>
      <c r="I9">
        <f>SUM(HeroStatistics[[#This Row],[0-wins]:[5-wins]])</f>
        <v>332</v>
      </c>
      <c r="J9" s="35">
        <f>HeroStatistics[[#This Row],[wins]]/HeroStatistics[[#This Row],[battles]]</f>
        <v>0.54966887417218546</v>
      </c>
      <c r="M9"/>
    </row>
    <row r="10" spans="1:13" x14ac:dyDescent="0.25">
      <c r="A10" t="s">
        <v>227</v>
      </c>
      <c r="B10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604</v>
      </c>
      <c r="C10">
        <f>COUNTIF(Scenario0[winner1],HeroStatistics[[#This Row],[hero]])+COUNTIF(Scenario0[winner2],HeroStatistics[[#This Row],[hero]])</f>
        <v>59</v>
      </c>
      <c r="D10">
        <f>COUNTIF(Scenario1[winner1],HeroStatistics[[#This Row],[hero]])+COUNTIF(Scenario1[winner2],HeroStatistics[[#This Row],[hero]])</f>
        <v>52</v>
      </c>
      <c r="E10">
        <f>COUNTIF(Scenario2[winner1],HeroStatistics[[#This Row],[hero]])</f>
        <v>7</v>
      </c>
      <c r="F10">
        <f>COUNTIF(Scenario3[winner1],HeroStatistics[[#This Row],[hero]])</f>
        <v>6</v>
      </c>
      <c r="G10">
        <f>COUNTIF(Scenario4[winner1],HeroStatistics[[#This Row],[hero]])</f>
        <v>10</v>
      </c>
      <c r="H10">
        <f>COUNTIF(Scenario5[winner1],HeroStatistics[[#This Row],[hero]])+COUNTIF(Scenario5[winner2],HeroStatistics[[#This Row],[hero]])</f>
        <v>66</v>
      </c>
      <c r="I10">
        <f>SUM(HeroStatistics[[#This Row],[0-wins]:[5-wins]])</f>
        <v>200</v>
      </c>
      <c r="J10" s="35">
        <f>HeroStatistics[[#This Row],[wins]]/HeroStatistics[[#This Row],[battles]]</f>
        <v>0.33112582781456956</v>
      </c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10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10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10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10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10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10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10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10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E27" sqref="E27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0.34271523178807944</v>
      </c>
    </row>
    <row r="3" spans="1:24" x14ac:dyDescent="0.25">
      <c r="A3" s="17" t="s">
        <v>54</v>
      </c>
      <c r="B3">
        <f>M3+M24+M45+M66+M87+M108</f>
        <v>283</v>
      </c>
      <c r="C3">
        <f>N3+N24+N45+N66+N87+N108</f>
        <v>129</v>
      </c>
      <c r="D3" s="3">
        <f>IF(SUM(ParagonAbilities1[[#This Row],[takes]]) &gt; 0,ParagonAbilities1[[#This Row],[takes]]/SUM(ParagonAbilities1[takes]),0)</f>
        <v>0.4685430463576159</v>
      </c>
      <c r="E3" s="3">
        <f>IF(ParagonAbilities1[[#This Row],[takes]]&gt;0,ParagonAbilities1[[#This Row],[wins]]/ParagonAbilities1[[#This Row],[takes]],0)</f>
        <v>0.45583038869257952</v>
      </c>
      <c r="G3">
        <v>1</v>
      </c>
      <c r="H3">
        <f>S3+S24+S45+S66+S87+S108</f>
        <v>163</v>
      </c>
      <c r="I3">
        <f>T3+T24+T45+T66+T87+T108</f>
        <v>349</v>
      </c>
      <c r="J3" s="18">
        <f>U3+U24+U45+U66+U87+U108</f>
        <v>313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151</v>
      </c>
      <c r="N3">
        <f>COUNTIF(Scenario0[winner1-ability1],ParagonAbilities1Scenario0[[#This Row],[ability]])+COUNTIF(Scenario0[winner2-ability1],ParagonAbilities1Scenario0[[#This Row],[ability]])</f>
        <v>64</v>
      </c>
      <c r="O3" s="3">
        <f>IF(SUM(ParagonAbilities1Scenario0[[#This Row],[takes]]) &gt; 0,ParagonAbilities1Scenario0[[#This Row],[takes]]/SUM(ParagonAbilities1Scenario0[takes]),0)</f>
        <v>0.89880952380952384</v>
      </c>
      <c r="P3" s="3">
        <f>IF(ParagonAbilities1Scenario0[[#This Row],[takes]]&gt;0,ParagonAbilities1Scenario0[[#This Row],[wins]]/ParagonAbilities1Scenario0[[#This Row],[takes]],0)</f>
        <v>0.42384105960264901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60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149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147</v>
      </c>
      <c r="W3" t="s">
        <v>189</v>
      </c>
      <c r="X3" s="16">
        <f>H5/SUM(ParagonEquip[spear])</f>
        <v>0.38741721854304634</v>
      </c>
    </row>
    <row r="4" spans="1:24" x14ac:dyDescent="0.25">
      <c r="A4" s="17" t="s">
        <v>111</v>
      </c>
      <c r="B4">
        <f t="shared" ref="B4:B5" si="0">M4+M25+M46+M67+M88+M109</f>
        <v>57</v>
      </c>
      <c r="C4">
        <f t="shared" ref="C4:C5" si="1">N4+N25+N46+N67+N88+N109</f>
        <v>29</v>
      </c>
      <c r="D4" s="3">
        <f>IF(SUM(ParagonAbilities1[[#This Row],[takes]]) &gt; 0,ParagonAbilities1[[#This Row],[takes]]/SUM(ParagonAbilities1[takes]),0)</f>
        <v>9.4370860927152314E-2</v>
      </c>
      <c r="E4" s="3">
        <f>IF(ParagonAbilities1[[#This Row],[takes]]&gt;0,ParagonAbilities1[[#This Row],[wins]]/ParagonAbilities1[[#This Row],[takes]],0)</f>
        <v>0.50877192982456143</v>
      </c>
      <c r="G4">
        <v>2</v>
      </c>
      <c r="H4">
        <f t="shared" ref="H4:H5" si="2">S4+S25+S46+S67+S88+S109</f>
        <v>207</v>
      </c>
      <c r="I4">
        <f t="shared" ref="I4:I5" si="3">T4+T25+T46+T67+T88+T109</f>
        <v>37</v>
      </c>
      <c r="J4" s="18">
        <f t="shared" ref="J4:J5" si="4">U4+U25+U46+U67+U88+U109</f>
        <v>99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17</v>
      </c>
      <c r="N4">
        <f>COUNTIF(Scenario0[winner1-ability1],ParagonAbilities1Scenario0[[#This Row],[ability]])+COUNTIF(Scenario0[winner2-ability1],ParagonAbilities1Scenario0[[#This Row],[ability]])</f>
        <v>7</v>
      </c>
      <c r="O4" s="3">
        <f>IF(SUM(ParagonAbilities1Scenario0[[#This Row],[takes]]) &gt; 0,ParagonAbilities1Scenario0[[#This Row],[takes]]/SUM(ParagonAbilities1Scenario0[takes]),0)</f>
        <v>0.10119047619047619</v>
      </c>
      <c r="P4" s="3">
        <f>IF(ParagonAbilities1Scenario0[[#This Row],[takes]]&gt;0,ParagonAbilities1Scenario0[[#This Row],[wins]]/ParagonAbilities1Scenario0[[#This Row],[takes]],0)</f>
        <v>0.41176470588235292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79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21</v>
      </c>
      <c r="W4" t="s">
        <v>190</v>
      </c>
      <c r="X4" s="3">
        <f>ParagonEquip[[#This Row],[shield]]/SUM(ParagonEquip[shield])</f>
        <v>6.1258278145695365E-2</v>
      </c>
    </row>
    <row r="5" spans="1:24" x14ac:dyDescent="0.25">
      <c r="A5" s="17" t="s">
        <v>112</v>
      </c>
      <c r="B5">
        <f t="shared" si="0"/>
        <v>264</v>
      </c>
      <c r="C5">
        <f t="shared" si="1"/>
        <v>130</v>
      </c>
      <c r="D5" s="3">
        <f>IF(SUM(ParagonAbilities1[[#This Row],[takes]]) &gt; 0,ParagonAbilities1[[#This Row],[takes]]/SUM(ParagonAbilities1[takes]),0)</f>
        <v>0.4370860927152318</v>
      </c>
      <c r="E5" s="3">
        <f>IF(ParagonAbilities1[[#This Row],[takes]]&gt;0,ParagonAbilities1[[#This Row],[wins]]/ParagonAbilities1[[#This Row],[takes]],0)</f>
        <v>0.49242424242424243</v>
      </c>
      <c r="G5">
        <v>3</v>
      </c>
      <c r="H5">
        <f t="shared" si="2"/>
        <v>234</v>
      </c>
      <c r="I5">
        <f t="shared" si="3"/>
        <v>218</v>
      </c>
      <c r="J5" s="18">
        <f t="shared" si="4"/>
        <v>192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29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10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5" t="s">
        <v>191</v>
      </c>
      <c r="X5" s="16">
        <f>ParagonEquip[[#This Row],[shield]]/SUM(ParagonEquip[shield])</f>
        <v>0.36092715231788081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0.16390728476821192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0.31788079470198677</v>
      </c>
    </row>
    <row r="8" spans="1:24" x14ac:dyDescent="0.25">
      <c r="A8" s="20" t="s">
        <v>55</v>
      </c>
      <c r="B8" s="2">
        <f>M8+M29+M50+M71+M92+M113</f>
        <v>122</v>
      </c>
      <c r="C8" s="2">
        <f>N8+N29+N50+N71+N92+N113</f>
        <v>64</v>
      </c>
      <c r="D8" s="12">
        <f>IF(SUM(ParagonAbilities2[[#This Row],[takes]]) &gt; 0,ParagonAbilities2[[#This Row],[takes]]/SUM(ParagonAbilities2[takes]),0)</f>
        <v>0.2857142857142857</v>
      </c>
      <c r="E8" s="12">
        <f>IF(ParagonAbilities2[[#This Row],[takes]]&gt;0,ParagonAbilities2[[#This Row],[wins]]/ParagonAbilities2[[#This Row],[takes]],0)</f>
        <v>0.52459016393442626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31</v>
      </c>
      <c r="N8" s="2">
        <f>COUNTIF(Scenario0[winner1-ability2],ParagonAbilities2Scenario0[[#This Row],[ability]])+COUNTIF(Scenario0[winner2-ability2],ParagonAbilities2Scenario0[[#This Row],[ability]])</f>
        <v>14</v>
      </c>
      <c r="O8" s="12">
        <f>IF(SUM(ParagonAbilities2Scenario0[[#This Row],[takes]]) &gt; 0,ParagonAbilities2Scenario0[[#This Row],[takes]]/SUM(ParagonAbilities2Scenario0[takes]),0)</f>
        <v>0.43661971830985913</v>
      </c>
      <c r="P8" s="12">
        <f>IF(ParagonAbilities2Scenario0[[#This Row],[takes]]&gt;0,ParagonAbilities2Scenario0[[#This Row],[wins]]/ParagonAbilities2Scenario0[[#This Row],[takes]],0)</f>
        <v>0.45161290322580644</v>
      </c>
      <c r="U8" s="18"/>
      <c r="W8" t="s">
        <v>176</v>
      </c>
      <c r="X8" s="3">
        <f>SUM(ParagonAbilities2[takes])/SUM(ParagonAbilities1[takes])</f>
        <v>0.70695364238410596</v>
      </c>
    </row>
    <row r="9" spans="1:24" x14ac:dyDescent="0.25">
      <c r="A9" s="17" t="s">
        <v>83</v>
      </c>
      <c r="B9" s="2">
        <f t="shared" ref="B9:B10" si="5">M9+M30+M51+M72+M93+M114</f>
        <v>239</v>
      </c>
      <c r="C9" s="2">
        <f t="shared" ref="C9:C10" si="6">N9+N30+N51+N72+N93+N114</f>
        <v>109</v>
      </c>
      <c r="D9" s="3">
        <f>IF(SUM(ParagonAbilities2[[#This Row],[takes]]) &gt; 0,ParagonAbilities2[[#This Row],[takes]]/SUM(ParagonAbilities2[takes]),0)</f>
        <v>0.55971896955503508</v>
      </c>
      <c r="E9" s="3">
        <f>IF(ParagonAbilities2[[#This Row],[takes]]&gt;0,ParagonAbilities2[[#This Row],[wins]]/ParagonAbilities2[[#This Row],[takes]],0)</f>
        <v>0.45606694560669458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28</v>
      </c>
      <c r="N9" s="2">
        <f>COUNTIF(Scenario0[winner1-ability2],ParagonAbilities2Scenario0[[#This Row],[ability]])+COUNTIF(Scenario0[winner2-ability2],ParagonAbilities2Scenario0[[#This Row],[ability]])</f>
        <v>14</v>
      </c>
      <c r="O9" s="3">
        <f>IF(SUM(ParagonAbilities2Scenario0[[#This Row],[takes]]) &gt; 0,ParagonAbilities2Scenario0[[#This Row],[takes]]/SUM(ParagonAbilities2Scenario0[takes]),0)</f>
        <v>0.39436619718309857</v>
      </c>
      <c r="P9" s="3">
        <f>IF(ParagonAbilities2Scenario0[[#This Row],[takes]]&gt;0,ParagonAbilities2Scenario0[[#This Row],[wins]]/ParagonAbilities2Scenario0[[#This Row],[takes]],0)</f>
        <v>0.5</v>
      </c>
      <c r="U9" s="18"/>
      <c r="W9" t="s">
        <v>177</v>
      </c>
      <c r="X9" s="3">
        <f>SUM(ParagonAbilities3[takes])/SUM(ParagonAbilities1[takes])</f>
        <v>0.47847682119205298</v>
      </c>
    </row>
    <row r="10" spans="1:24" x14ac:dyDescent="0.25">
      <c r="A10" s="21" t="s">
        <v>113</v>
      </c>
      <c r="B10" s="2">
        <f t="shared" si="5"/>
        <v>66</v>
      </c>
      <c r="C10" s="2">
        <f t="shared" si="6"/>
        <v>45</v>
      </c>
      <c r="D10" s="13">
        <f>IF(SUM(ParagonAbilities2[[#This Row],[takes]]) &gt; 0,ParagonAbilities2[[#This Row],[takes]]/SUM(ParagonAbilities2[takes]),0)</f>
        <v>0.15456674473067916</v>
      </c>
      <c r="E10" s="13">
        <f>IF(ParagonAbilities2[[#This Row],[takes]]&gt;0,ParagonAbilities2[[#This Row],[wins]]/ParagonAbilities2[[#This Row],[takes]],0)</f>
        <v>0.68181818181818177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12</v>
      </c>
      <c r="N10" s="2">
        <f>COUNTIF(Scenario0[winner1-ability2],ParagonAbilities2Scenario0[[#This Row],[ability]])+COUNTIF(Scenario0[winner2-ability2],ParagonAbilities2Scenario0[[#This Row],[ability]])</f>
        <v>7</v>
      </c>
      <c r="O10" s="13">
        <f>IF(SUM(ParagonAbilities2Scenario0[[#This Row],[takes]]) &gt; 0,ParagonAbilities2Scenario0[[#This Row],[takes]]/SUM(ParagonAbilities2Scenario0[takes]),0)</f>
        <v>0.16901408450704225</v>
      </c>
      <c r="P10" s="13">
        <f>IF(ParagonAbilities2Scenario0[[#This Row],[takes]]&gt;0,ParagonAbilities2Scenario0[[#This Row],[wins]]/ParagonAbilities2Scenario0[[#This Row],[takes]],0)</f>
        <v>0.58333333333333337</v>
      </c>
      <c r="U10" s="18"/>
      <c r="W10" t="s">
        <v>178</v>
      </c>
      <c r="X10" s="16">
        <f>SUM(ParagonAbilities4[takes])/SUM(ParagonAbilities1[takes])</f>
        <v>0.31788079470198677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3.1374172185430464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75</v>
      </c>
      <c r="C13" s="1">
        <f>N13+N34+N55+N76+N97+N118</f>
        <v>59</v>
      </c>
      <c r="D13" s="14">
        <f>IF(SUM(ParagonAbilities3[[#This Row],[takes]]) &gt; 0,ParagonAbilities3[[#This Row],[takes]]/SUM(ParagonAbilities3[takes]),0)</f>
        <v>0.25951557093425603</v>
      </c>
      <c r="E13" s="14">
        <f>IF(ParagonAbilities3[[#This Row],[takes]]&gt;0,ParagonAbilities3[[#This Row],[wins]]/ParagonAbilities3[[#This Row],[takes]],0)</f>
        <v>0.78666666666666663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9</v>
      </c>
      <c r="N13" s="1">
        <f>COUNTIF(Scenario0[winner1-ability3],ParagonAbilities3Scenario0[[#This Row],[ability]])+COUNTIF(Scenario0[winner2-ability3],ParagonAbilities3Scenario0[[#This Row],[ability]])</f>
        <v>7</v>
      </c>
      <c r="O13" s="14">
        <f>IF(SUM(ParagonAbilities3Scenario0[[#This Row],[takes]]) &gt; 0,ParagonAbilities3Scenario0[[#This Row],[takes]]/SUM(ParagonAbilities3Scenario0[takes]),0)</f>
        <v>0.39130434782608697</v>
      </c>
      <c r="P13" s="14">
        <f>IF(ParagonAbilities3Scenario0[[#This Row],[takes]]&gt;0,ParagonAbilities3Scenario0[[#This Row],[wins]]/ParagonAbilities3Scenario0[[#This Row],[takes]],0)</f>
        <v>0.77777777777777779</v>
      </c>
      <c r="U13" s="18"/>
    </row>
    <row r="14" spans="1:24" x14ac:dyDescent="0.25">
      <c r="A14" s="20" t="s">
        <v>105</v>
      </c>
      <c r="B14" s="2">
        <f t="shared" ref="B14:B15" si="7">M14+M35+M56+M77+M98+M119</f>
        <v>39</v>
      </c>
      <c r="C14" s="2">
        <f t="shared" ref="C14:C15" si="8">N14+N35+N56+N77+N98+N119</f>
        <v>22</v>
      </c>
      <c r="D14" s="12">
        <f>IF(SUM(ParagonAbilities3[[#This Row],[takes]]) &gt; 0,ParagonAbilities3[[#This Row],[takes]]/SUM(ParagonAbilities3[takes]),0)</f>
        <v>0.13494809688581316</v>
      </c>
      <c r="E14" s="12">
        <f>IF(ParagonAbilities3[[#This Row],[takes]]&gt;0,ParagonAbilities3[[#This Row],[wins]]/ParagonAbilities3[[#This Row],[takes]],0)</f>
        <v>0.5641025641025641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8.6956521739130432E-2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175</v>
      </c>
      <c r="C15" s="1">
        <f t="shared" si="8"/>
        <v>74</v>
      </c>
      <c r="D15" s="15">
        <f>IF(SUM(ParagonAbilities3[[#This Row],[takes]]) &gt; 0,ParagonAbilities3[[#This Row],[takes]]/SUM(ParagonAbilities3[takes]),0)</f>
        <v>0.60553633217993075</v>
      </c>
      <c r="E15" s="15">
        <f>IF(ParagonAbilities3[[#This Row],[takes]]&gt;0,ParagonAbilities3[[#This Row],[wins]]/ParagonAbilities3[[#This Row],[takes]],0)</f>
        <v>0.42285714285714288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12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0.52173913043478259</v>
      </c>
      <c r="P15" s="15">
        <f>IF(ParagonAbilities3Scenario0[[#This Row],[takes]]&gt;0,ParagonAbilities3Scenario0[[#This Row],[wins]]/ParagonAbilities3Scenario0[[#This Row],[takes]],0)</f>
        <v>0.16666666666666666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102</v>
      </c>
      <c r="C18" s="2">
        <f>N18+N39+N60+N81+N102+N123</f>
        <v>66</v>
      </c>
      <c r="D18" s="12">
        <f>IF(SUM(ParagonAbilities4[[#This Row],[takes]]) &gt; 0,ParagonAbilities4[[#This Row],[takes]]/SUM(ParagonAbilities4[takes]),0)</f>
        <v>0.53125</v>
      </c>
      <c r="E18" s="12">
        <f>IF(ParagonAbilities4[[#This Row],[takes]]&gt;0,ParagonAbilities4[[#This Row],[wins]]/ParagonAbilities4[[#This Row],[takes]],0)</f>
        <v>0.6470588235294118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3</v>
      </c>
      <c r="N18" s="2">
        <f>COUNTIF(Scenario0[winner1-ability4],ParagonAbilities4Scenario0[[#This Row],[ability]])+COUNTIF(Scenario0[winner2-ability4],ParagonAbilities4Scenario0[[#This Row],[ability]])</f>
        <v>3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1</v>
      </c>
      <c r="U18" s="18"/>
    </row>
    <row r="19" spans="1:21" x14ac:dyDescent="0.25">
      <c r="A19" s="20" t="s">
        <v>115</v>
      </c>
      <c r="B19" s="2">
        <f t="shared" ref="B19:B20" si="9">M19+M40+M61+M82+M103+M124</f>
        <v>60</v>
      </c>
      <c r="C19" s="2">
        <f t="shared" ref="C19:C20" si="10">N19+N40+N61+N82+N103+N124</f>
        <v>27</v>
      </c>
      <c r="D19" s="12">
        <f>IF(SUM(ParagonAbilities4[[#This Row],[takes]]) &gt; 0,ParagonAbilities4[[#This Row],[takes]]/SUM(ParagonAbilities4[takes]),0)</f>
        <v>0.3125</v>
      </c>
      <c r="E19" s="12">
        <f>IF(ParagonAbilities4[[#This Row],[takes]]&gt;0,ParagonAbilities4[[#This Row],[wins]]/ParagonAbilities4[[#This Row],[takes]],0)</f>
        <v>0.45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30</v>
      </c>
      <c r="C20" s="2">
        <f t="shared" si="10"/>
        <v>24</v>
      </c>
      <c r="D20" s="26">
        <f>IF(SUM(ParagonAbilities4[[#This Row],[takes]]) &gt; 0,ParagonAbilities4[[#This Row],[takes]]/SUM(ParagonAbilities4[takes]),0)</f>
        <v>0.15625</v>
      </c>
      <c r="E20" s="26">
        <f>IF(ParagonAbilities4[[#This Row],[takes]]&gt;0,ParagonAbilities4[[#This Row],[wins]]/ParagonAbilities4[[#This Row],[takes]],0)</f>
        <v>0.8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132</v>
      </c>
      <c r="N24">
        <f>COUNTIF(Scenario1[winner1-ability1],ParagonAbilities1Scenario1[[#This Row],[ability]])+COUNTIF(Scenario1[winner2-ability1],ParagonAbilities1Scenario1[[#This Row],[ability]])</f>
        <v>65</v>
      </c>
      <c r="O24" s="3">
        <f>IF(SUM(ParagonAbilities1Scenario1[[#This Row],[takes]]) &gt; 0,ParagonAbilities1Scenario1[[#This Row],[takes]]/SUM(ParagonAbilities1Scenario1[takes]),0)</f>
        <v>0.7857142857142857</v>
      </c>
      <c r="P24" s="3">
        <f>IF(ParagonAbilities1Scenario1[[#This Row],[takes]]&gt;0,ParagonAbilities1Scenario1[[#This Row],[wins]]/ParagonAbilities1Scenario1[[#This Row],[takes]],0)</f>
        <v>0.49242424242424243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35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151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144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36</v>
      </c>
      <c r="N25">
        <f>COUNTIF(Scenario1[winner1-ability1],ParagonAbilities1Scenario1[[#This Row],[ability]])+COUNTIF(Scenario1[winner2-ability1],ParagonAbilities1Scenario1[[#This Row],[ability]])</f>
        <v>19</v>
      </c>
      <c r="O25" s="3">
        <f>IF(SUM(ParagonAbilities1Scenario1[[#This Row],[takes]]) &gt; 0,ParagonAbilities1Scenario1[[#This Row],[takes]]/SUM(ParagonAbilities1Scenario1[takes]),0)</f>
        <v>0.21428571428571427</v>
      </c>
      <c r="P25" s="3">
        <f>IF(ParagonAbilities1Scenario1[[#This Row],[takes]]&gt;0,ParagonAbilities1Scenario1[[#This Row],[wins]]/ParagonAbilities1Scenario1[[#This Row],[takes]],0)</f>
        <v>0.52777777777777779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76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17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57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7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16</v>
      </c>
      <c r="N29" s="2">
        <f>COUNTIF(Scenario1[winner1-ability2],ParagonAbilities2Scenario1[[#This Row],[ability]])+COUNTIF(Scenario1[winner2-ability2],ParagonAbilities2Scenario1[[#This Row],[ability]])</f>
        <v>10</v>
      </c>
      <c r="O29" s="12">
        <f>IF(SUM(ParagonAbilities2Scenario1[[#This Row],[takes]]) &gt; 0,ParagonAbilities2Scenario1[[#This Row],[takes]]/SUM(ParagonAbilities2Scenario1[takes]),0)</f>
        <v>0.14953271028037382</v>
      </c>
      <c r="P29" s="12">
        <f>IF(ParagonAbilities2Scenario1[[#This Row],[takes]]&gt;0,ParagonAbilities2Scenario1[[#This Row],[wins]]/ParagonAbilities2Scenario1[[#This Row],[takes]],0)</f>
        <v>0.625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73</v>
      </c>
      <c r="N30" s="2">
        <f>COUNTIF(Scenario1[winner1-ability2],ParagonAbilities2Scenario1[[#This Row],[ability]])+COUNTIF(Scenario1[winner2-ability2],ParagonAbilities2Scenario1[[#This Row],[ability]])</f>
        <v>31</v>
      </c>
      <c r="O30" s="3">
        <f>IF(SUM(ParagonAbilities2Scenario1[[#This Row],[takes]]) &gt; 0,ParagonAbilities2Scenario1[[#This Row],[takes]]/SUM(ParagonAbilities2Scenario1[takes]),0)</f>
        <v>0.68224299065420557</v>
      </c>
      <c r="P30" s="3">
        <f>IF(ParagonAbilities2Scenario1[[#This Row],[takes]]&gt;0,ParagonAbilities2Scenario1[[#This Row],[wins]]/ParagonAbilities2Scenario1[[#This Row],[takes]],0)</f>
        <v>0.42465753424657532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18</v>
      </c>
      <c r="N31" s="2">
        <f>COUNTIF(Scenario1[winner1-ability2],ParagonAbilities2Scenario1[[#This Row],[ability]])+COUNTIF(Scenario1[winner2-ability2],ParagonAbilities2Scenario1[[#This Row],[ability]])</f>
        <v>14</v>
      </c>
      <c r="O31" s="13">
        <f>IF(SUM(ParagonAbilities2Scenario1[[#This Row],[takes]]) &gt; 0,ParagonAbilities2Scenario1[[#This Row],[takes]]/SUM(ParagonAbilities2Scenario1[takes]),0)</f>
        <v>0.16822429906542055</v>
      </c>
      <c r="P31" s="13">
        <f>IF(ParagonAbilities2Scenario1[[#This Row],[takes]]&gt;0,ParagonAbilities2Scenario1[[#This Row],[wins]]/ParagonAbilities2Scenario1[[#This Row],[takes]],0)</f>
        <v>0.77777777777777779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12</v>
      </c>
      <c r="N34" s="1">
        <f>COUNTIF(Scenario1[winner1-ability3],ParagonAbilities3Scenario1[[#This Row],[ability]])+COUNTIF(Scenario1[winner2-ability3],ParagonAbilities3Scenario1[[#This Row],[ability]])</f>
        <v>8</v>
      </c>
      <c r="O34" s="14">
        <f>IF(SUM(ParagonAbilities3Scenario1[[#This Row],[takes]]) &gt; 0,ParagonAbilities3Scenario1[[#This Row],[takes]]/SUM(ParagonAbilities3Scenario1[takes]),0)</f>
        <v>0.25531914893617019</v>
      </c>
      <c r="P34" s="14">
        <f>IF(ParagonAbilities3Scenario1[[#This Row],[takes]]&gt;0,ParagonAbilities3Scenario1[[#This Row],[wins]]/ParagonAbilities3Scenario1[[#This Row],[takes]],0)</f>
        <v>0.66666666666666663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22</v>
      </c>
      <c r="N35" s="2">
        <f>COUNTIF(Scenario1[winner1-ability3],ParagonAbilities3Scenario1[[#This Row],[ability]])+COUNTIF(Scenario1[winner2-ability3],ParagonAbilities3Scenario1[[#This Row],[ability]])</f>
        <v>11</v>
      </c>
      <c r="O35" s="12">
        <f>IF(SUM(ParagonAbilities3Scenario1[[#This Row],[takes]]) &gt; 0,ParagonAbilities3Scenario1[[#This Row],[takes]]/SUM(ParagonAbilities3Scenario1[takes]),0)</f>
        <v>0.46808510638297873</v>
      </c>
      <c r="P35" s="12">
        <f>IF(ParagonAbilities3Scenario1[[#This Row],[takes]]&gt;0,ParagonAbilities3Scenario1[[#This Row],[wins]]/ParagonAbilities3Scenario1[[#This Row],[takes]],0)</f>
        <v>0.5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13</v>
      </c>
      <c r="N36" s="1">
        <f>COUNTIF(Scenario1[winner1-ability3],ParagonAbilities3Scenario1[[#This Row],[ability]])+COUNTIF(Scenario1[winner2-ability3],ParagonAbilities3Scenario1[[#This Row],[ability]])</f>
        <v>5</v>
      </c>
      <c r="O36" s="15">
        <f>IF(SUM(ParagonAbilities3Scenario1[[#This Row],[takes]]) &gt; 0,ParagonAbilities3Scenario1[[#This Row],[takes]]/SUM(ParagonAbilities3Scenario1[takes]),0)</f>
        <v>0.27659574468085107</v>
      </c>
      <c r="P36" s="15">
        <f>IF(ParagonAbilities3Scenario1[[#This Row],[takes]]&gt;0,ParagonAbilities3Scenario1[[#This Row],[wins]]/ParagonAbilities3Scenario1[[#This Row],[takes]],0)</f>
        <v>0.38461538461538464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39" s="2">
        <f>COUNTIF(Scenario1[winner1-ability4],ParagonAbilities4Scenario1[[#This Row],[ability]])+COUNTIF(Scenario1[winner2-ability4],ParagonAbilities4Scenario1[[#This Row],[ability]])</f>
        <v>1</v>
      </c>
      <c r="O39" s="12">
        <f>IF(SUM(ParagonAbilities4Scenario1[[#This Row],[takes]]) &gt; 0,ParagonAbilities4Scenario1[[#This Row],[takes]]/SUM(ParagonAbilities4Scenario1[takes]),0)</f>
        <v>0.5</v>
      </c>
      <c r="P39" s="12">
        <f>IF(ParagonAbilities4Scenario1[[#This Row],[takes]]&gt;0,ParagonAbilities4Scenario1[[#This Row],[wins]]/ParagonAbilities4Scenario1[[#This Row],[takes]],0)</f>
        <v>0.5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0.5</v>
      </c>
      <c r="P41" s="26">
        <f>IF(ParagonAbilities4Scenario1[[#This Row],[takes]]&gt;0,ParagonAbilities4Scenario1[[#This Row],[wins]]/ParagonAbilities4Scenario1[[#This Row],[takes]],0)</f>
        <v>0.5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1</v>
      </c>
      <c r="T45">
        <f>COUNTIFS(Scenario2[winner1],"paragon",Scenario2[winner1-sw],ParagonEquipScenario2[[#This Row],[level]])+COUNTIFS(Scenario2[loser1],"paragon",Scenario2[loser1-sw],ParagonEquipScenario2[[#This Row],[level]])</f>
        <v>3</v>
      </c>
      <c r="U45" s="18">
        <f>COUNTIFS(Scenario2[winner1],"paragon",Scenario2[winner1-cp],ParagonEquipScenario2[[#This Row],[level]])+COUNTIFS(Scenario2[loser1],"paragon",Scenario2[loser1-cp],ParagonEquipScenario2[[#This Row],[level]])</f>
        <v>1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1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6.25E-2</v>
      </c>
      <c r="P46" s="3">
        <f>IF(ParagonAbilities1Scenario2[[#This Row],[takes]]&gt;0,ParagonAbilities1Scenario2[[#This Row],[wins]]/ParagonAbilities1Scenario2[[#This Row],[takes]],0)</f>
        <v>1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5</v>
      </c>
      <c r="T46">
        <f>COUNTIFS(Scenario2[winner1],"paragon",Scenario2[winner1-sw],ParagonEquipScenario2[[#This Row],[level]])+COUNTIFS(Scenario2[loser1],"paragon",Scenario2[loser1-sw],ParagonEquipScenario2[[#This Row],[level]])</f>
        <v>2</v>
      </c>
      <c r="U46" s="18">
        <f>COUNTIFS(Scenario2[winner1],"paragon",Scenario2[winner1-cp],ParagonEquipScenario2[[#This Row],[level]])+COUNTIFS(Scenario2[loser1],"paragon",Scenario2[loser1-cp],ParagonEquipScenario2[[#This Row],[level]])</f>
        <v>4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15</v>
      </c>
      <c r="N47">
        <f>COUNTIF(Scenario2[winner1-ability1],ParagonAbilities1Scenario2[[#This Row],[ability]])</f>
        <v>12</v>
      </c>
      <c r="O47" s="3">
        <f>IF(SUM(ParagonAbilities1Scenario2[[#This Row],[takes]]) &gt; 0,ParagonAbilities1Scenario2[[#This Row],[takes]]/SUM(ParagonAbilities1Scenario2[takes]),0)</f>
        <v>0.9375</v>
      </c>
      <c r="P47" s="3">
        <f>IF(ParagonAbilities1Scenario2[[#This Row],[takes]]&gt;0,ParagonAbilities1Scenario2[[#This Row],[wins]]/ParagonAbilities1Scenario2[[#This Row],[takes]],0)</f>
        <v>0.8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10</v>
      </c>
      <c r="T47">
        <f>COUNTIFS(Scenario2[winner1],"paragon",Scenario2[winner1-sw],ParagonEquipScenario2[[#This Row],[level]])+COUNTIFS(Scenario2[loser1],"paragon",Scenario2[loser1-sw],ParagonEquipScenario2[[#This Row],[level]])</f>
        <v>11</v>
      </c>
      <c r="U47" s="18">
        <f>COUNTIFS(Scenario2[winner1],"paragon",Scenario2[winner1-cp],ParagonEquipScenario2[[#This Row],[level]])+COUNTIFS(Scenario2[loser1],"paragon",Scenario2[loser1-cp],ParagonEquipScenario2[[#This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8</v>
      </c>
      <c r="N50" s="2">
        <f>COUNTIF(Scenario2[winner1-ability2],ParagonAbilities2Scenario2[[#This Row],[ability]])</f>
        <v>7</v>
      </c>
      <c r="O50" s="12">
        <f>IF(SUM(ParagonAbilities2Scenario2[[#This Row],[takes]]) &gt; 0,ParagonAbilities2Scenario2[[#This Row],[takes]]/SUM(ParagonAbilities2Scenario2[takes]),0)</f>
        <v>0.5</v>
      </c>
      <c r="P50" s="12">
        <f>IF(ParagonAbilities2Scenario2[[#This Row],[takes]]&gt;0,ParagonAbilities2Scenario2[[#This Row],[wins]]/ParagonAbilities2Scenario2[[#This Row],[takes]],0)</f>
        <v>0.875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8</v>
      </c>
      <c r="N51" s="2">
        <f>COUNTIF(Scenario2[winner1-ability2],ParagonAbilities2Scenario2[[#This Row],[ability]])</f>
        <v>6</v>
      </c>
      <c r="O51" s="3">
        <f>IF(SUM(ParagonAbilities2Scenario2[[#This Row],[takes]]) &gt; 0,ParagonAbilities2Scenario2[[#This Row],[takes]]/SUM(ParagonAbilities2Scenario2[takes]),0)</f>
        <v>0.5</v>
      </c>
      <c r="P51" s="3">
        <f>IF(ParagonAbilities2Scenario2[[#This Row],[takes]]&gt;0,ParagonAbilities2Scenario2[[#This Row],[wins]]/ParagonAbilities2Scenario2[[#This Row],[takes]],0)</f>
        <v>0.75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5</v>
      </c>
      <c r="N55" s="1">
        <f>COUNTIF(Scenario2[winner1-ability3],ParagonAbilities3Scenario2[[#This Row],[ability]])</f>
        <v>5</v>
      </c>
      <c r="O55" s="14">
        <f>IF(SUM(ParagonAbilities3Scenario2[[#This Row],[takes]]) &gt; 0,ParagonAbilities3Scenario2[[#This Row],[takes]]/SUM(ParagonAbilities3Scenario2[takes]),0)</f>
        <v>0.35714285714285715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2</v>
      </c>
      <c r="N56" s="2">
        <f>COUNTIF(Scenario2[winner1-ability3],ParagonAbilities3Scenario2[[#This Row],[ability]])</f>
        <v>2</v>
      </c>
      <c r="O56" s="12">
        <f>IF(SUM(ParagonAbilities3Scenario2[[#This Row],[takes]]) &gt; 0,ParagonAbilities3Scenario2[[#This Row],[takes]]/SUM(ParagonAbilities3Scenario2[takes]),0)</f>
        <v>0.14285714285714285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7</v>
      </c>
      <c r="N57" s="1">
        <f>COUNTIF(Scenario2[winner1-ability3],ParagonAbilities3Scenario2[[#This Row],[ability]])</f>
        <v>4</v>
      </c>
      <c r="O57" s="15">
        <f>IF(SUM(ParagonAbilities3Scenario2[[#This Row],[takes]]) &gt; 0,ParagonAbilities3Scenario2[[#This Row],[takes]]/SUM(ParagonAbilities3Scenario2[takes]),0)</f>
        <v>0.5</v>
      </c>
      <c r="P57" s="15">
        <f>IF(ParagonAbilities3Scenario2[[#This Row],[takes]]&gt;0,ParagonAbilities3Scenario2[[#This Row],[wins]]/ParagonAbilities3Scenario2[[#This Row],[takes]],0)</f>
        <v>0.5714285714285714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10</v>
      </c>
      <c r="N60" s="2">
        <f>COUNTIF(Scenario2[winner1-ability4],ParagonAbilities4Scenario2[[#This Row],[ability]])</f>
        <v>8</v>
      </c>
      <c r="O60" s="12">
        <f>IF(SUM(ParagonAbilities4Scenario2[[#This Row],[takes]]) &gt; 0,ParagonAbilities4Scenario2[[#This Row],[takes]]/SUM(ParagonAbilities4Scenario2[takes]),0)</f>
        <v>0.76923076923076927</v>
      </c>
      <c r="P60" s="12">
        <f>IF(ParagonAbilities4Scenario2[[#This Row],[takes]]&gt;0,ParagonAbilities4Scenario2[[#This Row],[wins]]/ParagonAbilities4Scenario2[[#This Row],[takes]],0)</f>
        <v>0.8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3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0.23076923076923078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6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4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28</v>
      </c>
      <c r="N68">
        <f>COUNTIF(Scenario3[winner1-ability1],ParagonAbilities1Scenario3[[#This Row],[ability]])</f>
        <v>11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0.39285714285714285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17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28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9</v>
      </c>
      <c r="N71" s="2">
        <f>COUNTIF(Scenario3[winner1-ability2],ParagonAbilities2Scenario3[[#This Row],[ability]])</f>
        <v>5</v>
      </c>
      <c r="O71" s="12">
        <f>IF(SUM(ParagonAbilities2Scenario3[[#This Row],[takes]]) &gt; 0,ParagonAbilities2Scenario3[[#This Row],[takes]]/SUM(ParagonAbilities2Scenario3[takes]),0)</f>
        <v>0.36</v>
      </c>
      <c r="P71" s="12">
        <f>IF(ParagonAbilities2Scenario3[[#This Row],[takes]]&gt;0,ParagonAbilities2Scenario3[[#This Row],[wins]]/ParagonAbilities2Scenario3[[#This Row],[takes]],0)</f>
        <v>0.55555555555555558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16</v>
      </c>
      <c r="N72" s="2">
        <f>COUNTIF(Scenario3[winner1-ability2],ParagonAbilities2Scenario3[[#This Row],[ability]])</f>
        <v>6</v>
      </c>
      <c r="O72" s="3">
        <f>IF(SUM(ParagonAbilities2Scenario3[[#This Row],[takes]]) &gt; 0,ParagonAbilities2Scenario3[[#This Row],[takes]]/SUM(ParagonAbilities2Scenario3[takes]),0)</f>
        <v>0.64</v>
      </c>
      <c r="P72" s="3">
        <f>IF(ParagonAbilities2Scenario3[[#This Row],[takes]]&gt;0,ParagonAbilities2Scenario3[[#This Row],[wins]]/ParagonAbilities2Scenario3[[#This Row],[takes]],0)</f>
        <v>0.375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6" s="1">
        <f>COUNTIF(Scenario3[winner1-ability3],ParagonAbilities3Scenario3[[#This Row],[ability]])</f>
        <v>1</v>
      </c>
      <c r="O76" s="14">
        <f>IF(SUM(ParagonAbilities3Scenario3[[#This Row],[takes]]) &gt; 0,ParagonAbilities3Scenario3[[#This Row],[takes]]/SUM(ParagonAbilities3Scenario3[takes]),0)</f>
        <v>4.1666666666666664E-2</v>
      </c>
      <c r="P76" s="14">
        <f>IF(ParagonAbilities3Scenario3[[#This Row],[takes]]&gt;0,ParagonAbilities3Scenario3[[#This Row],[wins]]/ParagonAbilities3Scenario3[[#This Row],[takes]],0)</f>
        <v>1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7" s="2">
        <f>COUNTIF(Scenario3[winner1-ability3],ParagonAbilities3Scenario3[[#This Row],[ability]])</f>
        <v>1</v>
      </c>
      <c r="O77" s="12">
        <f>IF(SUM(ParagonAbilities3Scenario3[[#This Row],[takes]]) &gt; 0,ParagonAbilities3Scenario3[[#This Row],[takes]]/SUM(ParagonAbilities3Scenario3[takes]),0)</f>
        <v>4.1666666666666664E-2</v>
      </c>
      <c r="P77" s="12">
        <f>IF(ParagonAbilities3Scenario3[[#This Row],[takes]]&gt;0,ParagonAbilities3Scenario3[[#This Row],[wins]]/ParagonAbilities3Scenario3[[#This Row],[takes]],0)</f>
        <v>1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22</v>
      </c>
      <c r="N78" s="1">
        <f>COUNTIF(Scenario3[winner1-ability3],ParagonAbilities3Scenario3[[#This Row],[ability]])</f>
        <v>9</v>
      </c>
      <c r="O78" s="15">
        <f>IF(SUM(ParagonAbilities3Scenario3[[#This Row],[takes]]) &gt; 0,ParagonAbilities3Scenario3[[#This Row],[takes]]/SUM(ParagonAbilities3Scenario3[takes]),0)</f>
        <v>0.91666666666666663</v>
      </c>
      <c r="P78" s="15">
        <f>IF(ParagonAbilities3Scenario3[[#This Row],[takes]]&gt;0,ParagonAbilities3Scenario3[[#This Row],[wins]]/ParagonAbilities3Scenario3[[#This Row],[takes]],0)</f>
        <v>0.40909090909090912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9</v>
      </c>
      <c r="N81" s="2">
        <f>COUNTIF(Scenario3[winner1-ability4],ParagonAbilities4Scenario3[[#This Row],[ability]])</f>
        <v>6</v>
      </c>
      <c r="O81" s="12">
        <f>IF(SUM(ParagonAbilities4Scenario3[[#This Row],[takes]]) &gt; 0,ParagonAbilities4Scenario3[[#This Row],[takes]]/SUM(ParagonAbilities4Scenario3[takes]),0)</f>
        <v>0.52941176470588236</v>
      </c>
      <c r="P81" s="12">
        <f>IF(ParagonAbilities4Scenario3[[#This Row],[takes]]&gt;0,ParagonAbilities4Scenario3[[#This Row],[wins]]/ParagonAbilities4Scenario3[[#This Row],[takes]],0)</f>
        <v>0.66666666666666663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0.47058823529411764</v>
      </c>
      <c r="P82" s="12">
        <f>IF(ParagonAbilities4Scenario3[[#This Row],[takes]]&gt;0,ParagonAbilities4Scenario3[[#This Row],[wins]]/ParagonAbilities4Scenario3[[#This Row],[takes]],0)</f>
        <v>0.5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13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7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2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56</v>
      </c>
      <c r="N89">
        <f>COUNTIF(Scenario4[winner1-ability1],ParagonAbilities1Scenario4[[#This Row],[ability]])</f>
        <v>19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0.3392857142857143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36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56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54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16</v>
      </c>
      <c r="N92" s="2">
        <f>COUNTIF(Scenario4[winner1-ability2],ParagonAbilities2Scenario4[[#This Row],[ability]])</f>
        <v>6</v>
      </c>
      <c r="O92" s="12">
        <f>IF(SUM(ParagonAbilities2Scenario4[[#This Row],[takes]]) &gt; 0,ParagonAbilities2Scenario4[[#This Row],[takes]]/SUM(ParagonAbilities2Scenario4[takes]),0)</f>
        <v>0.30769230769230771</v>
      </c>
      <c r="P92" s="12">
        <f>IF(ParagonAbilities2Scenario4[[#This Row],[takes]]&gt;0,ParagonAbilities2Scenario4[[#This Row],[wins]]/ParagonAbilities2Scenario4[[#This Row],[takes]],0)</f>
        <v>0.375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36</v>
      </c>
      <c r="N93" s="2">
        <f>COUNTIF(Scenario4[winner1-ability2],ParagonAbilities2Scenario4[[#This Row],[ability]])</f>
        <v>13</v>
      </c>
      <c r="O93" s="3">
        <f>IF(SUM(ParagonAbilities2Scenario4[[#This Row],[takes]]) &gt; 0,ParagonAbilities2Scenario4[[#This Row],[takes]]/SUM(ParagonAbilities2Scenario4[takes]),0)</f>
        <v>0.69230769230769229</v>
      </c>
      <c r="P93" s="3">
        <f>IF(ParagonAbilities2Scenario4[[#This Row],[takes]]&gt;0,ParagonAbilities2Scenario4[[#This Row],[wins]]/ParagonAbilities2Scenario4[[#This Row],[takes]],0)</f>
        <v>0.3611111111111111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4</v>
      </c>
      <c r="N97" s="1">
        <f>COUNTIF(Scenario4[winner1-ability3],ParagonAbilities3Scenario4[[#This Row],[ability]])</f>
        <v>3</v>
      </c>
      <c r="O97" s="14">
        <f>IF(SUM(ParagonAbilities3Scenario4[[#This Row],[takes]]) &gt; 0,ParagonAbilities3Scenario4[[#This Row],[takes]]/SUM(ParagonAbilities3Scenario4[takes]),0)</f>
        <v>8.6956521739130432E-2</v>
      </c>
      <c r="P97" s="14">
        <f>IF(ParagonAbilities3Scenario4[[#This Row],[takes]]&gt;0,ParagonAbilities3Scenario4[[#This Row],[wins]]/ParagonAbilities3Scenario4[[#This Row],[takes]],0)</f>
        <v>0.75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0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42</v>
      </c>
      <c r="N99" s="1">
        <f>COUNTIF(Scenario4[winner1-ability3],ParagonAbilities3Scenario4[[#This Row],[ability]])</f>
        <v>16</v>
      </c>
      <c r="O99" s="15">
        <f>IF(SUM(ParagonAbilities3Scenario4[[#This Row],[takes]]) &gt; 0,ParagonAbilities3Scenario4[[#This Row],[takes]]/SUM(ParagonAbilities3Scenario4[takes]),0)</f>
        <v>0.91304347826086951</v>
      </c>
      <c r="P99" s="15">
        <f>IF(ParagonAbilities3Scenario4[[#This Row],[takes]]&gt;0,ParagonAbilities3Scenario4[[#This Row],[wins]]/ParagonAbilities3Scenario4[[#This Row],[takes]],0)</f>
        <v>0.38095238095238093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18</v>
      </c>
      <c r="N102" s="2">
        <f>COUNTIF(Scenario4[winner1-ability4],ParagonAbilities4Scenario4[[#This Row],[ability]])</f>
        <v>10</v>
      </c>
      <c r="O102" s="12">
        <f>IF(SUM(ParagonAbilities4Scenario4[[#This Row],[takes]]) &gt; 0,ParagonAbilities4Scenario4[[#This Row],[takes]]/SUM(ParagonAbilities4Scenario4[takes]),0)</f>
        <v>0.41860465116279072</v>
      </c>
      <c r="P102" s="12">
        <f>IF(ParagonAbilities4Scenario4[[#This Row],[takes]]&gt;0,ParagonAbilities4Scenario4[[#This Row],[wins]]/ParagonAbilities4Scenario4[[#This Row],[takes]],0)</f>
        <v>0.55555555555555558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25</v>
      </c>
      <c r="N103" s="2">
        <f>COUNTIF(Scenario4[winner1-ability4],ParagonAbilities4Scenario4[[#This Row],[ability]])</f>
        <v>9</v>
      </c>
      <c r="O103" s="12">
        <f>IF(SUM(ParagonAbilities4Scenario4[[#This Row],[takes]]) &gt; 0,ParagonAbilities4Scenario4[[#This Row],[takes]]/SUM(ParagonAbilities4Scenario4[takes]),0)</f>
        <v>0.58139534883720934</v>
      </c>
      <c r="P103" s="12">
        <f>IF(ParagonAbilities4Scenario4[[#This Row],[takes]]&gt;0,ParagonAbilities4Scenario4[[#This Row],[wins]]/ParagonAbilities4Scenario4[[#This Row],[takes]],0)</f>
        <v>0.36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48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46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20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3</v>
      </c>
      <c r="N109">
        <f>COUNTIF(Scenario5[winner1-ability1],ParagonAbilities1Scenario5[[#This Row],[ability]])+COUNTIF(Scenario5[winner2-ability1],ParagonAbilities1Scenario5[[#This Row],[ability]])</f>
        <v>2</v>
      </c>
      <c r="O109" s="3">
        <f>IF(SUM(ParagonAbilities1Scenario5[[#This Row],[takes]]) &gt; 0,ParagonAbilities1Scenario5[[#This Row],[takes]]/SUM(ParagonAbilities1Scenario5[takes]),0)</f>
        <v>1.7857142857142856E-2</v>
      </c>
      <c r="P109" s="3">
        <f>IF(ParagonAbilities1Scenario5[[#This Row],[takes]]&gt;0,ParagonAbilities1Scenario5[[#This Row],[wins]]/ParagonAbilities1Scenario5[[#This Row],[takes]],0)</f>
        <v>0.66666666666666663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35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18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51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165</v>
      </c>
      <c r="N110">
        <f>COUNTIF(Scenario5[winner1-ability1],ParagonAbilities1Scenario5[[#This Row],[ability]])+COUNTIF(Scenario5[winner2-ability1],ParagonAbilities1Scenario5[[#This Row],[ability]])</f>
        <v>88</v>
      </c>
      <c r="O110" s="3">
        <f>IF(SUM(ParagonAbilities1Scenario5[[#This Row],[takes]]) &gt; 0,ParagonAbilities1Scenario5[[#This Row],[takes]]/SUM(ParagonAbilities1Scenario5[takes]),0)</f>
        <v>0.9821428571428571</v>
      </c>
      <c r="P110" s="3">
        <f>IF(ParagonAbilities1Scenario5[[#This Row],[takes]]&gt;0,ParagonAbilities1Scenario5[[#This Row],[wins]]/ParagonAbilities1Scenario5[[#This Row],[takes]],0)</f>
        <v>0.53333333333333333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85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104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97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42</v>
      </c>
      <c r="N113" s="2">
        <f>COUNTIF(Scenario5[winner1-ability2],ParagonAbilities2Scenario5[[#This Row],[ability]])+COUNTIF(Scenario5[winner2-ability2],ParagonAbilities2Scenario5[[#This Row],[ability]])</f>
        <v>22</v>
      </c>
      <c r="O113" s="12">
        <f>IF(SUM(ParagonAbilities2Scenario5[[#This Row],[takes]]) &gt; 0,ParagonAbilities2Scenario5[[#This Row],[takes]]/SUM(ParagonAbilities2Scenario5[takes]),0)</f>
        <v>0.26923076923076922</v>
      </c>
      <c r="P113" s="12">
        <f>IF(ParagonAbilities2Scenario5[[#This Row],[takes]]&gt;0,ParagonAbilities2Scenario5[[#This Row],[wins]]/ParagonAbilities2Scenario5[[#This Row],[takes]],0)</f>
        <v>0.52380952380952384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78</v>
      </c>
      <c r="N114" s="2">
        <f>COUNTIF(Scenario5[winner1-ability2],ParagonAbilities2Scenario5[[#This Row],[ability]])+COUNTIF(Scenario5[winner2-ability2],ParagonAbilities2Scenario5[[#This Row],[ability]])</f>
        <v>39</v>
      </c>
      <c r="O114" s="3">
        <f>IF(SUM(ParagonAbilities2Scenario5[[#This Row],[takes]]) &gt; 0,ParagonAbilities2Scenario5[[#This Row],[takes]]/SUM(ParagonAbilities2Scenario5[takes]),0)</f>
        <v>0.5</v>
      </c>
      <c r="P114" s="3">
        <f>IF(ParagonAbilities2Scenario5[[#This Row],[takes]]&gt;0,ParagonAbilities2Scenario5[[#This Row],[wins]]/ParagonAbilities2Scenario5[[#This Row],[takes]],0)</f>
        <v>0.5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5" s="2">
        <f>COUNTIF(Scenario5[winner1-ability2],ParagonAbilities2Scenario5[[#This Row],[ability]])+COUNTIF(Scenario5[winner2-ability2],ParagonAbilities2Scenario5[[#This Row],[ability]])</f>
        <v>24</v>
      </c>
      <c r="O115" s="13">
        <f>IF(SUM(ParagonAbilities2Scenario5[[#This Row],[takes]]) &gt; 0,ParagonAbilities2Scenario5[[#This Row],[takes]]/SUM(ParagonAbilities2Scenario5[takes]),0)</f>
        <v>0.23076923076923078</v>
      </c>
      <c r="P115" s="13">
        <f>IF(ParagonAbilities2Scenario5[[#This Row],[takes]]&gt;0,ParagonAbilities2Scenario5[[#This Row],[wins]]/ParagonAbilities2Scenario5[[#This Row],[takes]],0)</f>
        <v>0.66666666666666663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44</v>
      </c>
      <c r="N118" s="1">
        <f>COUNTIF(Scenario5[winner1-ability3],ParagonAbilities3Scenario5[[#This Row],[ability]])+COUNTIF(Scenario5[winner2-ability3],ParagonAbilities3Scenario5[[#This Row],[ability]])</f>
        <v>35</v>
      </c>
      <c r="O118" s="14">
        <f>IF(SUM(ParagonAbilities3Scenario5[[#This Row],[takes]]) &gt; 0,ParagonAbilities3Scenario5[[#This Row],[takes]]/SUM(ParagonAbilities3Scenario5[takes]),0)</f>
        <v>0.32592592592592595</v>
      </c>
      <c r="P118" s="14">
        <f>IF(ParagonAbilities3Scenario5[[#This Row],[takes]]&gt;0,ParagonAbilities3Scenario5[[#This Row],[wins]]/ParagonAbilities3Scenario5[[#This Row],[takes]],0)</f>
        <v>0.79545454545454541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12</v>
      </c>
      <c r="N119" s="2">
        <f>COUNTIF(Scenario5[winner1-ability3],ParagonAbilities3Scenario5[[#This Row],[ability]])+COUNTIF(Scenario5[winner2-ability3],ParagonAbilities3Scenario5[[#This Row],[ability]])</f>
        <v>8</v>
      </c>
      <c r="O119" s="12">
        <f>IF(SUM(ParagonAbilities3Scenario5[[#This Row],[takes]]) &gt; 0,ParagonAbilities3Scenario5[[#This Row],[takes]]/SUM(ParagonAbilities3Scenario5[takes]),0)</f>
        <v>8.8888888888888892E-2</v>
      </c>
      <c r="P119" s="12">
        <f>IF(ParagonAbilities3Scenario5[[#This Row],[takes]]&gt;0,ParagonAbilities3Scenario5[[#This Row],[wins]]/ParagonAbilities3Scenario5[[#This Row],[takes]],0)</f>
        <v>0.66666666666666663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79</v>
      </c>
      <c r="N120" s="1">
        <f>COUNTIF(Scenario5[winner1-ability3],ParagonAbilities3Scenario5[[#This Row],[ability]])+COUNTIF(Scenario5[winner2-ability3],ParagonAbilities3Scenario5[[#This Row],[ability]])</f>
        <v>38</v>
      </c>
      <c r="O120" s="15">
        <f>IF(SUM(ParagonAbilities3Scenario5[[#This Row],[takes]]) &gt; 0,ParagonAbilities3Scenario5[[#This Row],[takes]]/SUM(ParagonAbilities3Scenario5[takes]),0)</f>
        <v>0.58518518518518514</v>
      </c>
      <c r="P120" s="15">
        <f>IF(ParagonAbilities3Scenario5[[#This Row],[takes]]&gt;0,ParagonAbilities3Scenario5[[#This Row],[wins]]/ParagonAbilities3Scenario5[[#This Row],[takes]],0)</f>
        <v>0.48101265822784811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60</v>
      </c>
      <c r="N123" s="2">
        <f>COUNTIF(Scenario5[winner1-ability4],ParagonAbilities4Scenario5[[#This Row],[ability]])+COUNTIF(Scenario5[winner2-ability4],ParagonAbilities4Scenario5[[#This Row],[ability]])</f>
        <v>38</v>
      </c>
      <c r="O123" s="12">
        <f>IF(SUM(ParagonAbilities4Scenario5[[#This Row],[takes]]) &gt; 0,ParagonAbilities4Scenario5[[#This Row],[takes]]/SUM(ParagonAbilities4Scenario5[takes]),0)</f>
        <v>0.5357142857142857</v>
      </c>
      <c r="P123" s="12">
        <f>IF(ParagonAbilities4Scenario5[[#This Row],[takes]]&gt;0,ParagonAbilities4Scenario5[[#This Row],[wins]]/ParagonAbilities4Scenario5[[#This Row],[takes]],0)</f>
        <v>0.6333333333333333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24</v>
      </c>
      <c r="N124" s="2">
        <f>COUNTIF(Scenario5[winner1-ability4],ParagonAbilities4Scenario5[[#This Row],[ability]])+COUNTIF(Scenario5[winner2-ability4],ParagonAbilities4Scenario5[[#This Row],[ability]])</f>
        <v>11</v>
      </c>
      <c r="O124" s="12">
        <f>IF(SUM(ParagonAbilities4Scenario5[[#This Row],[takes]]) &gt; 0,ParagonAbilities4Scenario5[[#This Row],[takes]]/SUM(ParagonAbilities4Scenario5[takes]),0)</f>
        <v>0.21428571428571427</v>
      </c>
      <c r="P124" s="12">
        <f>IF(ParagonAbilities4Scenario5[[#This Row],[takes]]&gt;0,ParagonAbilities4Scenario5[[#This Row],[wins]]/ParagonAbilities4Scenario5[[#This Row],[takes]],0)</f>
        <v>0.45833333333333331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28</v>
      </c>
      <c r="N125" s="2">
        <f>COUNTIF(Scenario5[winner1-ability4],ParagonAbilities4Scenario5[[#This Row],[ability]])+COUNTIF(Scenario5[winner2-ability4],ParagonAbilities4Scenario5[[#This Row],[ability]])</f>
        <v>23</v>
      </c>
      <c r="O125" s="26">
        <f>IF(SUM(ParagonAbilities4Scenario5[[#This Row],[takes]]) &gt; 0,ParagonAbilities4Scenario5[[#This Row],[takes]]/SUM(ParagonAbilities4Scenario5[takes]),0)</f>
        <v>0.25</v>
      </c>
      <c r="P125" s="26">
        <f>IF(ParagonAbilities4Scenario5[[#This Row],[takes]]&gt;0,ParagonAbilities4Scenario5[[#This Row],[wins]]/ParagonAbilities4Scenario5[[#This Row],[takes]],0)</f>
        <v>0.8214285714285714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B10" sqref="B10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0.26821192052980131</v>
      </c>
    </row>
    <row r="3" spans="1:22" x14ac:dyDescent="0.25">
      <c r="A3" t="s">
        <v>68</v>
      </c>
      <c r="B3">
        <f>L3+L24+L45+L66+L87+L108</f>
        <v>148</v>
      </c>
      <c r="C3">
        <f>M3+M24+M45+M66+M87+M108</f>
        <v>56</v>
      </c>
      <c r="D3" s="3">
        <f>IF(SUM(HighlanderAbilities1[[#This Row],[takes]]) &gt; 0,HighlanderAbilities1[[#This Row],[takes]]/SUM(HighlanderAbilities1[takes]),0)</f>
        <v>0.24503311258278146</v>
      </c>
      <c r="E3" s="3">
        <f>IF(HighlanderAbilities1[[#This Row],[takes]]&gt;0,HighlanderAbilities1[[#This Row],[wins]]/HighlanderAbilities1[[#This Row],[takes]],0)</f>
        <v>0.3783783783783784</v>
      </c>
      <c r="G3">
        <v>1</v>
      </c>
      <c r="H3">
        <f>R3+R24+R45+R66+R87+R108</f>
        <v>177</v>
      </c>
      <c r="I3" s="18">
        <f>S3+S24+S45+S66+S87+S108</f>
        <v>396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62</v>
      </c>
      <c r="M3">
        <f>COUNTIF(Scenario0[winner1-ability1],HighlanderAbilities1Scenario0[[#This Row],[ability]])+COUNTIF(Scenario0[winner2-ability1],HighlanderAbilities1Scenario0[[#This Row],[ability]])</f>
        <v>27</v>
      </c>
      <c r="N3" s="3">
        <f>IF(SUM(HighlanderAbilities1Scenario0[[#This Row],[takes]]) &gt; 0,HighlanderAbilities1Scenario0[[#This Row],[takes]]/SUM(HighlanderAbilities1Scenario0[takes]),0)</f>
        <v>0.36904761904761907</v>
      </c>
      <c r="O3" s="3">
        <f>IF(HighlanderAbilities1Scenario0[[#This Row],[takes]]&gt;0,HighlanderAbilities1Scenario0[[#This Row],[wins]]/HighlanderAbilities1Scenario0[[#This Row],[takes]],0)</f>
        <v>0.43548387096774194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108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147</v>
      </c>
      <c r="U3" t="s">
        <v>193</v>
      </c>
      <c r="V3" s="16">
        <f>H5/SUM(HighlanderEquip[sword])</f>
        <v>0.43874172185430466</v>
      </c>
    </row>
    <row r="4" spans="1:22" x14ac:dyDescent="0.25">
      <c r="A4" t="s">
        <v>120</v>
      </c>
      <c r="B4">
        <f t="shared" ref="B4:B5" si="0">L4+L25+L46+L67+L88+L109</f>
        <v>124</v>
      </c>
      <c r="C4">
        <f t="shared" ref="C4:C5" si="1">M4+M25+M46+M67+M88+M109</f>
        <v>48</v>
      </c>
      <c r="D4" s="3">
        <f>IF(SUM(HighlanderAbilities1[[#This Row],[takes]]) &gt; 0,HighlanderAbilities1[[#This Row],[takes]]/SUM(HighlanderAbilities1[takes]),0)</f>
        <v>0.20529801324503311</v>
      </c>
      <c r="E4" s="3">
        <f>IF(HighlanderAbilities1[[#This Row],[takes]]&gt;0,HighlanderAbilities1[[#This Row],[wins]]/HighlanderAbilities1[[#This Row],[takes]],0)</f>
        <v>0.38709677419354838</v>
      </c>
      <c r="G4">
        <v>2</v>
      </c>
      <c r="H4">
        <f t="shared" ref="H4:H5" si="2">R4+R25+R46+R67+R88+R109</f>
        <v>162</v>
      </c>
      <c r="I4" s="18">
        <f t="shared" ref="I4:I5" si="3">S4+S25+S46+S67+S88+S109</f>
        <v>88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3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1.7857142857142856E-2</v>
      </c>
      <c r="O4" s="3">
        <f>IF(HighlanderAbilities1Scenario0[[#This Row],[takes]]&gt;0,HighlanderAbilities1Scenario0[[#This Row],[wins]]/HighlanderAbilities1Scenario0[[#This Row],[takes]],0)</f>
        <v>0.33333333333333331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45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17</v>
      </c>
      <c r="U4" t="s">
        <v>179</v>
      </c>
      <c r="V4" s="3">
        <f>HighlanderEquip[[#This Row],[chestpiece]]/SUM(HighlanderEquip[chestpiece])</f>
        <v>0.14569536423841059</v>
      </c>
    </row>
    <row r="5" spans="1:22" x14ac:dyDescent="0.25">
      <c r="A5" t="s">
        <v>57</v>
      </c>
      <c r="B5">
        <f t="shared" si="0"/>
        <v>332</v>
      </c>
      <c r="C5">
        <f t="shared" si="1"/>
        <v>169</v>
      </c>
      <c r="D5" s="3">
        <f>IF(SUM(HighlanderAbilities1[[#This Row],[takes]]) &gt; 0,HighlanderAbilities1[[#This Row],[takes]]/SUM(HighlanderAbilities1[takes]),0)</f>
        <v>0.54966887417218546</v>
      </c>
      <c r="E5" s="3">
        <f>IF(HighlanderAbilities1[[#This Row],[takes]]&gt;0,HighlanderAbilities1[[#This Row],[wins]]/HighlanderAbilities1[[#This Row],[takes]],0)</f>
        <v>0.50903614457831325</v>
      </c>
      <c r="G5">
        <v>3</v>
      </c>
      <c r="H5">
        <f t="shared" si="2"/>
        <v>265</v>
      </c>
      <c r="I5" s="18">
        <f t="shared" si="3"/>
        <v>120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103</v>
      </c>
      <c r="M5">
        <f>COUNTIF(Scenario0[winner1-ability1],HighlanderAbilities1Scenario0[[#This Row],[ability]])+COUNTIF(Scenario0[winner2-ability1],HighlanderAbilities1Scenario0[[#This Row],[ability]])</f>
        <v>44</v>
      </c>
      <c r="N5" s="3">
        <f>IF(SUM(HighlanderAbilities1Scenario0[[#This Row],[takes]]) &gt; 0,HighlanderAbilities1Scenario0[[#This Row],[takes]]/SUM(HighlanderAbilities1Scenario0[takes]),0)</f>
        <v>0.61309523809523814</v>
      </c>
      <c r="O5" s="3">
        <f>IF(HighlanderAbilities1Scenario0[[#This Row],[takes]]&gt;0,HighlanderAbilities1Scenario0[[#This Row],[wins]]/HighlanderAbilities1Scenario0[[#This Row],[takes]],0)</f>
        <v>0.42718446601941745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15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4</v>
      </c>
      <c r="U5" t="s">
        <v>180</v>
      </c>
      <c r="V5" s="16">
        <f>HighlanderEquip[[#This Row],[chestpiece]]/SUM(HighlanderEquip[chestpiece])</f>
        <v>0.19867549668874171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0.66225165562913912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0.42880794701986757</v>
      </c>
    </row>
    <row r="8" spans="1:22" x14ac:dyDescent="0.25">
      <c r="A8" s="2" t="s">
        <v>69</v>
      </c>
      <c r="B8" s="2">
        <f>L8+L29+L50+L71+L92+L113</f>
        <v>100</v>
      </c>
      <c r="C8" s="2">
        <f>M8+M29+M50+M71+M92+M113</f>
        <v>34</v>
      </c>
      <c r="D8" s="12">
        <f>IF(SUM(HighlanderAbilities2[[#This Row],[takes]]) &gt; 0,HighlanderAbilities2[[#This Row],[takes]]/SUM(HighlanderAbilities2[takes]),0)</f>
        <v>0.25</v>
      </c>
      <c r="E8" s="12">
        <f>IF(HighlanderAbilities2[[#This Row],[takes]]&gt;0,HighlanderAbilities2[[#This Row],[wins]]/HighlanderAbilities2[[#This Row],[takes]],0)</f>
        <v>0.34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6</v>
      </c>
      <c r="M8" s="2">
        <f>COUNTIF(Scenario0[winner1-ability2],HighlanderAbilities2Scenario0[[#This Row],[ability]])+COUNTIF(Scenario0[winner2-ability2],HighlanderAbilities2Scenario0[[#This Row],[ability]])</f>
        <v>3</v>
      </c>
      <c r="N8" s="12">
        <f>IF(SUM(HighlanderAbilities2Scenario0[[#This Row],[takes]]) &gt; 0,HighlanderAbilities2Scenario0[[#This Row],[takes]]/SUM(HighlanderAbilities2Scenario0[takes]),0)</f>
        <v>7.407407407407407E-2</v>
      </c>
      <c r="O8" s="12">
        <f>IF(HighlanderAbilities2Scenario0[[#This Row],[takes]]&gt;0,HighlanderAbilities2Scenario0[[#This Row],[wins]]/HighlanderAbilities2Scenario0[[#This Row],[takes]],0)</f>
        <v>0.5</v>
      </c>
      <c r="S8" s="18"/>
      <c r="U8" t="s">
        <v>178</v>
      </c>
      <c r="V8" s="16">
        <f>SUM(HighlanderAbilities4[takes])/SUM(HighlanderAbilities1[takes])</f>
        <v>0.25993377483443708</v>
      </c>
    </row>
    <row r="9" spans="1:22" x14ac:dyDescent="0.25">
      <c r="A9" t="s">
        <v>121</v>
      </c>
      <c r="B9" s="2">
        <f t="shared" ref="B9:B10" si="4">L9+L30+L51+L72+L93+L114</f>
        <v>49</v>
      </c>
      <c r="C9" s="2">
        <f t="shared" ref="C9:C10" si="5">M9+M30+M51+M72+M93+M114</f>
        <v>16</v>
      </c>
      <c r="D9" s="3">
        <f>IF(SUM(HighlanderAbilities2[[#This Row],[takes]]) &gt; 0,HighlanderAbilities2[[#This Row],[takes]]/SUM(HighlanderAbilities2[takes]),0)</f>
        <v>0.1225</v>
      </c>
      <c r="E9" s="3">
        <f>IF(HighlanderAbilities2[[#This Row],[takes]]&gt;0,HighlanderAbilities2[[#This Row],[wins]]/HighlanderAbilities2[[#This Row],[takes]],0)</f>
        <v>0.32653061224489793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3.7037037037037035E-2</v>
      </c>
      <c r="O9" s="3">
        <f>IF(HighlanderAbilities2Scenario0[[#This Row],[takes]]&gt;0,HighlanderAbilities2Scenario0[[#This Row],[wins]]/HighlanderAbilities2Scenario0[[#This Row],[takes]],0)</f>
        <v>0.33333333333333331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2.4023178807947021</v>
      </c>
    </row>
    <row r="10" spans="1:22" x14ac:dyDescent="0.25">
      <c r="A10" s="10" t="s">
        <v>122</v>
      </c>
      <c r="B10" s="2">
        <f t="shared" si="4"/>
        <v>251</v>
      </c>
      <c r="C10" s="2">
        <f t="shared" si="5"/>
        <v>150</v>
      </c>
      <c r="D10" s="13">
        <f>IF(SUM(HighlanderAbilities2[[#This Row],[takes]]) &gt; 0,HighlanderAbilities2[[#This Row],[takes]]/SUM(HighlanderAbilities2[takes]),0)</f>
        <v>0.62749999999999995</v>
      </c>
      <c r="E10" s="13">
        <f>IF(HighlanderAbilities2[[#This Row],[takes]]&gt;0,HighlanderAbilities2[[#This Row],[wins]]/HighlanderAbilities2[[#This Row],[takes]],0)</f>
        <v>0.59760956175298807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72</v>
      </c>
      <c r="M10" s="2">
        <f>COUNTIF(Scenario0[winner1-ability2],HighlanderAbilities2Scenario0[[#This Row],[ability]])+COUNTIF(Scenario0[winner2-ability2],HighlanderAbilities2Scenario0[[#This Row],[ability]])</f>
        <v>36</v>
      </c>
      <c r="N10" s="13">
        <f>IF(SUM(HighlanderAbilities2Scenario0[[#This Row],[takes]]) &gt; 0,HighlanderAbilities2Scenario0[[#This Row],[takes]]/SUM(HighlanderAbilities2Scenario0[takes]),0)</f>
        <v>0.88888888888888884</v>
      </c>
      <c r="O10" s="13">
        <f>IF(HighlanderAbilities2Scenario0[[#This Row],[takes]]&gt;0,HighlanderAbilities2Scenario0[[#This Row],[wins]]/HighlanderAbilities2Scenario0[[#This Row],[takes]],0)</f>
        <v>0.5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62</v>
      </c>
      <c r="C13" s="1">
        <f>M13+M34+M55+M76+M97+M118</f>
        <v>23</v>
      </c>
      <c r="D13" s="14">
        <f>IF(SUM(HighlanderAbilities3[[#This Row],[takes]]) &gt; 0,HighlanderAbilities3[[#This Row],[takes]]/SUM(HighlanderAbilities3[takes]),0)</f>
        <v>0.23938223938223938</v>
      </c>
      <c r="E13" s="14">
        <f>IF(HighlanderAbilities3[[#This Row],[takes]]&gt;0,HighlanderAbilities3[[#This Row],[wins]]/HighlanderAbilities3[[#This Row],[takes]],0)</f>
        <v>0.37096774193548387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4.5454545454545456E-2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79</v>
      </c>
      <c r="C14" s="2">
        <f t="shared" ref="C14:C15" si="7">M14+M35+M56+M77+M98+M119</f>
        <v>31</v>
      </c>
      <c r="D14" s="12">
        <f>IF(SUM(HighlanderAbilities3[[#This Row],[takes]]) &gt; 0,HighlanderAbilities3[[#This Row],[takes]]/SUM(HighlanderAbilities3[takes]),0)</f>
        <v>0.30501930501930502</v>
      </c>
      <c r="E14" s="12">
        <f>IF(HighlanderAbilities3[[#This Row],[takes]]&gt;0,HighlanderAbilities3[[#This Row],[wins]]/HighlanderAbilities3[[#This Row],[takes]],0)</f>
        <v>0.39240506329113922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2</v>
      </c>
      <c r="M14" s="2">
        <f>COUNTIF(Scenario0[winner1-ability3],HighlanderAbilities3Scenario0[[#This Row],[ability]])+COUNTIF(Scenario0[winner2-ability3],HighlanderAbilities3Scenario0[[#This Row],[ability]])</f>
        <v>2</v>
      </c>
      <c r="N14" s="12">
        <f>IF(SUM(HighlanderAbilities3Scenario0[[#This Row],[takes]]) &gt; 0,HighlanderAbilities3Scenario0[[#This Row],[takes]]/SUM(HighlanderAbilities3Scenario0[takes]),0)</f>
        <v>9.0909090909090912E-2</v>
      </c>
      <c r="O14" s="12">
        <f>IF(HighlanderAbilities3Scenario0[[#This Row],[takes]]&gt;0,HighlanderAbilities3Scenario0[[#This Row],[wins]]/HighlanderAbilities3Scenario0[[#This Row],[takes]],0)</f>
        <v>1</v>
      </c>
      <c r="S14" s="18"/>
    </row>
    <row r="15" spans="1:22" x14ac:dyDescent="0.25">
      <c r="A15" s="11" t="s">
        <v>85</v>
      </c>
      <c r="B15" s="1">
        <f t="shared" si="6"/>
        <v>118</v>
      </c>
      <c r="C15" s="1">
        <f t="shared" si="7"/>
        <v>79</v>
      </c>
      <c r="D15" s="15">
        <f>IF(SUM(HighlanderAbilities3[[#This Row],[takes]]) &gt; 0,HighlanderAbilities3[[#This Row],[takes]]/SUM(HighlanderAbilities3[takes]),0)</f>
        <v>0.45559845559845558</v>
      </c>
      <c r="E15" s="15">
        <f>IF(HighlanderAbilities3[[#This Row],[takes]]&gt;0,HighlanderAbilities3[[#This Row],[wins]]/HighlanderAbilities3[[#This Row],[takes]],0)</f>
        <v>0.66949152542372881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19</v>
      </c>
      <c r="M15" s="1">
        <f>COUNTIF(Scenario0[winner1-ability3],HighlanderAbilities3Scenario0[[#This Row],[ability]])+COUNTIF(Scenario0[winner2-ability3],HighlanderAbilities3Scenario0[[#This Row],[ability]])</f>
        <v>9</v>
      </c>
      <c r="N15" s="15">
        <f>IF(SUM(HighlanderAbilities3Scenario0[[#This Row],[takes]]) &gt; 0,HighlanderAbilities3Scenario0[[#This Row],[takes]]/SUM(HighlanderAbilities3Scenario0[takes]),0)</f>
        <v>0.86363636363636365</v>
      </c>
      <c r="O15" s="15">
        <f>IF(HighlanderAbilities3Scenario0[[#This Row],[takes]]&gt;0,HighlanderAbilities3Scenario0[[#This Row],[wins]]/HighlanderAbilities3Scenario0[[#This Row],[takes]],0)</f>
        <v>0.47368421052631576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46</v>
      </c>
      <c r="C18" s="2">
        <f>M18+M39+M60+M81+M102+M123</f>
        <v>15</v>
      </c>
      <c r="D18" s="12">
        <f>IF(SUM(HighlanderAbilities4[[#This Row],[takes]]) &gt; 0,HighlanderAbilities4[[#This Row],[takes]]/SUM(HighlanderAbilities4[takes]),0)</f>
        <v>0.2929936305732484</v>
      </c>
      <c r="E18" s="12">
        <f>IF(HighlanderAbilities4[[#This Row],[takes]]&gt;0,HighlanderAbilities4[[#This Row],[wins]]/HighlanderAbilities4[[#This Row],[takes]],0)</f>
        <v>0.32608695652173914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50</v>
      </c>
      <c r="C19" s="2">
        <f t="shared" ref="C19:C20" si="9">M19+M40+M61+M82+M103+M124</f>
        <v>20</v>
      </c>
      <c r="D19" s="12">
        <f>IF(SUM(HighlanderAbilities4[[#This Row],[takes]]) &gt; 0,HighlanderAbilities4[[#This Row],[takes]]/SUM(HighlanderAbilities4[takes]),0)</f>
        <v>0.31847133757961782</v>
      </c>
      <c r="E19" s="12">
        <f>IF(HighlanderAbilities4[[#This Row],[takes]]&gt;0,HighlanderAbilities4[[#This Row],[wins]]/HighlanderAbilities4[[#This Row],[takes]],0)</f>
        <v>0.4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61</v>
      </c>
      <c r="C20" s="2">
        <f t="shared" si="9"/>
        <v>43</v>
      </c>
      <c r="D20" s="26">
        <f>IF(SUM(HighlanderAbilities4[[#This Row],[takes]]) &gt; 0,HighlanderAbilities4[[#This Row],[takes]]/SUM(HighlanderAbilities4[takes]),0)</f>
        <v>0.38853503184713378</v>
      </c>
      <c r="E20" s="26">
        <f>IF(HighlanderAbilities4[[#This Row],[takes]]&gt;0,HighlanderAbilities4[[#This Row],[wins]]/HighlanderAbilities4[[#This Row],[takes]],0)</f>
        <v>0.70491803278688525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4</v>
      </c>
      <c r="M20" s="25">
        <f>COUNTIF(Scenario0[winner1-ability4],HighlanderAbilities4Scenario0[[#This Row],[ability]])+COUNTIF(Scenario0[winner2-ability4],HighlanderAbilities4Scenario0[[#This Row],[ability]])</f>
        <v>2</v>
      </c>
      <c r="N20" s="26">
        <f>IF(SUM(HighlanderAbilities4Scenario0[[#This Row],[takes]]) &gt; 0,HighlanderAbilities4Scenario0[[#This Row],[takes]]/SUM(HighlanderAbilities4Scenario0[takes]),0)</f>
        <v>1</v>
      </c>
      <c r="O20" s="26">
        <f>IF(HighlanderAbilities4Scenario0[[#This Row],[takes]]&gt;0,HighlanderAbilities4Scenario0[[#This Row],[wins]]/HighlanderAbilities4Scenario0[[#This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74</v>
      </c>
      <c r="M24">
        <f>COUNTIF(Scenario1[winner1-ability1],HighlanderAbilities1Scenario1[[#This Row],[ability]])+COUNTIF(Scenario1[winner2-ability1],HighlanderAbilities1Scenario1[[#This Row],[ability]])</f>
        <v>23</v>
      </c>
      <c r="N24" s="3">
        <f>IF(SUM(HighlanderAbilities1Scenario1[[#This Row],[takes]]) &gt; 0,HighlanderAbilities1Scenario1[[#This Row],[takes]]/SUM(HighlanderAbilities1Scenario1[takes]),0)</f>
        <v>0.44047619047619047</v>
      </c>
      <c r="O24" s="3">
        <f>IF(HighlanderAbilities1Scenario1[[#This Row],[takes]]&gt;0,HighlanderAbilities1Scenario1[[#This Row],[wins]]/HighlanderAbilities1Scenario1[[#This Row],[takes]],0)</f>
        <v>0.3108108108108108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51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132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5.9523809523809521E-3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65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27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93</v>
      </c>
      <c r="M26">
        <f>COUNTIF(Scenario1[winner1-ability1],HighlanderAbilities1Scenario1[[#This Row],[ability]])+COUNTIF(Scenario1[winner2-ability1],HighlanderAbilities1Scenario1[[#This Row],[ability]])</f>
        <v>46</v>
      </c>
      <c r="N26" s="3">
        <f>IF(SUM(HighlanderAbilities1Scenario1[[#This Row],[takes]]) &gt; 0,HighlanderAbilities1Scenario1[[#This Row],[takes]]/SUM(HighlanderAbilities1Scenario1[takes]),0)</f>
        <v>0.5535714285714286</v>
      </c>
      <c r="O26" s="3">
        <f>IF(HighlanderAbilities1Scenario1[[#This Row],[takes]]&gt;0,HighlanderAbilities1Scenario1[[#This Row],[wins]]/HighlanderAbilities1Scenario1[[#This Row],[takes]],0)</f>
        <v>0.4946236559139785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52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9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10</v>
      </c>
      <c r="M29" s="2">
        <f>COUNTIF(Scenario1[winner1-ability2],HighlanderAbilities2Scenario1[[#This Row],[ability]])+COUNTIF(Scenario1[winner2-ability2],HighlanderAbilities2Scenario1[[#This Row],[ability]])</f>
        <v>4</v>
      </c>
      <c r="N29" s="12">
        <f>IF(SUM(HighlanderAbilities2Scenario1[[#This Row],[takes]]) &gt; 0,HighlanderAbilities2Scenario1[[#This Row],[takes]]/SUM(HighlanderAbilities2Scenario1[takes]),0)</f>
        <v>0.13698630136986301</v>
      </c>
      <c r="O29" s="12">
        <f>IF(HighlanderAbilities2Scenario1[[#This Row],[takes]]&gt;0,HighlanderAbilities2Scenario1[[#This Row],[wins]]/HighlanderAbilities2Scenario1[[#This Row],[takes]],0)</f>
        <v>0.4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20</v>
      </c>
      <c r="M30" s="2">
        <f>COUNTIF(Scenario1[winner1-ability2],HighlanderAbilities2Scenario1[[#This Row],[ability]])+COUNTIF(Scenario1[winner2-ability2],HighlanderAbilities2Scenario1[[#This Row],[ability]])</f>
        <v>6</v>
      </c>
      <c r="N30" s="3">
        <f>IF(SUM(HighlanderAbilities2Scenario1[[#This Row],[takes]]) &gt; 0,HighlanderAbilities2Scenario1[[#This Row],[takes]]/SUM(HighlanderAbilities2Scenario1[takes]),0)</f>
        <v>0.27397260273972601</v>
      </c>
      <c r="O30" s="3">
        <f>IF(HighlanderAbilities2Scenario1[[#This Row],[takes]]&gt;0,HighlanderAbilities2Scenario1[[#This Row],[wins]]/HighlanderAbilities2Scenario1[[#This Row],[takes]],0)</f>
        <v>0.3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43</v>
      </c>
      <c r="M31" s="2">
        <f>COUNTIF(Scenario1[winner1-ability2],HighlanderAbilities2Scenario1[[#This Row],[ability]])+COUNTIF(Scenario1[winner2-ability2],HighlanderAbilities2Scenario1[[#This Row],[ability]])</f>
        <v>30</v>
      </c>
      <c r="N31" s="13">
        <f>IF(SUM(HighlanderAbilities2Scenario1[[#This Row],[takes]]) &gt; 0,HighlanderAbilities2Scenario1[[#This Row],[takes]]/SUM(HighlanderAbilities2Scenario1[takes]),0)</f>
        <v>0.58904109589041098</v>
      </c>
      <c r="O31" s="13">
        <f>IF(HighlanderAbilities2Scenario1[[#This Row],[takes]]&gt;0,HighlanderAbilities2Scenario1[[#This Row],[wins]]/HighlanderAbilities2Scenario1[[#This Row],[takes]],0)</f>
        <v>0.69767441860465118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8</v>
      </c>
      <c r="M34" s="1">
        <f>COUNTIF(Scenario1[winner1-ability3],HighlanderAbilities3Scenario1[[#This Row],[ability]])+COUNTIF(Scenario1[winner2-ability3],HighlanderAbilities3Scenario1[[#This Row],[ability]])</f>
        <v>3</v>
      </c>
      <c r="N34" s="14">
        <f>IF(SUM(HighlanderAbilities3Scenario1[[#This Row],[takes]]) &gt; 0,HighlanderAbilities3Scenario1[[#This Row],[takes]]/SUM(HighlanderAbilities3Scenario1[takes]),0)</f>
        <v>0.21052631578947367</v>
      </c>
      <c r="O34" s="14">
        <f>IF(HighlanderAbilities3Scenario1[[#This Row],[takes]]&gt;0,HighlanderAbilities3Scenario1[[#This Row],[wins]]/HighlanderAbilities3Scenario1[[#This Row],[takes]],0)</f>
        <v>0.375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2.6315789473684209E-2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29</v>
      </c>
      <c r="M36" s="1">
        <f>COUNTIF(Scenario1[winner1-ability3],HighlanderAbilities3Scenario1[[#This Row],[ability]])+COUNTIF(Scenario1[winner2-ability3],HighlanderAbilities3Scenario1[[#This Row],[ability]])</f>
        <v>22</v>
      </c>
      <c r="N36" s="15">
        <f>IF(SUM(HighlanderAbilities3Scenario1[[#This Row],[takes]]) &gt; 0,HighlanderAbilities3Scenario1[[#This Row],[takes]]/SUM(HighlanderAbilities3Scenario1[takes]),0)</f>
        <v>0.76315789473684215</v>
      </c>
      <c r="O36" s="15">
        <f>IF(HighlanderAbilities3Scenario1[[#This Row],[takes]]&gt;0,HighlanderAbilities3Scenario1[[#This Row],[wins]]/HighlanderAbilities3Scenario1[[#This Row],[takes]],0)</f>
        <v>0.75862068965517238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1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0.14285714285714285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40" s="2">
        <f>COUNTIF(Scenario1[winner1-ability4],HighlanderAbilities4Scenario1[[#This Row],[ability]])+COUNTIF(Scenario1[winner2-ability4],HighlanderAbilities4Scenario1[[#This Row],[ability]])</f>
        <v>1</v>
      </c>
      <c r="N40" s="12">
        <f>IF(SUM(HighlanderAbilities4Scenario1[[#This Row],[takes]]) &gt; 0,HighlanderAbilities4Scenario1[[#This Row],[takes]]/SUM(HighlanderAbilities4Scenario1[takes]),0)</f>
        <v>0.2857142857142857</v>
      </c>
      <c r="O40" s="12">
        <f>IF(HighlanderAbilities4Scenario1[[#This Row],[takes]]&gt;0,HighlanderAbilities4Scenario1[[#This Row],[wins]]/HighlanderAbilities4Scenario1[[#This Row],[takes]],0)</f>
        <v>0.5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4</v>
      </c>
      <c r="M41" s="25">
        <f>COUNTIF(Scenario1[winner1-ability4],HighlanderAbilities4Scenario1[[#This Row],[ability]])+COUNTIF(Scenario1[winner2-ability4],HighlanderAbilities4Scenario1[[#This Row],[ability]])</f>
        <v>3</v>
      </c>
      <c r="N41" s="26">
        <f>IF(SUM(HighlanderAbilities4Scenario1[[#This Row],[takes]]) &gt; 0,HighlanderAbilities4Scenario1[[#This Row],[takes]]/SUM(HighlanderAbilities4Scenario1[takes]),0)</f>
        <v>0.5714285714285714</v>
      </c>
      <c r="O41" s="26">
        <f>IF(HighlanderAbilities4Scenario1[[#This Row],[takes]]&gt;0,HighlanderAbilities4Scenario1[[#This Row],[wins]]/HighlanderAbilities4Scenario1[[#This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0</v>
      </c>
      <c r="N45" s="3">
        <f>IF(SUM(HighlanderAbilities1Scenario2[[#This Row],[takes]]) &gt; 0,HighlanderAbilities1Scenario2[[#This Row],[takes]]/SUM(HighlanderAbilities1Scenario2[takes]),0)</f>
        <v>0.1875</v>
      </c>
      <c r="O45" s="3">
        <f>IF(HighlanderAbilities1Scenario2[[#This Row],[takes]]&gt;0,HighlanderAbilities1Scenario2[[#This Row],[wins]]/HighlanderAbilities1Scenario2[[#This Row],[takes]],0)</f>
        <v>0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1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10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5</v>
      </c>
      <c r="M46">
        <f>COUNTIF(Scenario2[winner1-ability1],HighlanderAbilities1Scenario2[[#This Row],[ability]])</f>
        <v>2</v>
      </c>
      <c r="N46" s="3">
        <f>IF(SUM(HighlanderAbilities1Scenario2[[#This Row],[takes]]) &gt; 0,HighlanderAbilities1Scenario2[[#This Row],[takes]]/SUM(HighlanderAbilities1Scenario2[takes]),0)</f>
        <v>0.3125</v>
      </c>
      <c r="O46" s="3">
        <f>IF(HighlanderAbilities1Scenario2[[#This Row],[takes]]&gt;0,HighlanderAbilities1Scenario2[[#This Row],[wins]]/HighlanderAbilities1Scenario2[[#This Row],[takes]],0)</f>
        <v>0.4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2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8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0.5</v>
      </c>
      <c r="O47" s="3">
        <f>IF(HighlanderAbilities1Scenario2[[#This Row],[takes]]&gt;0,HighlanderAbilities1Scenario2[[#This Row],[wins]]/HighlanderAbilities1Scenario2[[#This Row],[takes]],0)</f>
        <v>0.25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13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2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0.16666666666666666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0</v>
      </c>
      <c r="M51" s="2">
        <f>COUNTIF(Scenario2[winner1-ability2],HighlanderAbilities2Scenario2[[#This Row],[ability]])</f>
        <v>0</v>
      </c>
      <c r="N51" s="3">
        <f>IF(SUM(HighlanderAbilities2Scenario2[[#This Row],[takes]]) &gt; 0,HighlanderAbilities2Scenario2[[#This Row],[takes]]/SUM(HighlanderAbilities2Scenario2[takes]),0)</f>
        <v>0</v>
      </c>
      <c r="O51" s="3">
        <f>IF(HighlanderAbilities2Scenario2[[#This Row],[takes]]&gt;0,HighlanderAbilities2Scenario2[[#This Row],[wins]]/HighlanderAbilities2Scenario2[[#This Row],[takes]],0)</f>
        <v>0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10</v>
      </c>
      <c r="M52" s="2">
        <f>COUNTIF(Scenario2[winner1-ability2],HighlanderAbilities2Scenario2[[#This Row],[ability]])</f>
        <v>3</v>
      </c>
      <c r="N52" s="13">
        <f>IF(SUM(HighlanderAbilities2Scenario2[[#This Row],[takes]]) &gt; 0,HighlanderAbilities2Scenario2[[#This Row],[takes]]/SUM(HighlanderAbilities2Scenario2[takes]),0)</f>
        <v>0.83333333333333337</v>
      </c>
      <c r="O52" s="13">
        <f>IF(HighlanderAbilities2Scenario2[[#This Row],[takes]]&gt;0,HighlanderAbilities2Scenario2[[#This Row],[wins]]/HighlanderAbilities2Scenario2[[#This Row],[takes]],0)</f>
        <v>0.3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1</v>
      </c>
      <c r="N55" s="14">
        <f>IF(SUM(HighlanderAbilities3Scenario2[[#This Row],[takes]]) &gt; 0,HighlanderAbilities3Scenario2[[#This Row],[takes]]/SUM(HighlanderAbilities3Scenario2[takes]),0)</f>
        <v>0.5</v>
      </c>
      <c r="O55" s="14">
        <f>IF(HighlanderAbilities3Scenario2[[#This Row],[takes]]&gt;0,HighlanderAbilities3Scenario2[[#This Row],[wins]]/HighlanderAbilities3Scenario2[[#This Row],[takes]],0)</f>
        <v>0.25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0.125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0.375</v>
      </c>
      <c r="O57" s="15">
        <f>IF(HighlanderAbilities3Scenario2[[#This Row],[takes]]&gt;0,HighlanderAbilities3Scenario2[[#This Row],[wins]]/HighlanderAbilities3Scenario2[[#This Row],[takes]],0)</f>
        <v>0.33333333333333331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0.2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2</v>
      </c>
      <c r="M61" s="2">
        <f>COUNTIF(Scenario2[winner1-ability4],HighlanderAbilities4Scenario2[[#This Row],[ability]])</f>
        <v>0</v>
      </c>
      <c r="N61" s="12">
        <f>IF(SUM(HighlanderAbilities4Scenario2[[#This Row],[takes]]) &gt; 0,HighlanderAbilities4Scenario2[[#This Row],[takes]]/SUM(HighlanderAbilities4Scenario2[takes]),0)</f>
        <v>0.4</v>
      </c>
      <c r="O61" s="12">
        <f>IF(HighlanderAbilities4Scenario2[[#This Row],[takes]]&gt;0,HighlanderAbilities4Scenario2[[#This Row],[wins]]/HighlanderAbilities4Scenario2[[#This Row],[takes]],0)</f>
        <v>0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2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0.4</v>
      </c>
      <c r="O62" s="26">
        <f>IF(HighlanderAbilities4Scenario2[[#This Row],[takes]]&gt;0,HighlanderAbilities4Scenario2[[#This Row],[wins]]/HighlanderAbilities4Scenario2[[#This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3</v>
      </c>
      <c r="M66">
        <f>COUNTIF(Scenario3[winner1-ability1],HighlanderAbilities1Scenario3[[#This Row],[ability]])</f>
        <v>2</v>
      </c>
      <c r="N66" s="3">
        <f>IF(SUM(HighlanderAbilities1Scenario3[[#This Row],[takes]]) &gt; 0,HighlanderAbilities1Scenario3[[#This Row],[takes]]/SUM(HighlanderAbilities1Scenario3[takes]),0)</f>
        <v>0.10714285714285714</v>
      </c>
      <c r="O66" s="3">
        <f>IF(HighlanderAbilities1Scenario3[[#This Row],[takes]]&gt;0,HighlanderAbilities1Scenario3[[#This Row],[wins]]/HighlanderAbilities1Scenario3[[#This Row],[takes]],0)</f>
        <v>0.66666666666666663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4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14</v>
      </c>
      <c r="M67">
        <f>COUNTIF(Scenario3[winner1-ability1],HighlanderAbilities1Scenario3[[#This Row],[ability]])</f>
        <v>6</v>
      </c>
      <c r="N67" s="3">
        <f>IF(SUM(HighlanderAbilities1Scenario3[[#This Row],[takes]]) &gt; 0,HighlanderAbilities1Scenario3[[#This Row],[takes]]/SUM(HighlanderAbilities1Scenario3[takes]),0)</f>
        <v>0.5</v>
      </c>
      <c r="O67" s="3">
        <f>IF(HighlanderAbilities1Scenario3[[#This Row],[takes]]&gt;0,HighlanderAbilities1Scenario3[[#This Row],[wins]]/HighlanderAbilities1Scenario3[[#This Row],[takes]],0)</f>
        <v>0.42857142857142855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4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4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11</v>
      </c>
      <c r="M68">
        <f>COUNTIF(Scenario3[winner1-ability1],HighlanderAbilities1Scenario3[[#This Row],[ability]])</f>
        <v>5</v>
      </c>
      <c r="N68" s="3">
        <f>IF(SUM(HighlanderAbilities1Scenario3[[#This Row],[takes]]) &gt; 0,HighlanderAbilities1Scenario3[[#This Row],[takes]]/SUM(HighlanderAbilities1Scenario3[takes]),0)</f>
        <v>0.39285714285714285</v>
      </c>
      <c r="O68" s="3">
        <f>IF(HighlanderAbilities1Scenario3[[#This Row],[takes]]&gt;0,HighlanderAbilities1Scenario3[[#This Row],[wins]]/HighlanderAbilities1Scenario3[[#This Row],[takes]],0)</f>
        <v>0.45454545454545453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23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16</v>
      </c>
      <c r="M71" s="2">
        <f>COUNTIF(Scenario3[winner1-ability2],HighlanderAbilities2Scenario3[[#This Row],[ability]])</f>
        <v>7</v>
      </c>
      <c r="N71" s="12">
        <f>IF(SUM(HighlanderAbilities2Scenario3[[#This Row],[takes]]) &gt; 0,HighlanderAbilities2Scenario3[[#This Row],[takes]]/SUM(HighlanderAbilities2Scenario3[takes]),0)</f>
        <v>0.59259259259259256</v>
      </c>
      <c r="O71" s="12">
        <f>IF(HighlanderAbilities2Scenario3[[#This Row],[takes]]&gt;0,HighlanderAbilities2Scenario3[[#This Row],[wins]]/HighlanderAbilities2Scenario3[[#This Row],[takes]],0)</f>
        <v>0.4375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3</v>
      </c>
      <c r="M72" s="2">
        <f>COUNTIF(Scenario3[winner1-ability2],HighlanderAbilities2Scenario3[[#This Row],[ability]])</f>
        <v>1</v>
      </c>
      <c r="N72" s="3">
        <f>IF(SUM(HighlanderAbilities2Scenario3[[#This Row],[takes]]) &gt; 0,HighlanderAbilities2Scenario3[[#This Row],[takes]]/SUM(HighlanderAbilities2Scenario3[takes]),0)</f>
        <v>0.1111111111111111</v>
      </c>
      <c r="O72" s="3">
        <f>IF(HighlanderAbilities2Scenario3[[#This Row],[takes]]&gt;0,HighlanderAbilities2Scenario3[[#This Row],[wins]]/HighlanderAbilities2Scenario3[[#This Row],[takes]],0)</f>
        <v>0.33333333333333331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8</v>
      </c>
      <c r="M73" s="2">
        <f>COUNTIF(Scenario3[winner1-ability2],HighlanderAbilities2Scenario3[[#This Row],[ability]])</f>
        <v>4</v>
      </c>
      <c r="N73" s="13">
        <f>IF(SUM(HighlanderAbilities2Scenario3[[#This Row],[takes]]) &gt; 0,HighlanderAbilities2Scenario3[[#This Row],[takes]]/SUM(HighlanderAbilities2Scenario3[takes]),0)</f>
        <v>0.29629629629629628</v>
      </c>
      <c r="O73" s="13">
        <f>IF(HighlanderAbilities2Scenario3[[#This Row],[takes]]&gt;0,HighlanderAbilities2Scenario3[[#This Row],[wins]]/HighlanderAbilities2Scenario3[[#This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3</v>
      </c>
      <c r="M76" s="1">
        <f>COUNTIF(Scenario3[winner1-ability3],HighlanderAbilities3Scenario3[[#This Row],[ability]])</f>
        <v>2</v>
      </c>
      <c r="N76" s="14">
        <f>IF(SUM(HighlanderAbilities3Scenario3[[#This Row],[takes]]) &gt; 0,HighlanderAbilities3Scenario3[[#This Row],[takes]]/SUM(HighlanderAbilities3Scenario3[takes]),0)</f>
        <v>0.12</v>
      </c>
      <c r="O76" s="14">
        <f>IF(HighlanderAbilities3Scenario3[[#This Row],[takes]]&gt;0,HighlanderAbilities3Scenario3[[#This Row],[wins]]/HighlanderAbilities3Scenario3[[#This Row],[takes]],0)</f>
        <v>0.66666666666666663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17</v>
      </c>
      <c r="M77" s="2">
        <f>COUNTIF(Scenario3[winner1-ability3],HighlanderAbilities3Scenario3[[#This Row],[ability]])</f>
        <v>4</v>
      </c>
      <c r="N77" s="12">
        <f>IF(SUM(HighlanderAbilities3Scenario3[[#This Row],[takes]]) &gt; 0,HighlanderAbilities3Scenario3[[#This Row],[takes]]/SUM(HighlanderAbilities3Scenario3[takes]),0)</f>
        <v>0.68</v>
      </c>
      <c r="O77" s="12">
        <f>IF(HighlanderAbilities3Scenario3[[#This Row],[takes]]&gt;0,HighlanderAbilities3Scenario3[[#This Row],[wins]]/HighlanderAbilities3Scenario3[[#This Row],[takes]],0)</f>
        <v>0.23529411764705882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5</v>
      </c>
      <c r="M78" s="1">
        <f>COUNTIF(Scenario3[winner1-ability3],HighlanderAbilities3Scenario3[[#This Row],[ability]])</f>
        <v>4</v>
      </c>
      <c r="N78" s="15">
        <f>IF(SUM(HighlanderAbilities3Scenario3[[#This Row],[takes]]) &gt; 0,HighlanderAbilities3Scenario3[[#This Row],[takes]]/SUM(HighlanderAbilities3Scenario3[takes]),0)</f>
        <v>0.2</v>
      </c>
      <c r="O78" s="15">
        <f>IF(HighlanderAbilities3Scenario3[[#This Row],[takes]]&gt;0,HighlanderAbilities3Scenario3[[#This Row],[wins]]/HighlanderAbilities3Scenario3[[#This Row],[takes]],0)</f>
        <v>0.8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5</v>
      </c>
      <c r="M81" s="2">
        <f>COUNTIF(Scenario3[winner1-ability4],HighlanderAbilities4Scenario3[[#This Row],[ability]])</f>
        <v>1</v>
      </c>
      <c r="N81" s="12">
        <f>IF(SUM(HighlanderAbilities4Scenario3[[#This Row],[takes]]) &gt; 0,HighlanderAbilities4Scenario3[[#This Row],[takes]]/SUM(HighlanderAbilities4Scenario3[takes]),0)</f>
        <v>0.27777777777777779</v>
      </c>
      <c r="O81" s="12">
        <f>IF(HighlanderAbilities4Scenario3[[#This Row],[takes]]&gt;0,HighlanderAbilities4Scenario3[[#This Row],[wins]]/HighlanderAbilities4Scenario3[[#This Row],[takes]],0)</f>
        <v>0.2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9</v>
      </c>
      <c r="M82" s="2">
        <f>COUNTIF(Scenario3[winner1-ability4],HighlanderAbilities4Scenario3[[#This Row],[ability]])</f>
        <v>4</v>
      </c>
      <c r="N82" s="12">
        <f>IF(SUM(HighlanderAbilities4Scenario3[[#This Row],[takes]]) &gt; 0,HighlanderAbilities4Scenario3[[#This Row],[takes]]/SUM(HighlanderAbilities4Scenario3[takes]),0)</f>
        <v>0.5</v>
      </c>
      <c r="O82" s="12">
        <f>IF(HighlanderAbilities4Scenario3[[#This Row],[takes]]&gt;0,HighlanderAbilities4Scenario3[[#This Row],[wins]]/HighlanderAbilities4Scenario3[[#This Row],[takes]],0)</f>
        <v>0.44444444444444442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3</v>
      </c>
      <c r="N83" s="26">
        <f>IF(SUM(HighlanderAbilities4Scenario3[[#This Row],[takes]]) &gt; 0,HighlanderAbilities4Scenario3[[#This Row],[takes]]/SUM(HighlanderAbilities4Scenario3[takes]),0)</f>
        <v>0.22222222222222221</v>
      </c>
      <c r="O83" s="26">
        <f>IF(HighlanderAbilities4Scenario3[[#This Row],[takes]]&gt;0,HighlanderAbilities4Scenario3[[#This Row],[wins]]/HighlanderAbilities4Scenario3[[#This Row],[takes]],0)</f>
        <v>0.75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3.5714285714285712E-2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41</v>
      </c>
      <c r="M88">
        <f>COUNTIF(Scenario4[winner1-ability1],HighlanderAbilities1Scenario4[[#This Row],[ability]])</f>
        <v>11</v>
      </c>
      <c r="N88" s="3">
        <f>IF(SUM(HighlanderAbilities1Scenario4[[#This Row],[takes]]) &gt; 0,HighlanderAbilities1Scenario4[[#This Row],[takes]]/SUM(HighlanderAbilities1Scenario4[takes]),0)</f>
        <v>0.7321428571428571</v>
      </c>
      <c r="O88" s="3">
        <f>IF(HighlanderAbilities1Scenario4[[#This Row],[takes]]&gt;0,HighlanderAbilities1Scenario4[[#This Row],[wins]]/HighlanderAbilities1Scenario4[[#This Row],[takes]],0)</f>
        <v>0.26829268292682928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5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13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0.23214285714285715</v>
      </c>
      <c r="O89" s="3">
        <f>IF(HighlanderAbilities1Scenario4[[#This Row],[takes]]&gt;0,HighlanderAbilities1Scenario4[[#This Row],[wins]]/HighlanderAbilities1Scenario4[[#This Row],[takes]],0)</f>
        <v>7.6923076923076927E-2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51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51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35</v>
      </c>
      <c r="M92" s="2">
        <f>COUNTIF(Scenario4[winner1-ability2],HighlanderAbilities2Scenario4[[#This Row],[ability]])</f>
        <v>8</v>
      </c>
      <c r="N92" s="12">
        <f>IF(SUM(HighlanderAbilities2Scenario4[[#This Row],[takes]]) &gt; 0,HighlanderAbilities2Scenario4[[#This Row],[takes]]/SUM(HighlanderAbilities2Scenario4[takes]),0)</f>
        <v>0.625</v>
      </c>
      <c r="O92" s="12">
        <f>IF(HighlanderAbilities2Scenario4[[#This Row],[takes]]&gt;0,HighlanderAbilities2Scenario4[[#This Row],[wins]]/HighlanderAbilities2Scenario4[[#This Row],[takes]],0)</f>
        <v>0.22857142857142856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8</v>
      </c>
      <c r="M93" s="2">
        <f>COUNTIF(Scenario4[winner1-ability2],HighlanderAbilities2Scenario4[[#This Row],[ability]])</f>
        <v>1</v>
      </c>
      <c r="N93" s="3">
        <f>IF(SUM(HighlanderAbilities2Scenario4[[#This Row],[takes]]) &gt; 0,HighlanderAbilities2Scenario4[[#This Row],[takes]]/SUM(HighlanderAbilities2Scenario4[takes]),0)</f>
        <v>0.14285714285714285</v>
      </c>
      <c r="O93" s="3">
        <f>IF(HighlanderAbilities2Scenario4[[#This Row],[takes]]&gt;0,HighlanderAbilities2Scenario4[[#This Row],[wins]]/HighlanderAbilities2Scenario4[[#This Row],[takes]],0)</f>
        <v>0.125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13</v>
      </c>
      <c r="M94" s="2">
        <f>COUNTIF(Scenario4[winner1-ability2],HighlanderAbilities2Scenario4[[#This Row],[ability]])</f>
        <v>3</v>
      </c>
      <c r="N94" s="13">
        <f>IF(SUM(HighlanderAbilities2Scenario4[[#This Row],[takes]]) &gt; 0,HighlanderAbilities2Scenario4[[#This Row],[takes]]/SUM(HighlanderAbilities2Scenario4[takes]),0)</f>
        <v>0.23214285714285715</v>
      </c>
      <c r="O94" s="13">
        <f>IF(HighlanderAbilities2Scenario4[[#This Row],[takes]]&gt;0,HighlanderAbilities2Scenario4[[#This Row],[wins]]/HighlanderAbilities2Scenario4[[#This Row],[takes]],0)</f>
        <v>0.23076923076923078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13</v>
      </c>
      <c r="M97" s="1">
        <f>COUNTIF(Scenario4[winner1-ability3],HighlanderAbilities3Scenario4[[#This Row],[ability]])</f>
        <v>3</v>
      </c>
      <c r="N97" s="14">
        <f>IF(SUM(HighlanderAbilities3Scenario4[[#This Row],[takes]]) &gt; 0,HighlanderAbilities3Scenario4[[#This Row],[takes]]/SUM(HighlanderAbilities3Scenario4[takes]),0)</f>
        <v>0.23636363636363636</v>
      </c>
      <c r="O97" s="14">
        <f>IF(HighlanderAbilities3Scenario4[[#This Row],[takes]]&gt;0,HighlanderAbilities3Scenario4[[#This Row],[wins]]/HighlanderAbilities3Scenario4[[#This Row],[takes]],0)</f>
        <v>0.23076923076923078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29</v>
      </c>
      <c r="M98" s="2">
        <f>COUNTIF(Scenario4[winner1-ability3],HighlanderAbilities3Scenario4[[#This Row],[ability]])</f>
        <v>7</v>
      </c>
      <c r="N98" s="12">
        <f>IF(SUM(HighlanderAbilities3Scenario4[[#This Row],[takes]]) &gt; 0,HighlanderAbilities3Scenario4[[#This Row],[takes]]/SUM(HighlanderAbilities3Scenario4[takes]),0)</f>
        <v>0.52727272727272723</v>
      </c>
      <c r="O98" s="12">
        <f>IF(HighlanderAbilities3Scenario4[[#This Row],[takes]]&gt;0,HighlanderAbilities3Scenario4[[#This Row],[wins]]/HighlanderAbilities3Scenario4[[#This Row],[takes]],0)</f>
        <v>0.2413793103448276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13</v>
      </c>
      <c r="M99" s="1">
        <f>COUNTIF(Scenario4[winner1-ability3],HighlanderAbilities3Scenario4[[#This Row],[ability]])</f>
        <v>2</v>
      </c>
      <c r="N99" s="15">
        <f>IF(SUM(HighlanderAbilities3Scenario4[[#This Row],[takes]]) &gt; 0,HighlanderAbilities3Scenario4[[#This Row],[takes]]/SUM(HighlanderAbilities3Scenario4[takes]),0)</f>
        <v>0.23636363636363636</v>
      </c>
      <c r="O99" s="15">
        <f>IF(HighlanderAbilities3Scenario4[[#This Row],[takes]]&gt;0,HighlanderAbilities3Scenario4[[#This Row],[wins]]/HighlanderAbilities3Scenario4[[#This Row],[takes]],0)</f>
        <v>0.15384615384615385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24</v>
      </c>
      <c r="M102" s="2">
        <f>COUNTIF(Scenario4[winner1-ability4],HighlanderAbilities4Scenario4[[#This Row],[ability]])</f>
        <v>5</v>
      </c>
      <c r="N102" s="12">
        <f>IF(SUM(HighlanderAbilities4Scenario4[[#This Row],[takes]]) &gt; 0,HighlanderAbilities4Scenario4[[#This Row],[takes]]/SUM(HighlanderAbilities4Scenario4[takes]),0)</f>
        <v>0.48</v>
      </c>
      <c r="O102" s="12">
        <f>IF(HighlanderAbilities4Scenario4[[#This Row],[takes]]&gt;0,HighlanderAbilities4Scenario4[[#This Row],[wins]]/HighlanderAbilities4Scenario4[[#This Row],[takes]],0)</f>
        <v>0.20833333333333334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13</v>
      </c>
      <c r="M103" s="2">
        <f>COUNTIF(Scenario4[winner1-ability4],HighlanderAbilities4Scenario4[[#This Row],[ability]])</f>
        <v>3</v>
      </c>
      <c r="N103" s="12">
        <f>IF(SUM(HighlanderAbilities4Scenario4[[#This Row],[takes]]) &gt; 0,HighlanderAbilities4Scenario4[[#This Row],[takes]]/SUM(HighlanderAbilities4Scenario4[takes]),0)</f>
        <v>0.26</v>
      </c>
      <c r="O103" s="12">
        <f>IF(HighlanderAbilities4Scenario4[[#This Row],[takes]]&gt;0,HighlanderAbilities4Scenario4[[#This Row],[wins]]/HighlanderAbilities4Scenario4[[#This Row],[takes]],0)</f>
        <v>0.23076923076923078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13</v>
      </c>
      <c r="M104" s="2">
        <f>COUNTIF(Scenario4[winner1-ability4],HighlanderAbilities4Scenario4[[#This Row],[ability]])</f>
        <v>3</v>
      </c>
      <c r="N104" s="26">
        <f>IF(SUM(HighlanderAbilities4Scenario4[[#This Row],[takes]]) &gt; 0,HighlanderAbilities4Scenario4[[#This Row],[takes]]/SUM(HighlanderAbilities4Scenario4[takes]),0)</f>
        <v>0.26</v>
      </c>
      <c r="O104" s="26">
        <f>IF(HighlanderAbilities4Scenario4[[#This Row],[takes]]&gt;0,HighlanderAbilities4Scenario4[[#This Row],[wins]]/HighlanderAbilities4Scenario4[[#This Row],[takes]],0)</f>
        <v>0.23076923076923078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</v>
      </c>
      <c r="M108">
        <f>COUNTIF(Scenario5[winner1-ability1],HighlanderAbilities1Scenario5[[#This Row],[ability]])+COUNTIF(Scenario5[winner2-ability1],HighlanderAbilities1Scenario5[[#This Row],[ability]])</f>
        <v>4</v>
      </c>
      <c r="N108" s="3">
        <f>IF(SUM(HighlanderAbilities1Scenario5[[#This Row],[takes]]) &gt; 0,HighlanderAbilities1Scenario5[[#This Row],[takes]]/SUM(HighlanderAbilities1Scenario5[takes]),0)</f>
        <v>2.3809523809523808E-2</v>
      </c>
      <c r="O108" s="3">
        <f>IF(HighlanderAbilities1Scenario5[[#This Row],[takes]]&gt;0,HighlanderAbilities1Scenario5[[#This Row],[wins]]/HighlanderAbilities1Scenario5[[#This Row],[takes]],0)</f>
        <v>1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16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100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60</v>
      </c>
      <c r="M109">
        <f>COUNTIF(Scenario5[winner1-ability1],HighlanderAbilities1Scenario5[[#This Row],[ability]])+COUNTIF(Scenario5[winner2-ability1],HighlanderAbilities1Scenario5[[#This Row],[ability]])</f>
        <v>28</v>
      </c>
      <c r="N109" s="3">
        <f>IF(SUM(HighlanderAbilities1Scenario5[[#This Row],[takes]]) &gt; 0,HighlanderAbilities1Scenario5[[#This Row],[takes]]/SUM(HighlanderAbilities1Scenario5[takes]),0)</f>
        <v>0.35714285714285715</v>
      </c>
      <c r="O109" s="3">
        <f>IF(HighlanderAbilities1Scenario5[[#This Row],[takes]]&gt;0,HighlanderAbilities1Scenario5[[#This Row],[wins]]/HighlanderAbilities1Scenario5[[#This Row],[takes]],0)</f>
        <v>0.46666666666666667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41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35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104</v>
      </c>
      <c r="M110">
        <f>COUNTIF(Scenario5[winner1-ability1],HighlanderAbilities1Scenario5[[#This Row],[ability]])+COUNTIF(Scenario5[winner2-ability1],HighlanderAbilities1Scenario5[[#This Row],[ability]])</f>
        <v>71</v>
      </c>
      <c r="N110" s="3">
        <f>IF(SUM(HighlanderAbilities1Scenario5[[#This Row],[takes]]) &gt; 0,HighlanderAbilities1Scenario5[[#This Row],[takes]]/SUM(HighlanderAbilities1Scenario5[takes]),0)</f>
        <v>0.61904761904761907</v>
      </c>
      <c r="O110" s="3">
        <f>IF(HighlanderAbilities1Scenario5[[#This Row],[takes]]&gt;0,HighlanderAbilities1Scenario5[[#This Row],[wins]]/HighlanderAbilities1Scenario5[[#This Row],[takes]],0)</f>
        <v>0.68269230769230771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111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33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31</v>
      </c>
      <c r="M113" s="2">
        <f>COUNTIF(Scenario5[winner1-ability2],HighlanderAbilities2Scenario5[[#This Row],[ability]])+COUNTIF(Scenario5[winner2-ability2],HighlanderAbilities2Scenario5[[#This Row],[ability]])</f>
        <v>12</v>
      </c>
      <c r="N113" s="12">
        <f>IF(SUM(HighlanderAbilities2Scenario5[[#This Row],[takes]]) &gt; 0,HighlanderAbilities2Scenario5[[#This Row],[takes]]/SUM(HighlanderAbilities2Scenario5[takes]),0)</f>
        <v>0.20529801324503311</v>
      </c>
      <c r="O113" s="12">
        <f>IF(HighlanderAbilities2Scenario5[[#This Row],[takes]]&gt;0,HighlanderAbilities2Scenario5[[#This Row],[wins]]/HighlanderAbilities2Scenario5[[#This Row],[takes]],0)</f>
        <v>0.38709677419354838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15</v>
      </c>
      <c r="M114" s="2">
        <f>COUNTIF(Scenario5[winner1-ability2],HighlanderAbilities2Scenario5[[#This Row],[ability]])+COUNTIF(Scenario5[winner2-ability2],HighlanderAbilities2Scenario5[[#This Row],[ability]])</f>
        <v>7</v>
      </c>
      <c r="N114" s="3">
        <f>IF(SUM(HighlanderAbilities2Scenario5[[#This Row],[takes]]) &gt; 0,HighlanderAbilities2Scenario5[[#This Row],[takes]]/SUM(HighlanderAbilities2Scenario5[takes]),0)</f>
        <v>9.9337748344370855E-2</v>
      </c>
      <c r="O114" s="3">
        <f>IF(HighlanderAbilities2Scenario5[[#This Row],[takes]]&gt;0,HighlanderAbilities2Scenario5[[#This Row],[wins]]/HighlanderAbilities2Scenario5[[#This Row],[takes]],0)</f>
        <v>0.46666666666666667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105</v>
      </c>
      <c r="M115" s="2">
        <f>COUNTIF(Scenario5[winner1-ability2],HighlanderAbilities2Scenario5[[#This Row],[ability]])+COUNTIF(Scenario5[winner2-ability2],HighlanderAbilities2Scenario5[[#This Row],[ability]])</f>
        <v>74</v>
      </c>
      <c r="N115" s="13">
        <f>IF(SUM(HighlanderAbilities2Scenario5[[#This Row],[takes]]) &gt; 0,HighlanderAbilities2Scenario5[[#This Row],[takes]]/SUM(HighlanderAbilities2Scenario5[takes]),0)</f>
        <v>0.69536423841059603</v>
      </c>
      <c r="O115" s="13">
        <f>IF(HighlanderAbilities2Scenario5[[#This Row],[takes]]&gt;0,HighlanderAbilities2Scenario5[[#This Row],[wins]]/HighlanderAbilities2Scenario5[[#This Row],[takes]],0)</f>
        <v>0.70476190476190481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33</v>
      </c>
      <c r="M118" s="1">
        <f>COUNTIF(Scenario5[winner1-ability3],HighlanderAbilities3Scenario5[[#This Row],[ability]])+COUNTIF(Scenario5[winner2-ability3],HighlanderAbilities3Scenario5[[#This Row],[ability]])</f>
        <v>14</v>
      </c>
      <c r="N118" s="14">
        <f>IF(SUM(HighlanderAbilities3Scenario5[[#This Row],[takes]]) &gt; 0,HighlanderAbilities3Scenario5[[#This Row],[takes]]/SUM(HighlanderAbilities3Scenario5[takes]),0)</f>
        <v>0.29729729729729731</v>
      </c>
      <c r="O118" s="14">
        <f>IF(HighlanderAbilities3Scenario5[[#This Row],[takes]]&gt;0,HighlanderAbilities3Scenario5[[#This Row],[wins]]/HighlanderAbilities3Scenario5[[#This Row],[takes]],0)</f>
        <v>0.42424242424242425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29</v>
      </c>
      <c r="M119" s="2">
        <f>COUNTIF(Scenario5[winner1-ability3],HighlanderAbilities3Scenario5[[#This Row],[ability]])+COUNTIF(Scenario5[winner2-ability3],HighlanderAbilities3Scenario5[[#This Row],[ability]])</f>
        <v>18</v>
      </c>
      <c r="N119" s="12">
        <f>IF(SUM(HighlanderAbilities3Scenario5[[#This Row],[takes]]) &gt; 0,HighlanderAbilities3Scenario5[[#This Row],[takes]]/SUM(HighlanderAbilities3Scenario5[takes]),0)</f>
        <v>0.26126126126126126</v>
      </c>
      <c r="O119" s="12">
        <f>IF(HighlanderAbilities3Scenario5[[#This Row],[takes]]&gt;0,HighlanderAbilities3Scenario5[[#This Row],[wins]]/HighlanderAbilities3Scenario5[[#This Row],[takes]],0)</f>
        <v>0.62068965517241381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49</v>
      </c>
      <c r="M120" s="1">
        <f>COUNTIF(Scenario5[winner1-ability3],HighlanderAbilities3Scenario5[[#This Row],[ability]])+COUNTIF(Scenario5[winner2-ability3],HighlanderAbilities3Scenario5[[#This Row],[ability]])</f>
        <v>41</v>
      </c>
      <c r="N120" s="15">
        <f>IF(SUM(HighlanderAbilities3Scenario5[[#This Row],[takes]]) &gt; 0,HighlanderAbilities3Scenario5[[#This Row],[takes]]/SUM(HighlanderAbilities3Scenario5[takes]),0)</f>
        <v>0.44144144144144143</v>
      </c>
      <c r="O120" s="15">
        <f>IF(HighlanderAbilities3Scenario5[[#This Row],[takes]]&gt;0,HighlanderAbilities3Scenario5[[#This Row],[wins]]/HighlanderAbilities3Scenario5[[#This Row],[takes]],0)</f>
        <v>0.83673469387755106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15</v>
      </c>
      <c r="M123" s="2">
        <f>COUNTIF(Scenario5[winner1-ability4],HighlanderAbilities4Scenario5[[#This Row],[ability]])+COUNTIF(Scenario5[winner2-ability4],HighlanderAbilities4Scenario5[[#This Row],[ability]])</f>
        <v>9</v>
      </c>
      <c r="N123" s="12">
        <f>IF(SUM(HighlanderAbilities4Scenario5[[#This Row],[takes]]) &gt; 0,HighlanderAbilities4Scenario5[[#This Row],[takes]]/SUM(HighlanderAbilities4Scenario5[takes]),0)</f>
        <v>0.20547945205479451</v>
      </c>
      <c r="O123" s="12">
        <f>IF(HighlanderAbilities4Scenario5[[#This Row],[takes]]&gt;0,HighlanderAbilities4Scenario5[[#This Row],[wins]]/HighlanderAbilities4Scenario5[[#This Row],[takes]],0)</f>
        <v>0.6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24</v>
      </c>
      <c r="M124" s="2">
        <f>COUNTIF(Scenario5[winner1-ability4],HighlanderAbilities4Scenario5[[#This Row],[ability]])+COUNTIF(Scenario5[winner2-ability4],HighlanderAbilities4Scenario5[[#This Row],[ability]])</f>
        <v>12</v>
      </c>
      <c r="N124" s="12">
        <f>IF(SUM(HighlanderAbilities4Scenario5[[#This Row],[takes]]) &gt; 0,HighlanderAbilities4Scenario5[[#This Row],[takes]]/SUM(HighlanderAbilities4Scenario5[takes]),0)</f>
        <v>0.32876712328767121</v>
      </c>
      <c r="O124" s="12">
        <f>IF(HighlanderAbilities4Scenario5[[#This Row],[takes]]&gt;0,HighlanderAbilities4Scenario5[[#This Row],[wins]]/HighlanderAbilities4Scenario5[[#This Row],[takes]],0)</f>
        <v>0.5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34</v>
      </c>
      <c r="M125" s="2">
        <f>COUNTIF(Scenario5[winner1-ability4],HighlanderAbilities4Scenario5[[#This Row],[ability]])+COUNTIF(Scenario5[winner2-ability4],HighlanderAbilities4Scenario5[[#This Row],[ability]])</f>
        <v>31</v>
      </c>
      <c r="N125" s="26">
        <f>IF(SUM(HighlanderAbilities4Scenario5[[#This Row],[takes]]) &gt; 0,HighlanderAbilities4Scenario5[[#This Row],[takes]]/SUM(HighlanderAbilities4Scenario5[takes]),0)</f>
        <v>0.46575342465753422</v>
      </c>
      <c r="O125" s="26">
        <f>IF(HighlanderAbilities4Scenario5[[#This Row],[takes]]&gt;0,HighlanderAbilities4Scenario5[[#This Row],[wins]]/HighlanderAbilities4Scenario5[[#This Row],[takes]],0)</f>
        <v>0.91176470588235292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U12" sqref="U12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0.23178807947019867</v>
      </c>
    </row>
    <row r="3" spans="1:22" x14ac:dyDescent="0.25">
      <c r="A3" t="s">
        <v>49</v>
      </c>
      <c r="B3">
        <f>L3+L24+L45+L66+L87+L108</f>
        <v>203</v>
      </c>
      <c r="C3">
        <f>M3+M24+M45+M66+M87+M108</f>
        <v>118</v>
      </c>
      <c r="D3" s="3">
        <f>IF(SUM(DruidAbilities1[[#This Row],[takes]]) &gt; 0,DruidAbilities1[[#This Row],[takes]]/SUM(DruidAbilities1[takes]),0)</f>
        <v>0.33609271523178808</v>
      </c>
      <c r="E3" s="3">
        <f>IF(DruidAbilities1[[#This Row],[takes]]&gt;0,DruidAbilities1[[#This Row],[wins]]/DruidAbilities1[[#This Row],[takes]],0)</f>
        <v>0.58128078817733986</v>
      </c>
      <c r="G3">
        <v>1</v>
      </c>
      <c r="H3">
        <f>R3+R24+R45+R66+R87+R108</f>
        <v>184</v>
      </c>
      <c r="I3" s="18">
        <f>S3+S24+S45+S66+S87+S108</f>
        <v>374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91</v>
      </c>
      <c r="M3">
        <f>COUNTIF(Scenario0[winner1-ability1],DruidAbilities1Scenario0[[#This Row],[ability]])+COUNTIF(Scenario0[winner2-ability1],DruidAbilities1Scenario0[[#This Row],[ability]])</f>
        <v>55</v>
      </c>
      <c r="N3" s="3">
        <f>IF(SUM(DruidAbilities1Scenario0[[#This Row],[takes]]) &gt; 0,DruidAbilities1Scenario0[[#This Row],[takes]]/SUM(DruidAbilities1Scenario0[takes]),0)</f>
        <v>0.54166666666666663</v>
      </c>
      <c r="O3" s="3">
        <f>IF(DruidAbilities1Scenario0[[#This Row],[takes]]&gt;0,DruidAbilities1Scenario0[[#This Row],[wins]]/DruidAbilities1Scenario0[[#This Row],[takes]],0)</f>
        <v>0.60439560439560436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72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149</v>
      </c>
      <c r="U3" t="s">
        <v>196</v>
      </c>
      <c r="V3" s="16">
        <f>H5/SUM(DruidEquip[staff])</f>
        <v>0.46357615894039733</v>
      </c>
    </row>
    <row r="4" spans="1:22" x14ac:dyDescent="0.25">
      <c r="A4" t="s">
        <v>89</v>
      </c>
      <c r="B4">
        <f t="shared" ref="B4:B5" si="0">L4+L25+L46+L67+L88+L109</f>
        <v>220</v>
      </c>
      <c r="C4">
        <f t="shared" ref="C4:C5" si="1">M4+M25+M46+M67+M88+M109</f>
        <v>137</v>
      </c>
      <c r="D4" s="3">
        <f>IF(SUM(DruidAbilities1[[#This Row],[takes]]) &gt; 0,DruidAbilities1[[#This Row],[takes]]/SUM(DruidAbilities1[takes]),0)</f>
        <v>0.36423841059602646</v>
      </c>
      <c r="E4" s="3">
        <f>IF(DruidAbilities1[[#This Row],[takes]]&gt;0,DruidAbilities1[[#This Row],[wins]]/DruidAbilities1[[#This Row],[takes]],0)</f>
        <v>0.62272727272727268</v>
      </c>
      <c r="G4">
        <v>2</v>
      </c>
      <c r="H4">
        <f t="shared" ref="H4:H5" si="2">R4+R25+R46+R67+R88+R109</f>
        <v>140</v>
      </c>
      <c r="I4" s="18">
        <f t="shared" ref="I4:I5" si="3">S4+S25+S46+S67+S88+S109</f>
        <v>83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77</v>
      </c>
      <c r="M4">
        <f>COUNTIF(Scenario0[winner1-ability1],DruidAbilities1Scenario0[[#This Row],[ability]])+COUNTIF(Scenario0[winner2-ability1],DruidAbilities1Scenario0[[#This Row],[ability]])</f>
        <v>49</v>
      </c>
      <c r="N4" s="3">
        <f>IF(SUM(DruidAbilities1Scenario0[[#This Row],[takes]]) &gt; 0,DruidAbilities1Scenario0[[#This Row],[takes]]/SUM(DruidAbilities1Scenario0[takes]),0)</f>
        <v>0.45833333333333331</v>
      </c>
      <c r="O4" s="3">
        <f>IF(DruidAbilities1Scenario0[[#This Row],[takes]]&gt;0,DruidAbilities1Scenario0[[#This Row],[wins]]/DruidAbilities1Scenario0[[#This Row],[takes]],0)</f>
        <v>0.63636363636363635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60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15</v>
      </c>
      <c r="U4" t="s">
        <v>179</v>
      </c>
      <c r="V4" s="3">
        <f>DruidEquip[[#This Row],[chestpiece]]/SUM(DruidEquip[chestpiece])</f>
        <v>0.13741721854304637</v>
      </c>
    </row>
    <row r="5" spans="1:22" x14ac:dyDescent="0.25">
      <c r="A5" t="s">
        <v>126</v>
      </c>
      <c r="B5">
        <f t="shared" si="0"/>
        <v>181</v>
      </c>
      <c r="C5">
        <f t="shared" si="1"/>
        <v>64</v>
      </c>
      <c r="D5" s="3">
        <f>IF(SUM(DruidAbilities1[[#This Row],[takes]]) &gt; 0,DruidAbilities1[[#This Row],[takes]]/SUM(DruidAbilities1[takes]),0)</f>
        <v>0.29966887417218541</v>
      </c>
      <c r="E5" s="3">
        <f>IF(DruidAbilities1[[#This Row],[takes]]&gt;0,DruidAbilities1[[#This Row],[wins]]/DruidAbilities1[[#This Row],[takes]],0)</f>
        <v>0.35359116022099446</v>
      </c>
      <c r="G5">
        <v>3</v>
      </c>
      <c r="H5">
        <f t="shared" si="2"/>
        <v>280</v>
      </c>
      <c r="I5" s="18">
        <f t="shared" si="3"/>
        <v>147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36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5" t="s">
        <v>180</v>
      </c>
      <c r="V5" s="16">
        <f>DruidEquip[[#This Row],[chestpiece]]/SUM(DruidEquip[chestpiece])</f>
        <v>0.2433774834437086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0.73675496688741726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0.54966887417218546</v>
      </c>
    </row>
    <row r="8" spans="1:22" x14ac:dyDescent="0.25">
      <c r="A8" s="2" t="s">
        <v>71</v>
      </c>
      <c r="B8" s="2">
        <f>L8+L29+L50+L71+L92+L113</f>
        <v>85</v>
      </c>
      <c r="C8" s="2">
        <f>M8+M29+M50+M71+M92+M113</f>
        <v>75</v>
      </c>
      <c r="D8" s="12">
        <f>IF(SUM(DruidAbilities2[[#This Row],[takes]]) &gt; 0,DruidAbilities2[[#This Row],[takes]]/SUM(DruidAbilities2[takes]),0)</f>
        <v>0.19101123595505617</v>
      </c>
      <c r="E8" s="12">
        <f>IF(DruidAbilities2[[#This Row],[takes]]&gt;0,DruidAbilities2[[#This Row],[wins]]/DruidAbilities2[[#This Row],[takes]],0)</f>
        <v>0.88235294117647056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30</v>
      </c>
      <c r="M8" s="2">
        <f>COUNTIF(Scenario0[winner1-ability2],DruidAbilities2Scenario0[[#This Row],[ability]])+COUNTIF(Scenario0[winner2-ability2],DruidAbilities2Scenario0[[#This Row],[ability]])</f>
        <v>24</v>
      </c>
      <c r="N8" s="12">
        <f>IF(SUM(DruidAbilities2Scenario0[[#This Row],[takes]]) &gt; 0,DruidAbilities2Scenario0[[#This Row],[takes]]/SUM(DruidAbilities2Scenario0[takes]),0)</f>
        <v>0.46875</v>
      </c>
      <c r="O8" s="12">
        <f>IF(DruidAbilities2Scenario0[[#This Row],[takes]]&gt;0,DruidAbilities2Scenario0[[#This Row],[wins]]/DruidAbilities2Scenario0[[#This Row],[takes]],0)</f>
        <v>0.8</v>
      </c>
      <c r="S8" s="18"/>
      <c r="U8" t="s">
        <v>178</v>
      </c>
      <c r="V8" s="16">
        <f>SUM(DruidAbilities4[takes])/SUM(DruidAbilities1[takes])</f>
        <v>0.38576158940397354</v>
      </c>
    </row>
    <row r="9" spans="1:22" x14ac:dyDescent="0.25">
      <c r="A9" t="s">
        <v>50</v>
      </c>
      <c r="B9" s="2">
        <f t="shared" ref="B9:B10" si="4">L9+L30+L51+L72+L93+L114</f>
        <v>69</v>
      </c>
      <c r="C9" s="2">
        <f t="shared" ref="C9:C10" si="5">M9+M30+M51+M72+M93+M114</f>
        <v>41</v>
      </c>
      <c r="D9" s="3">
        <f>IF(SUM(DruidAbilities2[[#This Row],[takes]]) &gt; 0,DruidAbilities2[[#This Row],[takes]]/SUM(DruidAbilities2[takes]),0)</f>
        <v>0.15505617977528091</v>
      </c>
      <c r="E9" s="3">
        <f>IF(DruidAbilities2[[#This Row],[takes]]&gt;0,DruidAbilities2[[#This Row],[wins]]/DruidAbilities2[[#This Row],[takes]],0)</f>
        <v>0.59420289855072461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15</v>
      </c>
      <c r="M9" s="2">
        <f>COUNTIF(Scenario0[winner1-ability2],DruidAbilities2Scenario0[[#This Row],[ability]])+COUNTIF(Scenario0[winner2-ability2],DruidAbilities2Scenario0[[#This Row],[ability]])</f>
        <v>11</v>
      </c>
      <c r="N9" s="3">
        <f>IF(SUM(DruidAbilities2Scenario0[[#This Row],[takes]]) &gt; 0,DruidAbilities2Scenario0[[#This Row],[takes]]/SUM(DruidAbilities2Scenario0[takes]),0)</f>
        <v>0.234375</v>
      </c>
      <c r="O9" s="3">
        <f>IF(DruidAbilities2Scenario0[[#This Row],[takes]]&gt;0,DruidAbilities2Scenario0[[#This Row],[wins]]/DruidAbilities2Scenario0[[#This Row],[takes]],0)</f>
        <v>0.73333333333333328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2.7483443708609272</v>
      </c>
    </row>
    <row r="10" spans="1:22" x14ac:dyDescent="0.25">
      <c r="A10" s="10" t="s">
        <v>84</v>
      </c>
      <c r="B10" s="2">
        <f t="shared" si="4"/>
        <v>291</v>
      </c>
      <c r="C10" s="2">
        <f t="shared" si="5"/>
        <v>126</v>
      </c>
      <c r="D10" s="13">
        <f>IF(SUM(DruidAbilities2[[#This Row],[takes]]) &gt; 0,DruidAbilities2[[#This Row],[takes]]/SUM(DruidAbilities2[takes]),0)</f>
        <v>0.65393258426966294</v>
      </c>
      <c r="E10" s="13">
        <f>IF(DruidAbilities2[[#This Row],[takes]]&gt;0,DruidAbilities2[[#This Row],[wins]]/DruidAbilities2[[#This Row],[takes]],0)</f>
        <v>0.4329896907216495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19</v>
      </c>
      <c r="M10" s="2">
        <f>COUNTIF(Scenario0[winner1-ability2],DruidAbilities2Scenario0[[#This Row],[ability]])+COUNTIF(Scenario0[winner2-ability2],DruidAbilities2Scenario0[[#This Row],[ability]])</f>
        <v>11</v>
      </c>
      <c r="N10" s="13">
        <f>IF(SUM(DruidAbilities2Scenario0[[#This Row],[takes]]) &gt; 0,DruidAbilities2Scenario0[[#This Row],[takes]]/SUM(DruidAbilities2Scenario0[takes]),0)</f>
        <v>0.296875</v>
      </c>
      <c r="O10" s="13">
        <f>IF(DruidAbilities2Scenario0[[#This Row],[takes]]&gt;0,DruidAbilities2Scenario0[[#This Row],[wins]]/DruidAbilities2Scenario0[[#This Row],[takes]],0)</f>
        <v>0.57894736842105265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33</v>
      </c>
      <c r="C13" s="1">
        <f>M13+M34+M55+M76+M97+M118</f>
        <v>26</v>
      </c>
      <c r="D13" s="14">
        <f>IF(SUM(DruidAbilities3[[#This Row],[takes]]) &gt; 0,DruidAbilities3[[#This Row],[takes]]/SUM(DruidAbilities3[takes]),0)</f>
        <v>9.9397590361445784E-2</v>
      </c>
      <c r="E13" s="14">
        <f>IF(DruidAbilities3[[#This Row],[takes]]&gt;0,DruidAbilities3[[#This Row],[wins]]/DruidAbilities3[[#This Row],[takes]],0)</f>
        <v>0.78787878787878785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8</v>
      </c>
      <c r="M13" s="1">
        <f>COUNTIF(Scenario0[winner1-ability3],DruidAbilities3Scenario0[[#This Row],[ability]])+COUNTIF(Scenario0[winner2-ability3],DruidAbilities3Scenario0[[#This Row],[ability]])</f>
        <v>8</v>
      </c>
      <c r="N13" s="14">
        <f>IF(SUM(DruidAbilities3Scenario0[[#This Row],[takes]]) &gt; 0,DruidAbilities3Scenario0[[#This Row],[takes]]/SUM(DruidAbilities3Scenario0[takes]),0)</f>
        <v>0.25806451612903225</v>
      </c>
      <c r="O13" s="14">
        <f>IF(DruidAbilities3Scenario0[[#This Row],[takes]]&gt;0,DruidAbilities3Scenario0[[#This Row],[wins]]/DruidAbilities3Scenario0[[#This Row],[takes]],0)</f>
        <v>1</v>
      </c>
      <c r="S13" s="18"/>
    </row>
    <row r="14" spans="1:22" x14ac:dyDescent="0.25">
      <c r="A14" s="2" t="s">
        <v>127</v>
      </c>
      <c r="B14" s="2">
        <f t="shared" ref="B14:B15" si="6">L14+L35+L56+L77+L98+L119</f>
        <v>126</v>
      </c>
      <c r="C14" s="2">
        <f t="shared" ref="C14:C15" si="7">M14+M35+M56+M77+M98+M119</f>
        <v>79</v>
      </c>
      <c r="D14" s="12">
        <f>IF(SUM(DruidAbilities3[[#This Row],[takes]]) &gt; 0,DruidAbilities3[[#This Row],[takes]]/SUM(DruidAbilities3[takes]),0)</f>
        <v>0.37951807228915663</v>
      </c>
      <c r="E14" s="12">
        <f>IF(DruidAbilities3[[#This Row],[takes]]&gt;0,DruidAbilities3[[#This Row],[wins]]/DruidAbilities3[[#This Row],[takes]],0)</f>
        <v>0.62698412698412698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11</v>
      </c>
      <c r="M14" s="2">
        <f>COUNTIF(Scenario0[winner1-ability3],DruidAbilities3Scenario0[[#This Row],[ability]])+COUNTIF(Scenario0[winner2-ability3],DruidAbilities3Scenario0[[#This Row],[ability]])</f>
        <v>9</v>
      </c>
      <c r="N14" s="12">
        <f>IF(SUM(DruidAbilities3Scenario0[[#This Row],[takes]]) &gt; 0,DruidAbilities3Scenario0[[#This Row],[takes]]/SUM(DruidAbilities3Scenario0[takes]),0)</f>
        <v>0.35483870967741937</v>
      </c>
      <c r="O14" s="12">
        <f>IF(DruidAbilities3Scenario0[[#This Row],[takes]]&gt;0,DruidAbilities3Scenario0[[#This Row],[wins]]/DruidAbilities3Scenario0[[#This Row],[takes]],0)</f>
        <v>0.81818181818181823</v>
      </c>
      <c r="S14" s="18"/>
    </row>
    <row r="15" spans="1:22" x14ac:dyDescent="0.25">
      <c r="A15" s="11" t="s">
        <v>90</v>
      </c>
      <c r="B15" s="1">
        <f t="shared" si="6"/>
        <v>173</v>
      </c>
      <c r="C15" s="1">
        <f t="shared" si="7"/>
        <v>82</v>
      </c>
      <c r="D15" s="15">
        <f>IF(SUM(DruidAbilities3[[#This Row],[takes]]) &gt; 0,DruidAbilities3[[#This Row],[takes]]/SUM(DruidAbilities3[takes]),0)</f>
        <v>0.52108433734939763</v>
      </c>
      <c r="E15" s="15">
        <f>IF(DruidAbilities3[[#This Row],[takes]]&gt;0,DruidAbilities3[[#This Row],[wins]]/DruidAbilities3[[#This Row],[takes]],0)</f>
        <v>0.47398843930635837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12</v>
      </c>
      <c r="M15" s="1">
        <f>COUNTIF(Scenario0[winner1-ability3],DruidAbilities3Scenario0[[#This Row],[ability]])+COUNTIF(Scenario0[winner2-ability3],DruidAbilities3Scenario0[[#This Row],[ability]])</f>
        <v>7</v>
      </c>
      <c r="N15" s="15">
        <f>IF(SUM(DruidAbilities3Scenario0[[#This Row],[takes]]) &gt; 0,DruidAbilities3Scenario0[[#This Row],[takes]]/SUM(DruidAbilities3Scenario0[takes]),0)</f>
        <v>0.38709677419354838</v>
      </c>
      <c r="O15" s="15">
        <f>IF(DruidAbilities3Scenario0[[#This Row],[takes]]&gt;0,DruidAbilities3Scenario0[[#This Row],[wins]]/DruidAbilities3Scenario0[[#This Row],[takes]],0)</f>
        <v>0.58333333333333337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103</v>
      </c>
      <c r="C18" s="2">
        <f>M18+M39+M60+M81+M102+M123</f>
        <v>54</v>
      </c>
      <c r="D18" s="12">
        <f>IF(SUM(DruidAbilities4[[#This Row],[takes]]) &gt; 0,DruidAbilities4[[#This Row],[takes]]/SUM(DruidAbilities4[takes]),0)</f>
        <v>0.44206008583690987</v>
      </c>
      <c r="E18" s="12">
        <f>IF(DruidAbilities4[[#This Row],[takes]]&gt;0,DruidAbilities4[[#This Row],[wins]]/DruidAbilities4[[#This Row],[takes]],0)</f>
        <v>0.52427184466019416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6</v>
      </c>
      <c r="M18" s="2">
        <f>COUNTIF(Scenario0[winner1-ability4],DruidAbilities4Scenario0[[#This Row],[ability]])+COUNTIF(Scenario0[winner2-ability4],DruidAbilities4Scenario0[[#This Row],[ability]])</f>
        <v>5</v>
      </c>
      <c r="N18" s="12">
        <f>IF(SUM(DruidAbilities4Scenario0[[#This Row],[takes]]) &gt; 0,DruidAbilities4Scenario0[[#This Row],[takes]]/SUM(DruidAbilities4Scenario0[takes]),0)</f>
        <v>0.5</v>
      </c>
      <c r="O18" s="12">
        <f>IF(DruidAbilities4Scenario0[[#This Row],[takes]]&gt;0,DruidAbilities4Scenario0[[#This Row],[wins]]/DruidAbilities4Scenario0[[#This Row],[takes]],0)</f>
        <v>0.83333333333333337</v>
      </c>
      <c r="S18" s="18"/>
    </row>
    <row r="19" spans="1:20" x14ac:dyDescent="0.25">
      <c r="A19" s="2" t="s">
        <v>52</v>
      </c>
      <c r="B19" s="2">
        <f t="shared" ref="B19:B20" si="8">L19+L40+L61+L82+L103+L124</f>
        <v>46</v>
      </c>
      <c r="C19" s="2">
        <f t="shared" ref="C19:C20" si="9">M19+M40+M61+M82+M103+M124</f>
        <v>16</v>
      </c>
      <c r="D19" s="12">
        <f>IF(SUM(DruidAbilities4[[#This Row],[takes]]) &gt; 0,DruidAbilities4[[#This Row],[takes]]/SUM(DruidAbilities4[takes]),0)</f>
        <v>0.19742489270386265</v>
      </c>
      <c r="E19" s="12">
        <f>IF(DruidAbilities4[[#This Row],[takes]]&gt;0,DruidAbilities4[[#This Row],[wins]]/DruidAbilities4[[#This Row],[takes]],0)</f>
        <v>0.34782608695652173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19" s="2">
        <f>COUNTIF(Scenario0[winner1-ability4],DruidAbilities4Scenario0[[#This Row],[ability]])+COUNTIF(Scenario0[winner2-ability4],DruidAbilities4Scenario0[[#This Row],[ability]])</f>
        <v>2</v>
      </c>
      <c r="N19" s="12">
        <f>IF(SUM(DruidAbilities4Scenario0[[#This Row],[takes]]) &gt; 0,DruidAbilities4Scenario0[[#This Row],[takes]]/SUM(DruidAbilities4Scenario0[takes]),0)</f>
        <v>0.25</v>
      </c>
      <c r="O19" s="12">
        <f>IF(DruidAbilities4Scenario0[[#This Row],[takes]]&gt;0,DruidAbilities4Scenario0[[#This Row],[wins]]/DruidAbilities4Scenario0[[#This Row],[takes]],0)</f>
        <v>0.66666666666666663</v>
      </c>
      <c r="S19" s="18"/>
    </row>
    <row r="20" spans="1:20" ht="15.75" thickBot="1" x14ac:dyDescent="0.3">
      <c r="A20" s="10" t="s">
        <v>129</v>
      </c>
      <c r="B20" s="2">
        <f t="shared" si="8"/>
        <v>84</v>
      </c>
      <c r="C20" s="2">
        <f t="shared" si="9"/>
        <v>58</v>
      </c>
      <c r="D20" s="26">
        <f>IF(SUM(DruidAbilities4[[#This Row],[takes]]) &gt; 0,DruidAbilities4[[#This Row],[takes]]/SUM(DruidAbilities4[takes]),0)</f>
        <v>0.36051502145922748</v>
      </c>
      <c r="E20" s="26">
        <f>IF(DruidAbilities4[[#This Row],[takes]]&gt;0,DruidAbilities4[[#This Row],[wins]]/DruidAbilities4[[#This Row],[takes]],0)</f>
        <v>0.69047619047619047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20" s="25">
        <f>COUNTIF(Scenario0[winner1-ability4],DruidAbilities4Scenario0[[#This Row],[ability]])+COUNTIF(Scenario0[winner2-ability4],DruidAbilities4Scenario0[[#This Row],[ability]])</f>
        <v>3</v>
      </c>
      <c r="N20" s="26">
        <f>IF(SUM(DruidAbilities4Scenario0[[#This Row],[takes]]) &gt; 0,DruidAbilities4Scenario0[[#This Row],[takes]]/SUM(DruidAbilities4Scenario0[takes]),0)</f>
        <v>0.25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64</v>
      </c>
      <c r="M24">
        <f>COUNTIF(Scenario1[winner1-ability1],DruidAbilities1Scenario1[[#This Row],[ability]])+COUNTIF(Scenario1[winner2-ability1],DruidAbilities1Scenario1[[#This Row],[ability]])</f>
        <v>41</v>
      </c>
      <c r="N24" s="3">
        <f>IF(SUM(DruidAbilities1Scenario1[[#This Row],[takes]]) &gt; 0,DruidAbilities1Scenario1[[#This Row],[takes]]/SUM(DruidAbilities1Scenario1[takes]),0)</f>
        <v>0.38095238095238093</v>
      </c>
      <c r="O24" s="3">
        <f>IF(DruidAbilities1Scenario1[[#This Row],[takes]]&gt;0,DruidAbilities1Scenario1[[#This Row],[wins]]/DruidAbilities1Scenario1[[#This Row],[takes]],0)</f>
        <v>0.640625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27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107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104</v>
      </c>
      <c r="M25">
        <f>COUNTIF(Scenario1[winner1-ability1],DruidAbilities1Scenario1[[#This Row],[ability]])+COUNTIF(Scenario1[winner2-ability1],DruidAbilities1Scenario1[[#This Row],[ability]])</f>
        <v>67</v>
      </c>
      <c r="N25" s="3">
        <f>IF(SUM(DruidAbilities1Scenario1[[#This Row],[takes]]) &gt; 0,DruidAbilities1Scenario1[[#This Row],[takes]]/SUM(DruidAbilities1Scenario1[takes]),0)</f>
        <v>0.61904761904761907</v>
      </c>
      <c r="O25" s="3">
        <f>IF(DruidAbilities1Scenario1[[#This Row],[takes]]&gt;0,DruidAbilities1Scenario1[[#This Row],[wins]]/DruidAbilities1Scenario1[[#This Row],[takes]],0)</f>
        <v>0.64423076923076927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38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35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103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26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45</v>
      </c>
      <c r="M29" s="2">
        <f>COUNTIF(Scenario1[winner1-ability2],DruidAbilities2Scenario1[[#This Row],[ability]])+COUNTIF(Scenario1[winner2-ability2],DruidAbilities2Scenario1[[#This Row],[ability]])</f>
        <v>42</v>
      </c>
      <c r="N29" s="12">
        <f>IF(SUM(DruidAbilities2Scenario1[[#This Row],[takes]]) &gt; 0,DruidAbilities2Scenario1[[#This Row],[takes]]/SUM(DruidAbilities2Scenario1[takes]),0)</f>
        <v>0.375</v>
      </c>
      <c r="O29" s="12">
        <f>IF(DruidAbilities2Scenario1[[#This Row],[takes]]&gt;0,DruidAbilities2Scenario1[[#This Row],[wins]]/DruidAbilities2Scenario1[[#This Row],[takes]],0)</f>
        <v>0.93333333333333335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19</v>
      </c>
      <c r="M30" s="2">
        <f>COUNTIF(Scenario1[winner1-ability2],DruidAbilities2Scenario1[[#This Row],[ability]])+COUNTIF(Scenario1[winner2-ability2],DruidAbilities2Scenario1[[#This Row],[ability]])</f>
        <v>15</v>
      </c>
      <c r="N30" s="3">
        <f>IF(SUM(DruidAbilities2Scenario1[[#This Row],[takes]]) &gt; 0,DruidAbilities2Scenario1[[#This Row],[takes]]/SUM(DruidAbilities2Scenario1[takes]),0)</f>
        <v>0.15833333333333333</v>
      </c>
      <c r="O30" s="3">
        <f>IF(DruidAbilities2Scenario1[[#This Row],[takes]]&gt;0,DruidAbilities2Scenario1[[#This Row],[wins]]/DruidAbilities2Scenario1[[#This Row],[takes]],0)</f>
        <v>0.78947368421052633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56</v>
      </c>
      <c r="M31" s="2">
        <f>COUNTIF(Scenario1[winner1-ability2],DruidAbilities2Scenario1[[#This Row],[ability]])+COUNTIF(Scenario1[winner2-ability2],DruidAbilities2Scenario1[[#This Row],[ability]])</f>
        <v>34</v>
      </c>
      <c r="N31" s="13">
        <f>IF(SUM(DruidAbilities2Scenario1[[#This Row],[takes]]) &gt; 0,DruidAbilities2Scenario1[[#This Row],[takes]]/SUM(DruidAbilities2Scenario1[takes]),0)</f>
        <v>0.46666666666666667</v>
      </c>
      <c r="O31" s="13">
        <f>IF(DruidAbilities2Scenario1[[#This Row],[takes]]&gt;0,DruidAbilities2Scenario1[[#This Row],[wins]]/DruidAbilities2Scenario1[[#This Row],[takes]],0)</f>
        <v>0.6071428571428571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12</v>
      </c>
      <c r="M34" s="1">
        <f>COUNTIF(Scenario1[winner1-ability3],DruidAbilities3Scenario1[[#This Row],[ability]])+COUNTIF(Scenario1[winner2-ability3],DruidAbilities3Scenario1[[#This Row],[ability]])</f>
        <v>10</v>
      </c>
      <c r="N34" s="14">
        <f>IF(SUM(DruidAbilities3Scenario1[[#This Row],[takes]]) &gt; 0,DruidAbilities3Scenario1[[#This Row],[takes]]/SUM(DruidAbilities3Scenario1[takes]),0)</f>
        <v>0.14457831325301204</v>
      </c>
      <c r="O34" s="14">
        <f>IF(DruidAbilities3Scenario1[[#This Row],[takes]]&gt;0,DruidAbilities3Scenario1[[#This Row],[wins]]/DruidAbilities3Scenario1[[#This Row],[takes]],0)</f>
        <v>0.83333333333333337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30</v>
      </c>
      <c r="M35" s="2">
        <f>COUNTIF(Scenario1[winner1-ability3],DruidAbilities3Scenario1[[#This Row],[ability]])+COUNTIF(Scenario1[winner2-ability3],DruidAbilities3Scenario1[[#This Row],[ability]])</f>
        <v>26</v>
      </c>
      <c r="N35" s="12">
        <f>IF(SUM(DruidAbilities3Scenario1[[#This Row],[takes]]) &gt; 0,DruidAbilities3Scenario1[[#This Row],[takes]]/SUM(DruidAbilities3Scenario1[takes]),0)</f>
        <v>0.36144578313253012</v>
      </c>
      <c r="O35" s="12">
        <f>IF(DruidAbilities3Scenario1[[#This Row],[takes]]&gt;0,DruidAbilities3Scenario1[[#This Row],[wins]]/DruidAbilities3Scenario1[[#This Row],[takes]],0)</f>
        <v>0.8666666666666667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41</v>
      </c>
      <c r="M36" s="1">
        <f>COUNTIF(Scenario1[winner1-ability3],DruidAbilities3Scenario1[[#This Row],[ability]])+COUNTIF(Scenario1[winner2-ability3],DruidAbilities3Scenario1[[#This Row],[ability]])</f>
        <v>31</v>
      </c>
      <c r="N36" s="15">
        <f>IF(SUM(DruidAbilities3Scenario1[[#This Row],[takes]]) &gt; 0,DruidAbilities3Scenario1[[#This Row],[takes]]/SUM(DruidAbilities3Scenario1[takes]),0)</f>
        <v>0.49397590361445781</v>
      </c>
      <c r="O36" s="15">
        <f>IF(DruidAbilities3Scenario1[[#This Row],[takes]]&gt;0,DruidAbilities3Scenario1[[#This Row],[wins]]/DruidAbilities3Scenario1[[#This Row],[takes]],0)</f>
        <v>0.75609756097560976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24</v>
      </c>
      <c r="M39" s="2">
        <f>COUNTIF(Scenario1[winner1-ability4],DruidAbilities4Scenario1[[#This Row],[ability]])+COUNTIF(Scenario1[winner2-ability4],DruidAbilities4Scenario1[[#This Row],[ability]])</f>
        <v>19</v>
      </c>
      <c r="N39" s="12">
        <f>IF(SUM(DruidAbilities4Scenario1[[#This Row],[takes]]) &gt; 0,DruidAbilities4Scenario1[[#This Row],[takes]]/SUM(DruidAbilities4Scenario1[takes]),0)</f>
        <v>0.53333333333333333</v>
      </c>
      <c r="O39" s="12">
        <f>IF(DruidAbilities4Scenario1[[#This Row],[takes]]&gt;0,DruidAbilities4Scenario1[[#This Row],[wins]]/DruidAbilities4Scenario1[[#This Row],[takes]],0)</f>
        <v>0.79166666666666663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4</v>
      </c>
      <c r="M40" s="2">
        <f>COUNTIF(Scenario1[winner1-ability4],DruidAbilities4Scenario1[[#This Row],[ability]])+COUNTIF(Scenario1[winner2-ability4],DruidAbilities4Scenario1[[#This Row],[ability]])</f>
        <v>4</v>
      </c>
      <c r="N40" s="12">
        <f>IF(SUM(DruidAbilities4Scenario1[[#This Row],[takes]]) &gt; 0,DruidAbilities4Scenario1[[#This Row],[takes]]/SUM(DruidAbilities4Scenario1[takes]),0)</f>
        <v>8.8888888888888892E-2</v>
      </c>
      <c r="O40" s="12">
        <f>IF(DruidAbilities4Scenario1[[#This Row],[takes]]&gt;0,DruidAbilities4Scenario1[[#This Row],[wins]]/DruidAbilities4Scenario1[[#This Row],[takes]],0)</f>
        <v>1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17</v>
      </c>
      <c r="M41" s="25">
        <f>COUNTIF(Scenario1[winner1-ability4],DruidAbilities4Scenario1[[#This Row],[ability]])+COUNTIF(Scenario1[winner2-ability4],DruidAbilities4Scenario1[[#This Row],[ability]])</f>
        <v>12</v>
      </c>
      <c r="N41" s="26">
        <f>IF(SUM(DruidAbilities4Scenario1[[#This Row],[takes]]) &gt; 0,DruidAbilities4Scenario1[[#This Row],[takes]]/SUM(DruidAbilities4Scenario1[takes]),0)</f>
        <v>0.37777777777777777</v>
      </c>
      <c r="O41" s="26">
        <f>IF(DruidAbilities4Scenario1[[#This Row],[takes]]&gt;0,DruidAbilities4Scenario1[[#This Row],[wins]]/DruidAbilities4Scenario1[[#This Row],[takes]],0)</f>
        <v>0.70588235294117652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8</v>
      </c>
      <c r="M45">
        <f>COUNTIF(Scenario2[winner1-ability1],DruidAbilities1Scenario2[[#This Row],[ability]])</f>
        <v>5</v>
      </c>
      <c r="N45" s="3">
        <f>IF(SUM(DruidAbilities1Scenario2[[#This Row],[takes]]) &gt; 0,DruidAbilities1Scenario2[[#This Row],[takes]]/SUM(DruidAbilities1Scenario2[takes]),0)</f>
        <v>0.5</v>
      </c>
      <c r="O45" s="3">
        <f>IF(DruidAbilities1Scenario2[[#This Row],[takes]]&gt;0,DruidAbilities1Scenario2[[#This Row],[wins]]/DruidAbilities1Scenario2[[#This Row],[takes]],0)</f>
        <v>0.625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0</v>
      </c>
      <c r="S45" s="18">
        <f>COUNTIFS(Scenario2[winner1],"druid",Scenario2[winner1-cp],DruidEquipScenario2[[#This Row],[level]])+COUNTIFS(Scenario2[loser1],"druid",Scenario2[loser1-cp],DruidEquipScenario2[[#This Row],[level]])</f>
        <v>8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4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0.25</v>
      </c>
      <c r="O46" s="3">
        <f>IF(DruidAbilities1Scenario2[[#This Row],[takes]]&gt;0,DruidAbilities1Scenario2[[#This Row],[wins]]/DruidAbilities1Scenario2[[#This Row],[takes]],0)</f>
        <v>0.75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5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4</v>
      </c>
      <c r="M47">
        <f>COUNTIF(Scenario2[winner1-ability1],DruidAbilities1Scenario2[[#This Row],[ability]])</f>
        <v>4</v>
      </c>
      <c r="N47" s="3">
        <f>IF(SUM(DruidAbilities1Scenario2[[#This Row],[takes]]) &gt; 0,DruidAbilities1Scenario2[[#This Row],[takes]]/SUM(DruidAbilities1Scenario2[takes]),0)</f>
        <v>0.25</v>
      </c>
      <c r="O47" s="3">
        <f>IF(DruidAbilities1Scenario2[[#This Row],[takes]]&gt;0,DruidAbilities1Scenario2[[#This Row],[wins]]/DruidAbilities1Scenario2[[#This Row],[takes]],0)</f>
        <v>1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11</v>
      </c>
      <c r="S47" s="18">
        <f>COUNTIFS(Scenario2[winner1],"druid",Scenario2[winner1-cp],DruidEquipScenario2[[#This Row],[level]])+COUNTIFS(Scenario2[loser1],"druid",Scenario2[loser1-cp],DruidEquipScenario2[[#This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3</v>
      </c>
      <c r="M50" s="2">
        <f>COUNTIF(Scenario2[winner1-ability2],DruidAbilities2Scenario2[[#This Row],[ability]])</f>
        <v>3</v>
      </c>
      <c r="N50" s="12">
        <f>IF(SUM(DruidAbilities2Scenario2[[#This Row],[takes]]) &gt; 0,DruidAbilities2Scenario2[[#This Row],[takes]]/SUM(DruidAbilities2Scenario2[takes]),0)</f>
        <v>0.1875</v>
      </c>
      <c r="O50" s="12">
        <f>IF(DruidAbilities2Scenario2[[#This Row],[takes]]&gt;0,DruidAbilities2Scenario2[[#This Row],[wins]]/DruidAbilities2Scenario2[[#This Row],[takes]],0)</f>
        <v>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1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6.25E-2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12</v>
      </c>
      <c r="M52" s="2">
        <f>COUNTIF(Scenario2[winner1-ability2],DruidAbilities2Scenario2[[#This Row],[ability]])</f>
        <v>9</v>
      </c>
      <c r="N52" s="13">
        <f>IF(SUM(DruidAbilities2Scenario2[[#This Row],[takes]]) &gt; 0,DruidAbilities2Scenario2[[#This Row],[takes]]/SUM(DruidAbilities2Scenario2[takes]),0)</f>
        <v>0.75</v>
      </c>
      <c r="O52" s="13">
        <f>IF(DruidAbilities2Scenario2[[#This Row],[takes]]&gt;0,DruidAbilities2Scenario2[[#This Row],[wins]]/DruidAbilities2Scenario2[[#This Row],[takes]],0)</f>
        <v>0.75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0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0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6</v>
      </c>
      <c r="M56" s="2">
        <f>COUNTIF(Scenario2[winner1-ability3],DruidAbilities3Scenario2[[#This Row],[ability]])</f>
        <v>6</v>
      </c>
      <c r="N56" s="12">
        <f>IF(SUM(DruidAbilities3Scenario2[[#This Row],[takes]]) &gt; 0,DruidAbilities3Scenario2[[#This Row],[takes]]/SUM(DruidAbilities3Scenario2[takes]),0)</f>
        <v>0.42857142857142855</v>
      </c>
      <c r="O56" s="12">
        <f>IF(DruidAbilities3Scenario2[[#This Row],[takes]]&gt;0,DruidAbilities3Scenario2[[#This Row],[wins]]/DruidAbilities3Scenario2[[#This Row],[takes]],0)</f>
        <v>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8</v>
      </c>
      <c r="M57" s="1">
        <f>COUNTIF(Scenario2[winner1-ability3],DruidAbilities3Scenario2[[#This Row],[ability]])</f>
        <v>5</v>
      </c>
      <c r="N57" s="15">
        <f>IF(SUM(DruidAbilities3Scenario2[[#This Row],[takes]]) &gt; 0,DruidAbilities3Scenario2[[#This Row],[takes]]/SUM(DruidAbilities3Scenario2[takes]),0)</f>
        <v>0.5714285714285714</v>
      </c>
      <c r="O57" s="15">
        <f>IF(DruidAbilities3Scenario2[[#This Row],[takes]]&gt;0,DruidAbilities3Scenario2[[#This Row],[wins]]/DruidAbilities3Scenario2[[#This Row],[takes]],0)</f>
        <v>0.625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6</v>
      </c>
      <c r="M60" s="2">
        <f>COUNTIF(Scenario2[winner1-ability4],DruidAbilities4Scenario2[[#This Row],[ability]])</f>
        <v>5</v>
      </c>
      <c r="N60" s="12">
        <f>IF(SUM(DruidAbilities4Scenario2[[#This Row],[takes]]) &gt; 0,DruidAbilities4Scenario2[[#This Row],[takes]]/SUM(DruidAbilities4Scenario2[takes]),0)</f>
        <v>0.66666666666666663</v>
      </c>
      <c r="O60" s="12">
        <f>IF(DruidAbilities4Scenario2[[#This Row],[takes]]&gt;0,DruidAbilities4Scenario2[[#This Row],[wins]]/DruidAbilities4Scenario2[[#This Row],[takes]],0)</f>
        <v>0.83333333333333337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3</v>
      </c>
      <c r="M61" s="2">
        <f>COUNTIF(Scenario2[winner1-ability4],DruidAbilities4Scenario2[[#This Row],[ability]])</f>
        <v>1</v>
      </c>
      <c r="N61" s="12">
        <f>IF(SUM(DruidAbilities4Scenario2[[#This Row],[takes]]) &gt; 0,DruidAbilities4Scenario2[[#This Row],[takes]]/SUM(DruidAbilities4Scenario2[takes]),0)</f>
        <v>0.33333333333333331</v>
      </c>
      <c r="O61" s="12">
        <f>IF(DruidAbilities4Scenario2[[#This Row],[takes]]&gt;0,DruidAbilities4Scenario2[[#This Row],[wins]]/DruidAbilities4Scenario2[[#This Row],[takes]],0)</f>
        <v>0.33333333333333331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0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7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2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6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28</v>
      </c>
      <c r="M68">
        <f>COUNTIF(Scenario3[winner1-ability1],DruidAbilities1Scenario3[[#This Row],[ability]])</f>
        <v>10</v>
      </c>
      <c r="N68" s="3">
        <f>IF(SUM(DruidAbilities1Scenario3[[#This Row],[takes]]) &gt; 0,DruidAbilities1Scenario3[[#This Row],[takes]]/SUM(DruidAbilities1Scenario3[takes]),0)</f>
        <v>1</v>
      </c>
      <c r="O68" s="3">
        <f>IF(DruidAbilities1Scenario3[[#This Row],[takes]]&gt;0,DruidAbilities1Scenario3[[#This Row],[wins]]/DruidAbilities1Scenario3[[#This Row],[takes]],0)</f>
        <v>0.35714285714285715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19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18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0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27</v>
      </c>
      <c r="M73" s="2">
        <f>COUNTIF(Scenario3[winner1-ability2],DruidAbilities2Scenario3[[#This Row],[ability]])</f>
        <v>10</v>
      </c>
      <c r="N73" s="13">
        <f>IF(SUM(DruidAbilities2Scenario3[[#This Row],[takes]]) &gt; 0,DruidAbilities2Scenario3[[#This Row],[takes]]/SUM(DruidAbilities2Scenario3[takes]),0)</f>
        <v>1</v>
      </c>
      <c r="O73" s="13">
        <f>IF(DruidAbilities2Scenario3[[#This Row],[takes]]&gt;0,DruidAbilities2Scenario3[[#This Row],[wins]]/DruidAbilities2Scenario3[[#This Row],[takes]],0)</f>
        <v>0.37037037037037035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6</v>
      </c>
      <c r="M77" s="2">
        <f>COUNTIF(Scenario3[winner1-ability3],DruidAbilities3Scenario3[[#This Row],[ability]])</f>
        <v>5</v>
      </c>
      <c r="N77" s="12">
        <f>IF(SUM(DruidAbilities3Scenario3[[#This Row],[takes]]) &gt; 0,DruidAbilities3Scenario3[[#This Row],[takes]]/SUM(DruidAbilities3Scenario3[takes]),0)</f>
        <v>0.25</v>
      </c>
      <c r="O77" s="12">
        <f>IF(DruidAbilities3Scenario3[[#This Row],[takes]]&gt;0,DruidAbilities3Scenario3[[#This Row],[wins]]/DruidAbilities3Scenario3[[#This Row],[takes]],0)</f>
        <v>0.83333333333333337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18</v>
      </c>
      <c r="M78" s="1">
        <f>COUNTIF(Scenario3[winner1-ability3],DruidAbilities3Scenario3[[#This Row],[ability]])</f>
        <v>5</v>
      </c>
      <c r="N78" s="15">
        <f>IF(SUM(DruidAbilities3Scenario3[[#This Row],[takes]]) &gt; 0,DruidAbilities3Scenario3[[#This Row],[takes]]/SUM(DruidAbilities3Scenario3[takes]),0)</f>
        <v>0.75</v>
      </c>
      <c r="O78" s="15">
        <f>IF(DruidAbilities3Scenario3[[#This Row],[takes]]&gt;0,DruidAbilities3Scenario3[[#This Row],[wins]]/DruidAbilities3Scenario3[[#This Row],[takes]],0)</f>
        <v>0.27777777777777779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16</v>
      </c>
      <c r="M81" s="2">
        <f>COUNTIF(Scenario3[winner1-ability4],DruidAbilities4Scenario3[[#This Row],[ability]])</f>
        <v>7</v>
      </c>
      <c r="N81" s="12">
        <f>IF(SUM(DruidAbilities4Scenario3[[#This Row],[takes]]) &gt; 0,DruidAbilities4Scenario3[[#This Row],[takes]]/SUM(DruidAbilities4Scenario3[takes]),0)</f>
        <v>0.76190476190476186</v>
      </c>
      <c r="O81" s="12">
        <f>IF(DruidAbilities4Scenario3[[#This Row],[takes]]&gt;0,DruidAbilities4Scenario3[[#This Row],[wins]]/DruidAbilities4Scenario3[[#This Row],[takes]],0)</f>
        <v>0.4375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5</v>
      </c>
      <c r="M82" s="2">
        <f>COUNTIF(Scenario3[winner1-ability4],DruidAbilities4Scenario3[[#This Row],[ability]])</f>
        <v>3</v>
      </c>
      <c r="N82" s="12">
        <f>IF(SUM(DruidAbilities4Scenario3[[#This Row],[takes]]) &gt; 0,DruidAbilities4Scenario3[[#This Row],[takes]]/SUM(DruidAbilities4Scenario3[takes]),0)</f>
        <v>0.23809523809523808</v>
      </c>
      <c r="O82" s="12">
        <f>IF(DruidAbilities4Scenario3[[#This Row],[takes]]&gt;0,DruidAbilities4Scenario3[[#This Row],[wins]]/DruidAbilities4Scenario3[[#This Row],[takes]],0)</f>
        <v>0.6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14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11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5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56</v>
      </c>
      <c r="M89">
        <f>COUNTIF(Scenario4[winner1-ability1],DruidAbilities1Scenario4[[#This Row],[ability]])</f>
        <v>11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0.19642857142857142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40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40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56</v>
      </c>
      <c r="M94" s="2">
        <f>COUNTIF(Scenario4[winner1-ability2],DruidAbilities2Scenario4[[#This Row],[ability]])</f>
        <v>11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0.19642857142857142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7" s="1">
        <f>COUNTIF(Scenario4[winner1-ability3],DruidAbilities3Scenario4[[#This Row],[ability]])</f>
        <v>1</v>
      </c>
      <c r="N97" s="14">
        <f>IF(SUM(DruidAbilities3Scenario4[[#This Row],[takes]]) &gt; 0,DruidAbilities3Scenario4[[#This Row],[takes]]/SUM(DruidAbilities3Scenario4[takes]),0)</f>
        <v>1.8518518518518517E-2</v>
      </c>
      <c r="O97" s="14">
        <f>IF(DruidAbilities3Scenario4[[#This Row],[takes]]&gt;0,DruidAbilities3Scenario4[[#This Row],[wins]]/DruidAbilities3Scenario4[[#This Row],[takes]],0)</f>
        <v>1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8</v>
      </c>
      <c r="M98" s="2">
        <f>COUNTIF(Scenario4[winner1-ability3],DruidAbilities3Scenario4[[#This Row],[ability]])</f>
        <v>1</v>
      </c>
      <c r="N98" s="12">
        <f>IF(SUM(DruidAbilities3Scenario4[[#This Row],[takes]]) &gt; 0,DruidAbilities3Scenario4[[#This Row],[takes]]/SUM(DruidAbilities3Scenario4[takes]),0)</f>
        <v>0.14814814814814814</v>
      </c>
      <c r="O98" s="12">
        <f>IF(DruidAbilities3Scenario4[[#This Row],[takes]]&gt;0,DruidAbilities3Scenario4[[#This Row],[wins]]/DruidAbilities3Scenario4[[#This Row],[takes]],0)</f>
        <v>0.125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45</v>
      </c>
      <c r="M99" s="1">
        <f>COUNTIF(Scenario4[winner1-ability3],DruidAbilities3Scenario4[[#This Row],[ability]])</f>
        <v>9</v>
      </c>
      <c r="N99" s="15">
        <f>IF(SUM(DruidAbilities3Scenario4[[#This Row],[takes]]) &gt; 0,DruidAbilities3Scenario4[[#This Row],[takes]]/SUM(DruidAbilities3Scenario4[takes]),0)</f>
        <v>0.83333333333333337</v>
      </c>
      <c r="O99" s="15">
        <f>IF(DruidAbilities3Scenario4[[#This Row],[takes]]&gt;0,DruidAbilities3Scenario4[[#This Row],[wins]]/DruidAbilities3Scenario4[[#This Row],[takes]],0)</f>
        <v>0.2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36</v>
      </c>
      <c r="M102" s="2">
        <f>COUNTIF(Scenario4[winner1-ability4],DruidAbilities4Scenario4[[#This Row],[ability]])</f>
        <v>9</v>
      </c>
      <c r="N102" s="12">
        <f>IF(SUM(DruidAbilities4Scenario4[[#This Row],[takes]]) &gt; 0,DruidAbilities4Scenario4[[#This Row],[takes]]/SUM(DruidAbilities4Scenario4[takes]),0)</f>
        <v>0.78260869565217395</v>
      </c>
      <c r="O102" s="12">
        <f>IF(DruidAbilities4Scenario4[[#This Row],[takes]]&gt;0,DruidAbilities4Scenario4[[#This Row],[wins]]/DruidAbilities4Scenario4[[#This Row],[takes]],0)</f>
        <v>0.25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10</v>
      </c>
      <c r="M103" s="2">
        <f>COUNTIF(Scenario4[winner1-ability4],DruidAbilities4Scenario4[[#This Row],[ability]])</f>
        <v>2</v>
      </c>
      <c r="N103" s="12">
        <f>IF(SUM(DruidAbilities4Scenario4[[#This Row],[takes]]) &gt; 0,DruidAbilities4Scenario4[[#This Row],[takes]]/SUM(DruidAbilities4Scenario4[takes]),0)</f>
        <v>0.21739130434782608</v>
      </c>
      <c r="O103" s="12">
        <f>IF(DruidAbilities4Scenario4[[#This Row],[takes]]&gt;0,DruidAbilities4Scenario4[[#This Row],[wins]]/DruidAbilities4Scenario4[[#This Row],[takes]],0)</f>
        <v>0.2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40</v>
      </c>
      <c r="M108">
        <f>COUNTIF(Scenario5[winner1-ability1],DruidAbilities1Scenario5[[#This Row],[ability]])+COUNTIF(Scenario5[winner2-ability1],DruidAbilities1Scenario5[[#This Row],[ability]])</f>
        <v>17</v>
      </c>
      <c r="N108" s="3">
        <f>IF(SUM(DruidAbilities1Scenario5[[#This Row],[takes]]) &gt; 0,DruidAbilities1Scenario5[[#This Row],[takes]]/SUM(DruidAbilities1Scenario5[takes]),0)</f>
        <v>0.23809523809523808</v>
      </c>
      <c r="O108" s="3">
        <f>IF(DruidAbilities1Scenario5[[#This Row],[takes]]&gt;0,DruidAbilities1Scenario5[[#This Row],[wins]]/DruidAbilities1Scenario5[[#This Row],[takes]],0)</f>
        <v>0.42499999999999999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64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95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35</v>
      </c>
      <c r="M109">
        <f>COUNTIF(Scenario5[winner1-ability1],DruidAbilities1Scenario5[[#This Row],[ability]])+COUNTIF(Scenario5[winner2-ability1],DruidAbilities1Scenario5[[#This Row],[ability]])</f>
        <v>18</v>
      </c>
      <c r="N109" s="3">
        <f>IF(SUM(DruidAbilities1Scenario5[[#This Row],[takes]]) &gt; 0,DruidAbilities1Scenario5[[#This Row],[takes]]/SUM(DruidAbilities1Scenario5[takes]),0)</f>
        <v>0.20833333333333334</v>
      </c>
      <c r="O109" s="3">
        <f>IF(DruidAbilities1Scenario5[[#This Row],[takes]]&gt;0,DruidAbilities1Scenario5[[#This Row],[wins]]/DruidAbilities1Scenario5[[#This Row],[takes]],0)</f>
        <v>0.51428571428571423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33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20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93</v>
      </c>
      <c r="M110">
        <f>COUNTIF(Scenario5[winner1-ability1],DruidAbilities1Scenario5[[#This Row],[ability]])+COUNTIF(Scenario5[winner2-ability1],DruidAbilities1Scenario5[[#This Row],[ability]])</f>
        <v>39</v>
      </c>
      <c r="N110" s="3">
        <f>IF(SUM(DruidAbilities1Scenario5[[#This Row],[takes]]) &gt; 0,DruidAbilities1Scenario5[[#This Row],[takes]]/SUM(DruidAbilities1Scenario5[takes]),0)</f>
        <v>0.5535714285714286</v>
      </c>
      <c r="O110" s="3">
        <f>IF(DruidAbilities1Scenario5[[#This Row],[takes]]&gt;0,DruidAbilities1Scenario5[[#This Row],[wins]]/DruidAbilities1Scenario5[[#This Row],[takes]],0)</f>
        <v>0.41935483870967744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71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53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7</v>
      </c>
      <c r="M113" s="2">
        <f>COUNTIF(Scenario5[winner1-ability2],DruidAbilities2Scenario5[[#This Row],[ability]])+COUNTIF(Scenario5[winner2-ability2],DruidAbilities2Scenario5[[#This Row],[ability]])</f>
        <v>6</v>
      </c>
      <c r="N113" s="12">
        <f>IF(SUM(DruidAbilities2Scenario5[[#This Row],[takes]]) &gt; 0,DruidAbilities2Scenario5[[#This Row],[takes]]/SUM(DruidAbilities2Scenario5[takes]),0)</f>
        <v>4.3209876543209874E-2</v>
      </c>
      <c r="O113" s="12">
        <f>IF(DruidAbilities2Scenario5[[#This Row],[takes]]&gt;0,DruidAbilities2Scenario5[[#This Row],[wins]]/DruidAbilities2Scenario5[[#This Row],[takes]],0)</f>
        <v>0.8571428571428571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34</v>
      </c>
      <c r="M114" s="2">
        <f>COUNTIF(Scenario5[winner1-ability2],DruidAbilities2Scenario5[[#This Row],[ability]])+COUNTIF(Scenario5[winner2-ability2],DruidAbilities2Scenario5[[#This Row],[ability]])</f>
        <v>15</v>
      </c>
      <c r="N114" s="3">
        <f>IF(SUM(DruidAbilities2Scenario5[[#This Row],[takes]]) &gt; 0,DruidAbilities2Scenario5[[#This Row],[takes]]/SUM(DruidAbilities2Scenario5[takes]),0)</f>
        <v>0.20987654320987653</v>
      </c>
      <c r="O114" s="3">
        <f>IF(DruidAbilities2Scenario5[[#This Row],[takes]]&gt;0,DruidAbilities2Scenario5[[#This Row],[wins]]/DruidAbilities2Scenario5[[#This Row],[takes]],0)</f>
        <v>0.44117647058823528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121</v>
      </c>
      <c r="M115" s="2">
        <f>COUNTIF(Scenario5[winner1-ability2],DruidAbilities2Scenario5[[#This Row],[ability]])+COUNTIF(Scenario5[winner2-ability2],DruidAbilities2Scenario5[[#This Row],[ability]])</f>
        <v>51</v>
      </c>
      <c r="N115" s="13">
        <f>IF(SUM(DruidAbilities2Scenario5[[#This Row],[takes]]) &gt; 0,DruidAbilities2Scenario5[[#This Row],[takes]]/SUM(DruidAbilities2Scenario5[takes]),0)</f>
        <v>0.74691358024691357</v>
      </c>
      <c r="O115" s="13">
        <f>IF(DruidAbilities2Scenario5[[#This Row],[takes]]&gt;0,DruidAbilities2Scenario5[[#This Row],[wins]]/DruidAbilities2Scenario5[[#This Row],[takes]],0)</f>
        <v>0.42148760330578511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12</v>
      </c>
      <c r="M118" s="1">
        <f>COUNTIF(Scenario5[winner1-ability3],DruidAbilities3Scenario5[[#This Row],[ability]])+COUNTIF(Scenario5[winner2-ability3],DruidAbilities3Scenario5[[#This Row],[ability]])</f>
        <v>7</v>
      </c>
      <c r="N118" s="14">
        <f>IF(SUM(DruidAbilities3Scenario5[[#This Row],[takes]]) &gt; 0,DruidAbilities3Scenario5[[#This Row],[takes]]/SUM(DruidAbilities3Scenario5[takes]),0)</f>
        <v>9.5238095238095233E-2</v>
      </c>
      <c r="O118" s="14">
        <f>IF(DruidAbilities3Scenario5[[#This Row],[takes]]&gt;0,DruidAbilities3Scenario5[[#This Row],[wins]]/DruidAbilities3Scenario5[[#This Row],[takes]],0)</f>
        <v>0.58333333333333337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65</v>
      </c>
      <c r="M119" s="2">
        <f>COUNTIF(Scenario5[winner1-ability3],DruidAbilities3Scenario5[[#This Row],[ability]])+COUNTIF(Scenario5[winner2-ability3],DruidAbilities3Scenario5[[#This Row],[ability]])</f>
        <v>32</v>
      </c>
      <c r="N119" s="12">
        <f>IF(SUM(DruidAbilities3Scenario5[[#This Row],[takes]]) &gt; 0,DruidAbilities3Scenario5[[#This Row],[takes]]/SUM(DruidAbilities3Scenario5[takes]),0)</f>
        <v>0.51587301587301593</v>
      </c>
      <c r="O119" s="12">
        <f>IF(DruidAbilities3Scenario5[[#This Row],[takes]]&gt;0,DruidAbilities3Scenario5[[#This Row],[wins]]/DruidAbilities3Scenario5[[#This Row],[takes]],0)</f>
        <v>0.49230769230769234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49</v>
      </c>
      <c r="M120" s="1">
        <f>COUNTIF(Scenario5[winner1-ability3],DruidAbilities3Scenario5[[#This Row],[ability]])+COUNTIF(Scenario5[winner2-ability3],DruidAbilities3Scenario5[[#This Row],[ability]])</f>
        <v>25</v>
      </c>
      <c r="N120" s="15">
        <f>IF(SUM(DruidAbilities3Scenario5[[#This Row],[takes]]) &gt; 0,DruidAbilities3Scenario5[[#This Row],[takes]]/SUM(DruidAbilities3Scenario5[takes]),0)</f>
        <v>0.3888888888888889</v>
      </c>
      <c r="O120" s="15">
        <f>IF(DruidAbilities3Scenario5[[#This Row],[takes]]&gt;0,DruidAbilities3Scenario5[[#This Row],[wins]]/DruidAbilities3Scenario5[[#This Row],[takes]],0)</f>
        <v>0.51020408163265307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15</v>
      </c>
      <c r="M123" s="2">
        <f>COUNTIF(Scenario5[winner1-ability4],DruidAbilities4Scenario5[[#This Row],[ability]])+COUNTIF(Scenario5[winner2-ability4],DruidAbilities4Scenario5[[#This Row],[ability]])</f>
        <v>9</v>
      </c>
      <c r="N123" s="12">
        <f>IF(SUM(DruidAbilities4Scenario5[[#This Row],[takes]]) &gt; 0,DruidAbilities4Scenario5[[#This Row],[takes]]/SUM(DruidAbilities4Scenario5[takes]),0)</f>
        <v>0.15</v>
      </c>
      <c r="O123" s="12">
        <f>IF(DruidAbilities4Scenario5[[#This Row],[takes]]&gt;0,DruidAbilities4Scenario5[[#This Row],[wins]]/DruidAbilities4Scenario5[[#This Row],[takes]],0)</f>
        <v>0.6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21</v>
      </c>
      <c r="M124" s="2">
        <f>COUNTIF(Scenario5[winner1-ability4],DruidAbilities4Scenario5[[#This Row],[ability]])+COUNTIF(Scenario5[winner2-ability4],DruidAbilities4Scenario5[[#This Row],[ability]])</f>
        <v>4</v>
      </c>
      <c r="N124" s="12">
        <f>IF(SUM(DruidAbilities4Scenario5[[#This Row],[takes]]) &gt; 0,DruidAbilities4Scenario5[[#This Row],[takes]]/SUM(DruidAbilities4Scenario5[takes]),0)</f>
        <v>0.21</v>
      </c>
      <c r="O124" s="12">
        <f>IF(DruidAbilities4Scenario5[[#This Row],[takes]]&gt;0,DruidAbilities4Scenario5[[#This Row],[wins]]/DruidAbilities4Scenario5[[#This Row],[takes]],0)</f>
        <v>0.19047619047619047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64</v>
      </c>
      <c r="M125" s="2">
        <f>COUNTIF(Scenario5[winner1-ability4],DruidAbilities4Scenario5[[#This Row],[ability]])+COUNTIF(Scenario5[winner2-ability4],DruidAbilities4Scenario5[[#This Row],[ability]])</f>
        <v>43</v>
      </c>
      <c r="N125" s="26">
        <f>IF(SUM(DruidAbilities4Scenario5[[#This Row],[takes]]) &gt; 0,DruidAbilities4Scenario5[[#This Row],[takes]]/SUM(DruidAbilities4Scenario5[takes]),0)</f>
        <v>0.64</v>
      </c>
      <c r="O125" s="26">
        <f>IF(DruidAbilities4Scenario5[[#This Row],[takes]]&gt;0,DruidAbilities4Scenario5[[#This Row],[wins]]/DruidAbilities4Scenario5[[#This Row],[takes]],0)</f>
        <v>0.671875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D25" sqref="D25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0.33774834437086093</v>
      </c>
    </row>
    <row r="3" spans="1:22" x14ac:dyDescent="0.25">
      <c r="A3" t="s">
        <v>46</v>
      </c>
      <c r="B3">
        <f>L3+L24+L45+L66+L87+L108</f>
        <v>187</v>
      </c>
      <c r="C3">
        <f>M3+M24+M45+M66+M87+M108</f>
        <v>115</v>
      </c>
      <c r="D3" s="3">
        <f>IF(SUM(OracleAbilities1[[#This Row],[takes]]) &gt; 0,OracleAbilities1[[#This Row],[takes]]/SUM(OracleAbilities1[takes]),0)</f>
        <v>0.30960264900662254</v>
      </c>
      <c r="E3" s="3">
        <f>IF(OracleAbilities1[[#This Row],[takes]]&gt;0,OracleAbilities1[[#This Row],[wins]]/OracleAbilities1[[#This Row],[takes]],0)</f>
        <v>0.61497326203208558</v>
      </c>
      <c r="G3">
        <v>1</v>
      </c>
      <c r="H3">
        <f>R3+R24+R45+R66+R87+R108</f>
        <v>230</v>
      </c>
      <c r="I3" s="18">
        <f>S3+S24+S45+S66+S87+S108</f>
        <v>103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168</v>
      </c>
      <c r="M3">
        <f>COUNTIF(Scenario0[winner1-ability1],OracleAbilities1Scenario0[[#This Row],[ability]])+COUNTIF(Scenario0[winner2-ability1],OracleAbilities1Scenario0[[#This Row],[ability]])</f>
        <v>102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0.6071428571428571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101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48</v>
      </c>
      <c r="U3" t="s">
        <v>198</v>
      </c>
      <c r="V3" s="16">
        <f>H5/SUM(OracleEquip[book])</f>
        <v>0.2814569536423841</v>
      </c>
    </row>
    <row r="4" spans="1:22" x14ac:dyDescent="0.25">
      <c r="A4" t="s">
        <v>65</v>
      </c>
      <c r="B4">
        <f t="shared" ref="B4:B5" si="0">L4+L25+L46+L67+L88+L109</f>
        <v>271</v>
      </c>
      <c r="C4">
        <f t="shared" ref="C4:C5" si="1">M4+M25+M46+M67+M88+M109</f>
        <v>120</v>
      </c>
      <c r="D4" s="3">
        <f>IF(SUM(OracleAbilities1[[#This Row],[takes]]) &gt; 0,OracleAbilities1[[#This Row],[takes]]/SUM(OracleAbilities1[takes]),0)</f>
        <v>0.44867549668874174</v>
      </c>
      <c r="E4" s="3">
        <f>IF(OracleAbilities1[[#This Row],[takes]]&gt;0,OracleAbilities1[[#This Row],[wins]]/OracleAbilities1[[#This Row],[takes]],0)</f>
        <v>0.44280442804428044</v>
      </c>
      <c r="G4">
        <v>2</v>
      </c>
      <c r="H4">
        <f t="shared" ref="H4:H5" si="2">R4+R25+R46+R67+R88+R109</f>
        <v>204</v>
      </c>
      <c r="I4" s="18">
        <f t="shared" ref="I4:I5" si="3">S4+S25+S46+S67+S88+S109</f>
        <v>221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44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77</v>
      </c>
      <c r="U4" t="s">
        <v>179</v>
      </c>
      <c r="V4" s="3">
        <f>OracleEquip[[#This Row],[chestpiece]]/SUM(OracleEquip[chestpiece])</f>
        <v>0.36589403973509932</v>
      </c>
    </row>
    <row r="5" spans="1:22" x14ac:dyDescent="0.25">
      <c r="A5" t="s">
        <v>34</v>
      </c>
      <c r="B5">
        <f t="shared" si="0"/>
        <v>146</v>
      </c>
      <c r="C5">
        <f t="shared" si="1"/>
        <v>88</v>
      </c>
      <c r="D5" s="3">
        <f>IF(SUM(OracleAbilities1[[#This Row],[takes]]) &gt; 0,OracleAbilities1[[#This Row],[takes]]/SUM(OracleAbilities1[takes]),0)</f>
        <v>0.24172185430463577</v>
      </c>
      <c r="E5" s="3">
        <f>IF(OracleAbilities1[[#This Row],[takes]]&gt;0,OracleAbilities1[[#This Row],[wins]]/OracleAbilities1[[#This Row],[takes]],0)</f>
        <v>0.60273972602739723</v>
      </c>
      <c r="G5">
        <v>3</v>
      </c>
      <c r="H5">
        <f t="shared" si="2"/>
        <v>170</v>
      </c>
      <c r="I5" s="18">
        <f t="shared" si="3"/>
        <v>280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23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5" t="s">
        <v>180</v>
      </c>
      <c r="V5" s="16">
        <f>OracleEquip[[#This Row],[chestpiece]]/SUM(OracleEquip[chestpiece])</f>
        <v>0.46357615894039733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0.47847682119205298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0.29966887417218541</v>
      </c>
    </row>
    <row r="8" spans="1:22" x14ac:dyDescent="0.25">
      <c r="A8" s="2" t="s">
        <v>66</v>
      </c>
      <c r="B8" s="2">
        <f>L8+L29+L50+L71+L92+L113</f>
        <v>127</v>
      </c>
      <c r="C8" s="2">
        <f>M8+M29+M50+M71+M92+M113</f>
        <v>91</v>
      </c>
      <c r="D8" s="12">
        <f>IF(SUM(OracleAbilities2[[#This Row],[takes]]) &gt; 0,OracleAbilities2[[#This Row],[takes]]/SUM(OracleAbilities2[takes]),0)</f>
        <v>0.43944636678200694</v>
      </c>
      <c r="E8" s="12">
        <f>IF(OracleAbilities2[[#This Row],[takes]]&gt;0,OracleAbilities2[[#This Row],[wins]]/OracleAbilities2[[#This Row],[takes]],0)</f>
        <v>0.71653543307086609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14</v>
      </c>
      <c r="M8" s="2">
        <f>COUNTIF(Scenario0[winner1-ability2],OracleAbilities2Scenario0[[#This Row],[ability]])+COUNTIF(Scenario0[winner2-ability2],OracleAbilities2Scenario0[[#This Row],[ability]])</f>
        <v>12</v>
      </c>
      <c r="N8" s="12">
        <f>IF(SUM(OracleAbilities2Scenario0[[#This Row],[takes]]) &gt; 0,OracleAbilities2Scenario0[[#This Row],[takes]]/SUM(OracleAbilities2Scenario0[takes]),0)</f>
        <v>0.53846153846153844</v>
      </c>
      <c r="O8" s="12">
        <f>IF(OracleAbilities2Scenario0[[#This Row],[takes]]&gt;0,OracleAbilities2Scenario0[[#This Row],[wins]]/OracleAbilities2Scenario0[[#This Row],[takes]],0)</f>
        <v>0.8571428571428571</v>
      </c>
      <c r="S8" s="18"/>
      <c r="U8" t="s">
        <v>178</v>
      </c>
      <c r="V8" s="16">
        <f>SUM(OracleAbilities4[takes])/SUM(OracleAbilities1[takes])</f>
        <v>0.19536423841059603</v>
      </c>
    </row>
    <row r="9" spans="1:22" x14ac:dyDescent="0.25">
      <c r="A9" t="s">
        <v>130</v>
      </c>
      <c r="B9" s="2">
        <f t="shared" ref="B9:B10" si="4">L9+L30+L51+L72+L93+L114</f>
        <v>92</v>
      </c>
      <c r="C9" s="2">
        <f t="shared" ref="C9:C10" si="5">M9+M30+M51+M72+M93+M114</f>
        <v>52</v>
      </c>
      <c r="D9" s="3">
        <f>IF(SUM(OracleAbilities2[[#This Row],[takes]]) &gt; 0,OracleAbilities2[[#This Row],[takes]]/SUM(OracleAbilities2[takes]),0)</f>
        <v>0.31833910034602075</v>
      </c>
      <c r="E9" s="3">
        <f>IF(OracleAbilities2[[#This Row],[takes]]&gt;0,OracleAbilities2[[#This Row],[wins]]/OracleAbilities2[[#This Row],[takes]],0)</f>
        <v>0.56521739130434778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</v>
      </c>
      <c r="M9" s="2">
        <f>COUNTIF(Scenario0[winner1-ability2],OracleAbilities2Scenario0[[#This Row],[ability]])+COUNTIF(Scenario0[winner2-ability2],OracleAbilities2Scenario0[[#This Row],[ability]])</f>
        <v>1</v>
      </c>
      <c r="N9" s="3">
        <f>IF(SUM(OracleAbilities2Scenario0[[#This Row],[takes]]) &gt; 0,OracleAbilities2Scenario0[[#This Row],[takes]]/SUM(OracleAbilities2Scenario0[takes]),0)</f>
        <v>3.8461538461538464E-2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2.4221854304635762</v>
      </c>
    </row>
    <row r="10" spans="1:22" x14ac:dyDescent="0.25">
      <c r="A10" s="10" t="s">
        <v>35</v>
      </c>
      <c r="B10" s="2">
        <f t="shared" si="4"/>
        <v>70</v>
      </c>
      <c r="C10" s="2">
        <f t="shared" si="5"/>
        <v>41</v>
      </c>
      <c r="D10" s="13">
        <f>IF(SUM(OracleAbilities2[[#This Row],[takes]]) &gt; 0,OracleAbilities2[[#This Row],[takes]]/SUM(OracleAbilities2[takes]),0)</f>
        <v>0.24221453287197231</v>
      </c>
      <c r="E10" s="13">
        <f>IF(OracleAbilities2[[#This Row],[takes]]&gt;0,OracleAbilities2[[#This Row],[wins]]/OracleAbilities2[[#This Row],[takes]],0)</f>
        <v>0.58571428571428574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11</v>
      </c>
      <c r="M10" s="2">
        <f>COUNTIF(Scenario0[winner1-ability2],OracleAbilities2Scenario0[[#This Row],[ability]])+COUNTIF(Scenario0[winner2-ability2],OracleAbilities2Scenario0[[#This Row],[ability]])</f>
        <v>10</v>
      </c>
      <c r="N10" s="13">
        <f>IF(SUM(OracleAbilities2Scenario0[[#This Row],[takes]]) &gt; 0,OracleAbilities2Scenario0[[#This Row],[takes]]/SUM(OracleAbilities2Scenario0[takes]),0)</f>
        <v>0.42307692307692307</v>
      </c>
      <c r="O10" s="13">
        <f>IF(OracleAbilities2Scenario0[[#This Row],[takes]]&gt;0,OracleAbilities2Scenario0[[#This Row],[wins]]/OracleAbilities2Scenario0[[#This Row],[takes]],0)</f>
        <v>0.90909090909090906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72</v>
      </c>
      <c r="C13" s="1">
        <f>M13+M34+M55+M76+M97+M118</f>
        <v>50</v>
      </c>
      <c r="D13" s="14">
        <f>IF(SUM(OracleAbilities3[[#This Row],[takes]]) &gt; 0,OracleAbilities3[[#This Row],[takes]]/SUM(OracleAbilities3[takes]),0)</f>
        <v>0.39779005524861877</v>
      </c>
      <c r="E13" s="14">
        <f>IF(OracleAbilities3[[#This Row],[takes]]&gt;0,OracleAbilities3[[#This Row],[wins]]/OracleAbilities3[[#This Row],[takes]],0)</f>
        <v>0.69444444444444442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25">
      <c r="A14" s="2" t="s">
        <v>131</v>
      </c>
      <c r="B14" s="2">
        <f t="shared" ref="B14:B15" si="6">L14+L35+L56+L77+L98+L119</f>
        <v>75</v>
      </c>
      <c r="C14" s="2">
        <f t="shared" ref="C14:C15" si="7">M14+M35+M56+M77+M98+M119</f>
        <v>32</v>
      </c>
      <c r="D14" s="12">
        <f>IF(SUM(OracleAbilities3[[#This Row],[takes]]) &gt; 0,OracleAbilities3[[#This Row],[takes]]/SUM(OracleAbilities3[takes]),0)</f>
        <v>0.4143646408839779</v>
      </c>
      <c r="E14" s="12">
        <f>IF(OracleAbilities3[[#This Row],[takes]]&gt;0,OracleAbilities3[[#This Row],[wins]]/OracleAbilities3[[#This Row],[takes]],0)</f>
        <v>0.42666666666666669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0.66666666666666663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34</v>
      </c>
      <c r="C15" s="1">
        <f t="shared" si="7"/>
        <v>32</v>
      </c>
      <c r="D15" s="15">
        <f>IF(SUM(OracleAbilities3[[#This Row],[takes]]) &gt; 0,OracleAbilities3[[#This Row],[takes]]/SUM(OracleAbilities3[takes]),0)</f>
        <v>0.18784530386740331</v>
      </c>
      <c r="E15" s="15">
        <f>IF(OracleAbilities3[[#This Row],[takes]]&gt;0,OracleAbilities3[[#This Row],[wins]]/OracleAbilities3[[#This Row],[takes]],0)</f>
        <v>0.94117647058823528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0.33333333333333331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71</v>
      </c>
      <c r="C18" s="2">
        <f>M18+M39+M60+M81+M102+M123</f>
        <v>38</v>
      </c>
      <c r="D18" s="12">
        <f>IF(SUM(OracleAbilities4[[#This Row],[takes]]) &gt; 0,OracleAbilities4[[#This Row],[takes]]/SUM(OracleAbilities4[takes]),0)</f>
        <v>0.60169491525423724</v>
      </c>
      <c r="E18" s="12">
        <f>IF(OracleAbilities4[[#This Row],[takes]]&gt;0,OracleAbilities4[[#This Row],[wins]]/OracleAbilities4[[#This Row],[takes]],0)</f>
        <v>0.53521126760563376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37</v>
      </c>
      <c r="C19" s="2">
        <f t="shared" ref="C19:C20" si="9">M19+M40+M61+M82+M103+M124</f>
        <v>25</v>
      </c>
      <c r="D19" s="12">
        <f>IF(SUM(OracleAbilities4[[#This Row],[takes]]) &gt; 0,OracleAbilities4[[#This Row],[takes]]/SUM(OracleAbilities4[takes]),0)</f>
        <v>0.3135593220338983</v>
      </c>
      <c r="E19" s="12">
        <f>IF(OracleAbilities4[[#This Row],[takes]]&gt;0,OracleAbilities4[[#This Row],[wins]]/OracleAbilities4[[#This Row],[takes]],0)</f>
        <v>0.67567567567567566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10</v>
      </c>
      <c r="C20" s="2">
        <f t="shared" si="9"/>
        <v>9</v>
      </c>
      <c r="D20" s="26">
        <f>IF(SUM(OracleAbilities4[[#This Row],[takes]]) &gt; 0,OracleAbilities4[[#This Row],[takes]]/SUM(OracleAbilities4[takes]),0)</f>
        <v>8.4745762711864403E-2</v>
      </c>
      <c r="E20" s="26">
        <f>IF(OracleAbilities4[[#This Row],[takes]]&gt;0,OracleAbilities4[[#This Row],[wins]]/OracleAbilities4[[#This Row],[takes]],0)</f>
        <v>0.9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18</v>
      </c>
      <c r="M24">
        <f>COUNTIF(Scenario1[winner1-ability1],OracleAbilities1Scenario1[[#This Row],[ability]])+COUNTIF(Scenario1[winner2-ability1],OracleAbilities1Scenario1[[#This Row],[ability]])</f>
        <v>12</v>
      </c>
      <c r="N24" s="3">
        <f>IF(SUM(OracleAbilities1Scenario1[[#This Row],[takes]]) &gt; 0,OracleAbilities1Scenario1[[#This Row],[takes]]/SUM(OracleAbilities1Scenario1[takes]),0)</f>
        <v>0.10714285714285714</v>
      </c>
      <c r="O24" s="3">
        <f>IF(OracleAbilities1Scenario1[[#This Row],[takes]]&gt;0,OracleAbilities1Scenario1[[#This Row],[wins]]/OracleAbilities1Scenario1[[#This Row],[takes]],0)</f>
        <v>0.66666666666666663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66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25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75</v>
      </c>
      <c r="M25">
        <f>COUNTIF(Scenario1[winner1-ability1],OracleAbilities1Scenario1[[#This Row],[ability]])+COUNTIF(Scenario1[winner2-ability1],OracleAbilities1Scenario1[[#This Row],[ability]])</f>
        <v>29</v>
      </c>
      <c r="N25" s="3">
        <f>IF(SUM(OracleAbilities1Scenario1[[#This Row],[takes]]) &gt; 0,OracleAbilities1Scenario1[[#This Row],[takes]]/SUM(OracleAbilities1Scenario1[takes]),0)</f>
        <v>0.44642857142857145</v>
      </c>
      <c r="O25" s="3">
        <f>IF(OracleAbilities1Scenario1[[#This Row],[takes]]&gt;0,OracleAbilities1Scenario1[[#This Row],[wins]]/OracleAbilities1Scenario1[[#This Row],[takes]],0)</f>
        <v>0.38666666666666666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74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46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75</v>
      </c>
      <c r="M26">
        <f>COUNTIF(Scenario1[winner1-ability1],OracleAbilities1Scenario1[[#This Row],[ability]])+COUNTIF(Scenario1[winner2-ability1],OracleAbilities1Scenario1[[#This Row],[ability]])</f>
        <v>58</v>
      </c>
      <c r="N26" s="3">
        <f>IF(SUM(OracleAbilities1Scenario1[[#This Row],[takes]]) &gt; 0,OracleAbilities1Scenario1[[#This Row],[takes]]/SUM(OracleAbilities1Scenario1[takes]),0)</f>
        <v>0.44642857142857145</v>
      </c>
      <c r="O26" s="3">
        <f>IF(OracleAbilities1Scenario1[[#This Row],[takes]]&gt;0,OracleAbilities1Scenario1[[#This Row],[wins]]/OracleAbilities1Scenario1[[#This Row],[takes]],0)</f>
        <v>0.77333333333333332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28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97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39</v>
      </c>
      <c r="M29" s="2">
        <f>COUNTIF(Scenario1[winner1-ability2],OracleAbilities2Scenario1[[#This Row],[ability]])+COUNTIF(Scenario1[winner2-ability2],OracleAbilities2Scenario1[[#This Row],[ability]])</f>
        <v>33</v>
      </c>
      <c r="N29" s="12">
        <f>IF(SUM(OracleAbilities2Scenario1[[#This Row],[takes]]) &gt; 0,OracleAbilities2Scenario1[[#This Row],[takes]]/SUM(OracleAbilities2Scenario1[takes]),0)</f>
        <v>0.47560975609756095</v>
      </c>
      <c r="O29" s="12">
        <f>IF(OracleAbilities2Scenario1[[#This Row],[takes]]&gt;0,OracleAbilities2Scenario1[[#This Row],[wins]]/OracleAbilities2Scenario1[[#This Row],[takes]],0)</f>
        <v>0.84615384615384615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8</v>
      </c>
      <c r="M30" s="2">
        <f>COUNTIF(Scenario1[winner1-ability2],OracleAbilities2Scenario1[[#This Row],[ability]])+COUNTIF(Scenario1[winner2-ability2],OracleAbilities2Scenario1[[#This Row],[ability]])</f>
        <v>6</v>
      </c>
      <c r="N30" s="3">
        <f>IF(SUM(OracleAbilities2Scenario1[[#This Row],[takes]]) &gt; 0,OracleAbilities2Scenario1[[#This Row],[takes]]/SUM(OracleAbilities2Scenario1[takes]),0)</f>
        <v>9.7560975609756101E-2</v>
      </c>
      <c r="O30" s="3">
        <f>IF(OracleAbilities2Scenario1[[#This Row],[takes]]&gt;0,OracleAbilities2Scenario1[[#This Row],[wins]]/OracleAbilities2Scenario1[[#This Row],[takes]],0)</f>
        <v>0.75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35</v>
      </c>
      <c r="M31" s="2">
        <f>COUNTIF(Scenario1[winner1-ability2],OracleAbilities2Scenario1[[#This Row],[ability]])+COUNTIF(Scenario1[winner2-ability2],OracleAbilities2Scenario1[[#This Row],[ability]])</f>
        <v>18</v>
      </c>
      <c r="N31" s="13">
        <f>IF(SUM(OracleAbilities2Scenario1[[#This Row],[takes]]) &gt; 0,OracleAbilities2Scenario1[[#This Row],[takes]]/SUM(OracleAbilities2Scenario1[takes]),0)</f>
        <v>0.42682926829268292</v>
      </c>
      <c r="O31" s="13">
        <f>IF(OracleAbilities2Scenario1[[#This Row],[takes]]&gt;0,OracleAbilities2Scenario1[[#This Row],[wins]]/OracleAbilities2Scenario1[[#This Row],[takes]],0)</f>
        <v>0.51428571428571423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13</v>
      </c>
      <c r="M34" s="1">
        <f>COUNTIF(Scenario1[winner1-ability3],OracleAbilities3Scenario1[[#This Row],[ability]])+COUNTIF(Scenario1[winner2-ability3],OracleAbilities3Scenario1[[#This Row],[ability]])</f>
        <v>11</v>
      </c>
      <c r="N34" s="14">
        <f>IF(SUM(OracleAbilities3Scenario1[[#This Row],[takes]]) &gt; 0,OracleAbilities3Scenario1[[#This Row],[takes]]/SUM(OracleAbilities3Scenario1[takes]),0)</f>
        <v>0.3611111111111111</v>
      </c>
      <c r="O34" s="14">
        <f>IF(OracleAbilities3Scenario1[[#This Row],[takes]]&gt;0,OracleAbilities3Scenario1[[#This Row],[wins]]/OracleAbilities3Scenario1[[#This Row],[takes]],0)</f>
        <v>0.84615384615384615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18</v>
      </c>
      <c r="M35" s="2">
        <f>COUNTIF(Scenario1[winner1-ability3],OracleAbilities3Scenario1[[#This Row],[ability]])+COUNTIF(Scenario1[winner2-ability3],OracleAbilities3Scenario1[[#This Row],[ability]])</f>
        <v>10</v>
      </c>
      <c r="N35" s="12">
        <f>IF(SUM(OracleAbilities3Scenario1[[#This Row],[takes]]) &gt; 0,OracleAbilities3Scenario1[[#This Row],[takes]]/SUM(OracleAbilities3Scenario1[takes]),0)</f>
        <v>0.5</v>
      </c>
      <c r="O35" s="12">
        <f>IF(OracleAbilities3Scenario1[[#This Row],[takes]]&gt;0,OracleAbilities3Scenario1[[#This Row],[wins]]/OracleAbilities3Scenario1[[#This Row],[takes]],0)</f>
        <v>0.55555555555555558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5</v>
      </c>
      <c r="M36" s="1">
        <f>COUNTIF(Scenario1[winner1-ability3],OracleAbilities3Scenario1[[#This Row],[ability]])+COUNTIF(Scenario1[winner2-ability3],OracleAbilities3Scenario1[[#This Row],[ability]])</f>
        <v>5</v>
      </c>
      <c r="N36" s="15">
        <f>IF(SUM(OracleAbilities3Scenario1[[#This Row],[takes]]) &gt; 0,OracleAbilities3Scenario1[[#This Row],[takes]]/SUM(OracleAbilities3Scenario1[takes]),0)</f>
        <v>0.1388888888888889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7</v>
      </c>
      <c r="M39" s="2">
        <f>COUNTIF(Scenario1[winner1-ability4],OracleAbilities4Scenario1[[#This Row],[ability]])+COUNTIF(Scenario1[winner2-ability4],OracleAbilities4Scenario1[[#This Row],[ability]])</f>
        <v>6</v>
      </c>
      <c r="N39" s="12">
        <f>IF(SUM(OracleAbilities4Scenario1[[#This Row],[takes]]) &gt; 0,OracleAbilities4Scenario1[[#This Row],[takes]]/SUM(OracleAbilities4Scenario1[takes]),0)</f>
        <v>0.875</v>
      </c>
      <c r="O39" s="12">
        <f>IF(OracleAbilities4Scenario1[[#This Row],[takes]]&gt;0,OracleAbilities4Scenario1[[#This Row],[wins]]/OracleAbilities4Scenario1[[#This Row],[takes]],0)</f>
        <v>0.8571428571428571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0" s="2">
        <f>COUNTIF(Scenario1[winner1-ability4],OracleAbilities4Scenario1[[#This Row],[ability]])+COUNTIF(Scenario1[winner2-ability4],OracleAbilities4Scenario1[[#This Row],[ability]])</f>
        <v>1</v>
      </c>
      <c r="N40" s="12">
        <f>IF(SUM(OracleAbilities4Scenario1[[#This Row],[takes]]) &gt; 0,OracleAbilities4Scenario1[[#This Row],[takes]]/SUM(OracleAbilities4Scenario1[takes]),0)</f>
        <v>0.125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2</v>
      </c>
      <c r="S45" s="18">
        <f>COUNTIFS(Scenario2[winner1],"oracle",Scenario2[winner1-cp],OracleEquipScenario2[[#This Row],[level]])+COUNTIFS(Scenario2[loser1],"oracle",Scenario2[loser1-cp],OracleEquipScenario2[[#This Row],[level]])</f>
        <v>4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3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0.1875</v>
      </c>
      <c r="O46" s="3">
        <f>IF(OracleAbilities1Scenario2[[#This Row],[takes]]&gt;0,OracleAbilities1Scenario2[[#This Row],[wins]]/OracleAbilities1Scenario2[[#This Row],[takes]],0)</f>
        <v>0.33333333333333331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12</v>
      </c>
      <c r="S46" s="18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13</v>
      </c>
      <c r="M47">
        <f>COUNTIF(Scenario2[winner1-ability1],OracleAbilities1Scenario2[[#This Row],[ability]])</f>
        <v>5</v>
      </c>
      <c r="N47" s="3">
        <f>IF(SUM(OracleAbilities1Scenario2[[#This Row],[takes]]) &gt; 0,OracleAbilities1Scenario2[[#This Row],[takes]]/SUM(OracleAbilities1Scenario2[takes]),0)</f>
        <v>0.8125</v>
      </c>
      <c r="O47" s="3">
        <f>IF(OracleAbilities1Scenario2[[#This Row],[takes]]&gt;0,OracleAbilities1Scenario2[[#This Row],[wins]]/OracleAbilities1Scenario2[[#This Row],[takes]],0)</f>
        <v>0.38461538461538464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2</v>
      </c>
      <c r="S47" s="18">
        <f>COUNTIFS(Scenario2[winner1],"oracle",Scenario2[winner1-cp],OracleEquipScenario2[[#This Row],[level]])+COUNTIFS(Scenario2[loser1],"oracle",Scenario2[loser1-cp],OracleEquipScenario2[[#This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4</v>
      </c>
      <c r="M50" s="2">
        <f>COUNTIF(Scenario2[winner1-ability2],OracleAbilities2Scenario2[[#This Row],[ability]])</f>
        <v>3</v>
      </c>
      <c r="N50" s="12">
        <f>IF(SUM(OracleAbilities2Scenario2[[#This Row],[takes]]) &gt; 0,OracleAbilities2Scenario2[[#This Row],[takes]]/SUM(OracleAbilities2Scenario2[takes]),0)</f>
        <v>0.66666666666666663</v>
      </c>
      <c r="O50" s="12">
        <f>IF(OracleAbilities2Scenario2[[#This Row],[takes]]&gt;0,OracleAbilities2Scenario2[[#This Row],[wins]]/OracleAbilities2Scenario2[[#This Row],[takes]],0)</f>
        <v>0.75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2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0.33333333333333331</v>
      </c>
      <c r="O51" s="3">
        <f>IF(OracleAbilities2Scenario2[[#This Row],[takes]]&gt;0,OracleAbilities2Scenario2[[#This Row],[wins]]/OracleAbilities2Scenario2[[#This Row],[takes]],0)</f>
        <v>0.5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0</v>
      </c>
      <c r="M52" s="2">
        <f>COUNTIF(Scenario2[winner1-ability2],OracleAbilities2Scenario2[[#This Row],[ability]])</f>
        <v>0</v>
      </c>
      <c r="N52" s="13">
        <f>IF(SUM(OracleAbilities2Scenario2[[#This Row],[takes]]) &gt; 0,OracleAbilities2Scenario2[[#This Row],[takes]]/SUM(OracleAbilities2Scenario2[takes]),0)</f>
        <v>0</v>
      </c>
      <c r="O52" s="13">
        <f>IF(OracleAbilities2Scenario2[[#This Row],[takes]]&gt;0,OracleAbilities2Scenario2[[#This Row],[wins]]/OracleAbilities2Scenario2[[#This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1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0.25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0.25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0.5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2</v>
      </c>
      <c r="M60" s="2">
        <f>COUNTIF(Scenario2[winner1-ability4],OracleAbilities4Scenario2[[#This Row],[ability]])</f>
        <v>1</v>
      </c>
      <c r="N60" s="12">
        <f>IF(SUM(OracleAbilities4Scenario2[[#This Row],[takes]]) &gt; 0,OracleAbilities4Scenario2[[#This Row],[takes]]/SUM(OracleAbilities4Scenario2[takes]),0)</f>
        <v>1</v>
      </c>
      <c r="O60" s="12">
        <f>IF(OracleAbilities4Scenario2[[#This Row],[takes]]&gt;0,OracleAbilities4Scenario2[[#This Row],[wins]]/OracleAbilities4Scenario2[[#This Row],[takes]],0)</f>
        <v>0.5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2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18</v>
      </c>
      <c r="M67">
        <f>COUNTIF(Scenario3[winner1-ability1],OracleAbilities1Scenario3[[#This Row],[ability]])</f>
        <v>9</v>
      </c>
      <c r="N67" s="3">
        <f>IF(SUM(OracleAbilities1Scenario3[[#This Row],[takes]]) &gt; 0,OracleAbilities1Scenario3[[#This Row],[takes]]/SUM(OracleAbilities1Scenario3[takes]),0)</f>
        <v>0.6428571428571429</v>
      </c>
      <c r="O67" s="3">
        <f>IF(OracleAbilities1Scenario3[[#This Row],[takes]]&gt;0,OracleAbilities1Scenario3[[#This Row],[wins]]/OracleAbilities1Scenario3[[#This Row],[takes]],0)</f>
        <v>0.5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6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10</v>
      </c>
      <c r="M68">
        <f>COUNTIF(Scenario3[winner1-ability1],OracleAbilities1Scenario3[[#This Row],[ability]])</f>
        <v>5</v>
      </c>
      <c r="N68" s="3">
        <f>IF(SUM(OracleAbilities1Scenario3[[#This Row],[takes]]) &gt; 0,OracleAbilities1Scenario3[[#This Row],[takes]]/SUM(OracleAbilities1Scenario3[takes]),0)</f>
        <v>0.35714285714285715</v>
      </c>
      <c r="O68" s="3">
        <f>IF(OracleAbilities1Scenario3[[#This Row],[takes]]&gt;0,OracleAbilities1Scenario3[[#This Row],[wins]]/OracleAbilities1Scenario3[[#This Row],[takes]],0)</f>
        <v>0.5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20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21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1" s="2">
        <f>COUNTIF(Scenario3[winner1-ability2],OracleAbilities2Scenario3[[#This Row],[ability]])</f>
        <v>4</v>
      </c>
      <c r="N71" s="12">
        <f>IF(SUM(OracleAbilities2Scenario3[[#This Row],[takes]]) &gt; 0,OracleAbilities2Scenario3[[#This Row],[takes]]/SUM(OracleAbilities2Scenario3[takes]),0)</f>
        <v>0.42307692307692307</v>
      </c>
      <c r="O71" s="12">
        <f>IF(OracleAbilities2Scenario3[[#This Row],[takes]]&gt;0,OracleAbilities2Scenario3[[#This Row],[wins]]/OracleAbilities2Scenario3[[#This Row],[takes]],0)</f>
        <v>0.36363636363636365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13</v>
      </c>
      <c r="M72" s="2">
        <f>COUNTIF(Scenario3[winner1-ability2],OracleAbilities2Scenario3[[#This Row],[ability]])</f>
        <v>9</v>
      </c>
      <c r="N72" s="3">
        <f>IF(SUM(OracleAbilities2Scenario3[[#This Row],[takes]]) &gt; 0,OracleAbilities2Scenario3[[#This Row],[takes]]/SUM(OracleAbilities2Scenario3[takes]),0)</f>
        <v>0.5</v>
      </c>
      <c r="O72" s="3">
        <f>IF(OracleAbilities2Scenario3[[#This Row],[takes]]&gt;0,OracleAbilities2Scenario3[[#This Row],[wins]]/OracleAbilities2Scenario3[[#This Row],[takes]],0)</f>
        <v>0.69230769230769229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2</v>
      </c>
      <c r="M73" s="2">
        <f>COUNTIF(Scenario3[winner1-ability2],OracleAbilities2Scenario3[[#This Row],[ability]])</f>
        <v>1</v>
      </c>
      <c r="N73" s="13">
        <f>IF(SUM(OracleAbilities2Scenario3[[#This Row],[takes]]) &gt; 0,OracleAbilities2Scenario3[[#This Row],[takes]]/SUM(OracleAbilities2Scenario3[takes]),0)</f>
        <v>7.6923076923076927E-2</v>
      </c>
      <c r="O73" s="13">
        <f>IF(OracleAbilities2Scenario3[[#This Row],[takes]]&gt;0,OracleAbilities2Scenario3[[#This Row],[wins]]/OracleAbilities2Scenario3[[#This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8</v>
      </c>
      <c r="M76" s="1">
        <f>COUNTIF(Scenario3[winner1-ability3],OracleAbilities3Scenario3[[#This Row],[ability]])</f>
        <v>5</v>
      </c>
      <c r="N76" s="14">
        <f>IF(SUM(OracleAbilities3Scenario3[[#This Row],[takes]]) &gt; 0,OracleAbilities3Scenario3[[#This Row],[takes]]/SUM(OracleAbilities3Scenario3[takes]),0)</f>
        <v>0.33333333333333331</v>
      </c>
      <c r="O76" s="14">
        <f>IF(OracleAbilities3Scenario3[[#This Row],[takes]]&gt;0,OracleAbilities3Scenario3[[#This Row],[wins]]/OracleAbilities3Scenario3[[#This Row],[takes]],0)</f>
        <v>0.625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9</v>
      </c>
      <c r="M77" s="2">
        <f>COUNTIF(Scenario3[winner1-ability3],OracleAbilities3Scenario3[[#This Row],[ability]])</f>
        <v>2</v>
      </c>
      <c r="N77" s="12">
        <f>IF(SUM(OracleAbilities3Scenario3[[#This Row],[takes]]) &gt; 0,OracleAbilities3Scenario3[[#This Row],[takes]]/SUM(OracleAbilities3Scenario3[takes]),0)</f>
        <v>0.375</v>
      </c>
      <c r="O77" s="12">
        <f>IF(OracleAbilities3Scenario3[[#This Row],[takes]]&gt;0,OracleAbilities3Scenario3[[#This Row],[wins]]/OracleAbilities3Scenario3[[#This Row],[takes]],0)</f>
        <v>0.22222222222222221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8" s="1">
        <f>COUNTIF(Scenario3[winner1-ability3],OracleAbilities3Scenario3[[#This Row],[ability]])</f>
        <v>7</v>
      </c>
      <c r="N78" s="15">
        <f>IF(SUM(OracleAbilities3Scenario3[[#This Row],[takes]]) &gt; 0,OracleAbilities3Scenario3[[#This Row],[takes]]/SUM(OracleAbilities3Scenario3[takes]),0)</f>
        <v>0.29166666666666669</v>
      </c>
      <c r="O78" s="15">
        <f>IF(OracleAbilities3Scenario3[[#This Row],[takes]]&gt;0,OracleAbilities3Scenario3[[#This Row],[wins]]/OracleAbilities3Scenario3[[#This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11</v>
      </c>
      <c r="M81" s="2">
        <f>COUNTIF(Scenario3[winner1-ability4],OracleAbilities4Scenario3[[#This Row],[ability]])</f>
        <v>5</v>
      </c>
      <c r="N81" s="12">
        <f>IF(SUM(OracleAbilities4Scenario3[[#This Row],[takes]]) &gt; 0,OracleAbilities4Scenario3[[#This Row],[takes]]/SUM(OracleAbilities4Scenario3[takes]),0)</f>
        <v>0.52380952380952384</v>
      </c>
      <c r="O81" s="12">
        <f>IF(OracleAbilities4Scenario3[[#This Row],[takes]]&gt;0,OracleAbilities4Scenario3[[#This Row],[wins]]/OracleAbilities4Scenario3[[#This Row],[takes]],0)</f>
        <v>0.45454545454545453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2" s="2">
        <f>COUNTIF(Scenario3[winner1-ability4],OracleAbilities4Scenario3[[#This Row],[ability]])</f>
        <v>3</v>
      </c>
      <c r="N82" s="12">
        <f>IF(SUM(OracleAbilities4Scenario3[[#This Row],[takes]]) &gt; 0,OracleAbilities4Scenario3[[#This Row],[takes]]/SUM(OracleAbilities4Scenario3[takes]),0)</f>
        <v>0.2857142857142857</v>
      </c>
      <c r="O82" s="12">
        <f>IF(OracleAbilities4Scenario3[[#This Row],[takes]]&gt;0,OracleAbilities4Scenario3[[#This Row],[wins]]/OracleAbilities4Scenario3[[#This Row],[takes]],0)</f>
        <v>0.5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3" s="2">
        <f>COUNTIF(Scenario3[winner1-ability4],OracleAbilities4Scenario3[[#This Row],[ability]])</f>
        <v>4</v>
      </c>
      <c r="N83" s="26">
        <f>IF(SUM(OracleAbilities4Scenario3[[#This Row],[takes]]) &gt; 0,OracleAbilities4Scenario3[[#This Row],[takes]]/SUM(OracleAbilities4Scenario3[takes]),0)</f>
        <v>0.19047619047619047</v>
      </c>
      <c r="O83" s="26">
        <f>IF(OracleAbilities4Scenario3[[#This Row],[takes]]&gt;0,OracleAbilities4Scenario3[[#This Row],[wins]]/OracleAbilities4Scenario3[[#This Row],[takes]],0)</f>
        <v>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1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46</v>
      </c>
      <c r="M88">
        <f>COUNTIF(Scenario4[winner1-ability1],OracleAbilities1Scenario4[[#This Row],[ability]])</f>
        <v>17</v>
      </c>
      <c r="N88" s="3">
        <f>IF(SUM(OracleAbilities1Scenario4[[#This Row],[takes]]) &gt; 0,OracleAbilities1Scenario4[[#This Row],[takes]]/SUM(OracleAbilities1Scenario4[takes]),0)</f>
        <v>0.8214285714285714</v>
      </c>
      <c r="O88" s="3">
        <f>IF(OracleAbilities1Scenario4[[#This Row],[takes]]&gt;0,OracleAbilities1Scenario4[[#This Row],[wins]]/OracleAbilities1Scenario4[[#This Row],[takes]],0)</f>
        <v>0.36956521739130432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4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4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10</v>
      </c>
      <c r="M89">
        <f>COUNTIF(Scenario4[winner1-ability1],OracleAbilities1Scenario4[[#This Row],[ability]])</f>
        <v>5</v>
      </c>
      <c r="N89" s="3">
        <f>IF(SUM(OracleAbilities1Scenario4[[#This Row],[takes]]) &gt; 0,OracleAbilities1Scenario4[[#This Row],[takes]]/SUM(OracleAbilities1Scenario4[takes]),0)</f>
        <v>0.17857142857142858</v>
      </c>
      <c r="O89" s="3">
        <f>IF(OracleAbilities1Scenario4[[#This Row],[takes]]&gt;0,OracleAbilities1Scenario4[[#This Row],[wins]]/OracleAbilities1Scenario4[[#This Row],[takes]],0)</f>
        <v>0.5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51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52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18</v>
      </c>
      <c r="M92" s="2">
        <f>COUNTIF(Scenario4[winner1-ability2],OracleAbilities2Scenario4[[#This Row],[ability]])</f>
        <v>6</v>
      </c>
      <c r="N92" s="12">
        <f>IF(SUM(OracleAbilities2Scenario4[[#This Row],[takes]]) &gt; 0,OracleAbilities2Scenario4[[#This Row],[takes]]/SUM(OracleAbilities2Scenario4[takes]),0)</f>
        <v>0.33333333333333331</v>
      </c>
      <c r="O92" s="12">
        <f>IF(OracleAbilities2Scenario4[[#This Row],[takes]]&gt;0,OracleAbilities2Scenario4[[#This Row],[wins]]/OracleAbilities2Scenario4[[#This Row],[takes]],0)</f>
        <v>0.33333333333333331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32</v>
      </c>
      <c r="M93" s="2">
        <f>COUNTIF(Scenario4[winner1-ability2],OracleAbilities2Scenario4[[#This Row],[ability]])</f>
        <v>16</v>
      </c>
      <c r="N93" s="3">
        <f>IF(SUM(OracleAbilities2Scenario4[[#This Row],[takes]]) &gt; 0,OracleAbilities2Scenario4[[#This Row],[takes]]/SUM(OracleAbilities2Scenario4[takes]),0)</f>
        <v>0.59259259259259256</v>
      </c>
      <c r="O93" s="3">
        <f>IF(OracleAbilities2Scenario4[[#This Row],[takes]]&gt;0,OracleAbilities2Scenario4[[#This Row],[wins]]/OracleAbilities2Scenario4[[#This Row],[takes]],0)</f>
        <v>0.5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4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7.407407407407407E-2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18</v>
      </c>
      <c r="M97" s="1">
        <f>COUNTIF(Scenario4[winner1-ability3],OracleAbilities3Scenario4[[#This Row],[ability]])</f>
        <v>11</v>
      </c>
      <c r="N97" s="14">
        <f>IF(SUM(OracleAbilities3Scenario4[[#This Row],[takes]]) &gt; 0,OracleAbilities3Scenario4[[#This Row],[takes]]/SUM(OracleAbilities3Scenario4[takes]),0)</f>
        <v>0.33333333333333331</v>
      </c>
      <c r="O97" s="14">
        <f>IF(OracleAbilities3Scenario4[[#This Row],[takes]]&gt;0,OracleAbilities3Scenario4[[#This Row],[wins]]/OracleAbilities3Scenario4[[#This Row],[takes]],0)</f>
        <v>0.61111111111111116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31</v>
      </c>
      <c r="M98" s="2">
        <f>COUNTIF(Scenario4[winner1-ability3],OracleAbilities3Scenario4[[#This Row],[ability]])</f>
        <v>8</v>
      </c>
      <c r="N98" s="12">
        <f>IF(SUM(OracleAbilities3Scenario4[[#This Row],[takes]]) &gt; 0,OracleAbilities3Scenario4[[#This Row],[takes]]/SUM(OracleAbilities3Scenario4[takes]),0)</f>
        <v>0.57407407407407407</v>
      </c>
      <c r="O98" s="12">
        <f>IF(OracleAbilities3Scenario4[[#This Row],[takes]]&gt;0,OracleAbilities3Scenario4[[#This Row],[wins]]/OracleAbilities3Scenario4[[#This Row],[takes]],0)</f>
        <v>0.25806451612903225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5</v>
      </c>
      <c r="M99" s="1">
        <f>COUNTIF(Scenario4[winner1-ability3],OracleAbilities3Scenario4[[#This Row],[ability]])</f>
        <v>3</v>
      </c>
      <c r="N99" s="15">
        <f>IF(SUM(OracleAbilities3Scenario4[[#This Row],[takes]]) &gt; 0,OracleAbilities3Scenario4[[#This Row],[takes]]/SUM(OracleAbilities3Scenario4[takes]),0)</f>
        <v>9.2592592592592587E-2</v>
      </c>
      <c r="O99" s="15">
        <f>IF(OracleAbilities3Scenario4[[#This Row],[takes]]&gt;0,OracleAbilities3Scenario4[[#This Row],[wins]]/OracleAbilities3Scenario4[[#This Row],[takes]],0)</f>
        <v>0.6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36</v>
      </c>
      <c r="M102" s="2">
        <f>COUNTIF(Scenario4[winner1-ability4],OracleAbilities4Scenario4[[#This Row],[ability]])</f>
        <v>13</v>
      </c>
      <c r="N102" s="12">
        <f>IF(SUM(OracleAbilities4Scenario4[[#This Row],[takes]]) &gt; 0,OracleAbilities4Scenario4[[#This Row],[takes]]/SUM(OracleAbilities4Scenario4[takes]),0)</f>
        <v>0.66666666666666663</v>
      </c>
      <c r="O102" s="12">
        <f>IF(OracleAbilities4Scenario4[[#This Row],[takes]]&gt;0,OracleAbilities4Scenario4[[#This Row],[wins]]/OracleAbilities4Scenario4[[#This Row],[takes]],0)</f>
        <v>0.3611111111111111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17</v>
      </c>
      <c r="M103" s="2">
        <f>COUNTIF(Scenario4[winner1-ability4],OracleAbilities4Scenario4[[#This Row],[ability]])</f>
        <v>8</v>
      </c>
      <c r="N103" s="12">
        <f>IF(SUM(OracleAbilities4Scenario4[[#This Row],[takes]]) &gt; 0,OracleAbilities4Scenario4[[#This Row],[takes]]/SUM(OracleAbilities4Scenario4[takes]),0)</f>
        <v>0.31481481481481483</v>
      </c>
      <c r="O103" s="12">
        <f>IF(OracleAbilities4Scenario4[[#This Row],[takes]]&gt;0,OracleAbilities4Scenario4[[#This Row],[wins]]/OracleAbilities4Scenario4[[#This Row],[takes]],0)</f>
        <v>0.47058823529411764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1.8518518518518517E-2</v>
      </c>
      <c r="O104" s="26">
        <f>IF(OracleAbilities4Scenario4[[#This Row],[takes]]&gt;0,OracleAbilities4Scenario4[[#This Row],[wins]]/OracleAbilities4Scenario4[[#This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</v>
      </c>
      <c r="M108">
        <f>COUNTIF(Scenario5[winner1-ability1],OracleAbilities1Scenario5[[#This Row],[ability]])+COUNTIF(Scenario5[winner2-ability1],OracleAbilities1Scenario5[[#This Row],[ability]])</f>
        <v>1</v>
      </c>
      <c r="N108" s="3">
        <f>IF(SUM(OracleAbilities1Scenario5[[#This Row],[takes]]) &gt; 0,OracleAbilities1Scenario5[[#This Row],[takes]]/SUM(OracleAbilities1Scenario5[takes]),0)</f>
        <v>5.9523809523809521E-3</v>
      </c>
      <c r="O108" s="3">
        <f>IF(OracleAbilities1Scenario5[[#This Row],[takes]]&gt;0,OracleAbilities1Scenario5[[#This Row],[wins]]/OracleAbilities1Scenario5[[#This Row],[takes]],0)</f>
        <v>1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58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25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129</v>
      </c>
      <c r="M109">
        <f>COUNTIF(Scenario5[winner1-ability1],OracleAbilities1Scenario5[[#This Row],[ability]])+COUNTIF(Scenario5[winner2-ability1],OracleAbilities1Scenario5[[#This Row],[ability]])</f>
        <v>64</v>
      </c>
      <c r="N109" s="3">
        <f>IF(SUM(OracleAbilities1Scenario5[[#This Row],[takes]]) &gt; 0,OracleAbilities1Scenario5[[#This Row],[takes]]/SUM(OracleAbilities1Scenario5[takes]),0)</f>
        <v>0.7678571428571429</v>
      </c>
      <c r="O109" s="3">
        <f>IF(OracleAbilities1Scenario5[[#This Row],[takes]]&gt;0,OracleAbilities1Scenario5[[#This Row],[wins]]/OracleAbilities1Scenario5[[#This Row],[takes]],0)</f>
        <v>0.49612403100775193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64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82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38</v>
      </c>
      <c r="M110">
        <f>COUNTIF(Scenario5[winner1-ability1],OracleAbilities1Scenario5[[#This Row],[ability]])+COUNTIF(Scenario5[winner2-ability1],OracleAbilities1Scenario5[[#This Row],[ability]])</f>
        <v>15</v>
      </c>
      <c r="N110" s="3">
        <f>IF(SUM(OracleAbilities1Scenario5[[#This Row],[takes]]) &gt; 0,OracleAbilities1Scenario5[[#This Row],[takes]]/SUM(OracleAbilities1Scenario5[takes]),0)</f>
        <v>0.22619047619047619</v>
      </c>
      <c r="O110" s="3">
        <f>IF(OracleAbilities1Scenario5[[#This Row],[takes]]&gt;0,OracleAbilities1Scenario5[[#This Row],[wins]]/OracleAbilities1Scenario5[[#This Row],[takes]],0)</f>
        <v>0.39473684210526316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46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61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41</v>
      </c>
      <c r="M113" s="2">
        <f>COUNTIF(Scenario5[winner1-ability2],OracleAbilities2Scenario5[[#This Row],[ability]])+COUNTIF(Scenario5[winner2-ability2],OracleAbilities2Scenario5[[#This Row],[ability]])</f>
        <v>33</v>
      </c>
      <c r="N113" s="12">
        <f>IF(SUM(OracleAbilities2Scenario5[[#This Row],[takes]]) &gt; 0,OracleAbilities2Scenario5[[#This Row],[takes]]/SUM(OracleAbilities2Scenario5[takes]),0)</f>
        <v>0.43157894736842106</v>
      </c>
      <c r="O113" s="12">
        <f>IF(OracleAbilities2Scenario5[[#This Row],[takes]]&gt;0,OracleAbilities2Scenario5[[#This Row],[wins]]/OracleAbilities2Scenario5[[#This Row],[takes]],0)</f>
        <v>0.80487804878048785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36</v>
      </c>
      <c r="M114" s="2">
        <f>COUNTIF(Scenario5[winner1-ability2],OracleAbilities2Scenario5[[#This Row],[ability]])+COUNTIF(Scenario5[winner2-ability2],OracleAbilities2Scenario5[[#This Row],[ability]])</f>
        <v>19</v>
      </c>
      <c r="N114" s="3">
        <f>IF(SUM(OracleAbilities2Scenario5[[#This Row],[takes]]) &gt; 0,OracleAbilities2Scenario5[[#This Row],[takes]]/SUM(OracleAbilities2Scenario5[takes]),0)</f>
        <v>0.37894736842105264</v>
      </c>
      <c r="O114" s="3">
        <f>IF(OracleAbilities2Scenario5[[#This Row],[takes]]&gt;0,OracleAbilities2Scenario5[[#This Row],[wins]]/OracleAbilities2Scenario5[[#This Row],[takes]],0)</f>
        <v>0.52777777777777779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18</v>
      </c>
      <c r="M115" s="2">
        <f>COUNTIF(Scenario5[winner1-ability2],OracleAbilities2Scenario5[[#This Row],[ability]])+COUNTIF(Scenario5[winner2-ability2],OracleAbilities2Scenario5[[#This Row],[ability]])</f>
        <v>12</v>
      </c>
      <c r="N115" s="13">
        <f>IF(SUM(OracleAbilities2Scenario5[[#This Row],[takes]]) &gt; 0,OracleAbilities2Scenario5[[#This Row],[takes]]/SUM(OracleAbilities2Scenario5[takes]),0)</f>
        <v>0.18947368421052632</v>
      </c>
      <c r="O115" s="13">
        <f>IF(OracleAbilities2Scenario5[[#This Row],[takes]]&gt;0,OracleAbilities2Scenario5[[#This Row],[wins]]/OracleAbilities2Scenario5[[#This Row],[takes]],0)</f>
        <v>0.66666666666666663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32</v>
      </c>
      <c r="M118" s="1">
        <f>COUNTIF(Scenario5[winner1-ability3],OracleAbilities3Scenario5[[#This Row],[ability]])+COUNTIF(Scenario5[winner2-ability3],OracleAbilities3Scenario5[[#This Row],[ability]])</f>
        <v>22</v>
      </c>
      <c r="N118" s="14">
        <f>IF(SUM(OracleAbilities3Scenario5[[#This Row],[takes]]) &gt; 0,OracleAbilities3Scenario5[[#This Row],[takes]]/SUM(OracleAbilities3Scenario5[takes]),0)</f>
        <v>0.53333333333333333</v>
      </c>
      <c r="O118" s="14">
        <f>IF(OracleAbilities3Scenario5[[#This Row],[takes]]&gt;0,OracleAbilities3Scenario5[[#This Row],[wins]]/OracleAbilities3Scenario5[[#This Row],[takes]],0)</f>
        <v>0.6875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14</v>
      </c>
      <c r="M119" s="2">
        <f>COUNTIF(Scenario5[winner1-ability3],OracleAbilities3Scenario5[[#This Row],[ability]])+COUNTIF(Scenario5[winner2-ability3],OracleAbilities3Scenario5[[#This Row],[ability]])</f>
        <v>10</v>
      </c>
      <c r="N119" s="12">
        <f>IF(SUM(OracleAbilities3Scenario5[[#This Row],[takes]]) &gt; 0,OracleAbilities3Scenario5[[#This Row],[takes]]/SUM(OracleAbilities3Scenario5[takes]),0)</f>
        <v>0.23333333333333334</v>
      </c>
      <c r="O119" s="12">
        <f>IF(OracleAbilities3Scenario5[[#This Row],[takes]]&gt;0,OracleAbilities3Scenario5[[#This Row],[wins]]/OracleAbilities3Scenario5[[#This Row],[takes]],0)</f>
        <v>0.7142857142857143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14</v>
      </c>
      <c r="M120" s="1">
        <f>COUNTIF(Scenario5[winner1-ability3],OracleAbilities3Scenario5[[#This Row],[ability]])+COUNTIF(Scenario5[winner2-ability3],OracleAbilities3Scenario5[[#This Row],[ability]])</f>
        <v>14</v>
      </c>
      <c r="N120" s="15">
        <f>IF(SUM(OracleAbilities3Scenario5[[#This Row],[takes]]) &gt; 0,OracleAbilities3Scenario5[[#This Row],[takes]]/SUM(OracleAbilities3Scenario5[takes]),0)</f>
        <v>0.23333333333333334</v>
      </c>
      <c r="O120" s="15">
        <f>IF(OracleAbilities3Scenario5[[#This Row],[takes]]&gt;0,OracleAbilities3Scenario5[[#This Row],[wins]]/OracleAbilities3Scenario5[[#This Row],[takes]],0)</f>
        <v>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15</v>
      </c>
      <c r="M123" s="2">
        <f>COUNTIF(Scenario5[winner1-ability4],OracleAbilities4Scenario5[[#This Row],[ability]])+COUNTIF(Scenario5[winner2-ability4],OracleAbilities4Scenario5[[#This Row],[ability]])</f>
        <v>13</v>
      </c>
      <c r="N123" s="12">
        <f>IF(SUM(OracleAbilities4Scenario5[[#This Row],[takes]]) &gt; 0,OracleAbilities4Scenario5[[#This Row],[takes]]/SUM(OracleAbilities4Scenario5[takes]),0)</f>
        <v>0.45454545454545453</v>
      </c>
      <c r="O123" s="12">
        <f>IF(OracleAbilities4Scenario5[[#This Row],[takes]]&gt;0,OracleAbilities4Scenario5[[#This Row],[wins]]/OracleAbilities4Scenario5[[#This Row],[takes]],0)</f>
        <v>0.8666666666666667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13</v>
      </c>
      <c r="M124" s="2">
        <f>COUNTIF(Scenario5[winner1-ability4],OracleAbilities4Scenario5[[#This Row],[ability]])+COUNTIF(Scenario5[winner2-ability4],OracleAbilities4Scenario5[[#This Row],[ability]])</f>
        <v>13</v>
      </c>
      <c r="N124" s="12">
        <f>IF(SUM(OracleAbilities4Scenario5[[#This Row],[takes]]) &gt; 0,OracleAbilities4Scenario5[[#This Row],[takes]]/SUM(OracleAbilities4Scenario5[takes]),0)</f>
        <v>0.39393939393939392</v>
      </c>
      <c r="O124" s="12">
        <f>IF(OracleAbilities4Scenario5[[#This Row],[takes]]&gt;0,OracleAbilities4Scenario5[[#This Row],[wins]]/OracleAbilities4Scenario5[[#This Row],[takes]],0)</f>
        <v>1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5</v>
      </c>
      <c r="M125" s="2">
        <f>COUNTIF(Scenario5[winner1-ability4],OracleAbilities4Scenario5[[#This Row],[ability]])+COUNTIF(Scenario5[winner2-ability4],OracleAbilities4Scenario5[[#This Row],[ability]])</f>
        <v>4</v>
      </c>
      <c r="N125" s="26">
        <f>IF(SUM(OracleAbilities4Scenario5[[#This Row],[takes]]) &gt; 0,OracleAbilities4Scenario5[[#This Row],[takes]]/SUM(OracleAbilities4Scenario5[takes]),0)</f>
        <v>0.15151515151515152</v>
      </c>
      <c r="O125" s="26">
        <f>IF(OracleAbilities4Scenario5[[#This Row],[takes]]&gt;0,OracleAbilities4Scenario5[[#This Row],[wins]]/OracleAbilities4Scenario5[[#This Row],[takes]],0)</f>
        <v>0.8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E26" sqref="E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0.23509933774834438</v>
      </c>
    </row>
    <row r="3" spans="1:22" x14ac:dyDescent="0.25">
      <c r="A3" t="s">
        <v>44</v>
      </c>
      <c r="B3">
        <f>L3+L24+L45+L66+L87+L108</f>
        <v>70</v>
      </c>
      <c r="C3">
        <f>M3+M24+M45+M66+M87+M108</f>
        <v>24</v>
      </c>
      <c r="D3" s="3">
        <f>IF(SUM(AvatarAbilities1[[#This Row],[takes]]) &gt; 0,AvatarAbilities1[[#This Row],[takes]]/SUM(AvatarAbilities1[takes]),0)</f>
        <v>0.11589403973509933</v>
      </c>
      <c r="E3" s="3">
        <f>IF(AvatarAbilities1[[#This Row],[takes]]&gt;0,AvatarAbilities1[[#This Row],[wins]]/AvatarAbilities1[[#This Row],[takes]],0)</f>
        <v>0.34285714285714286</v>
      </c>
      <c r="G3">
        <v>1</v>
      </c>
      <c r="H3">
        <f>R3+R24+R45+R66+R87+R108</f>
        <v>247</v>
      </c>
      <c r="I3" s="18">
        <f>S3+S24+S45+S66+S87+S108</f>
        <v>404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85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128</v>
      </c>
      <c r="U3" t="s">
        <v>200</v>
      </c>
      <c r="V3" s="16">
        <f>H5/SUM(AvatarEquip[bracers])</f>
        <v>0.35596026490066224</v>
      </c>
    </row>
    <row r="4" spans="1:22" x14ac:dyDescent="0.25">
      <c r="A4" t="s">
        <v>135</v>
      </c>
      <c r="B4">
        <f t="shared" ref="B4:B5" si="0">L4+L25+L46+L67+L88+L109</f>
        <v>239</v>
      </c>
      <c r="C4">
        <f t="shared" ref="C4:C5" si="1">M4+M25+M46+M67+M88+M109</f>
        <v>118</v>
      </c>
      <c r="D4" s="3">
        <f>IF(SUM(AvatarAbilities1[[#This Row],[takes]]) &gt; 0,AvatarAbilities1[[#This Row],[takes]]/SUM(AvatarAbilities1[takes]),0)</f>
        <v>0.39569536423841062</v>
      </c>
      <c r="E4" s="3">
        <f>IF(AvatarAbilities1[[#This Row],[takes]]&gt;0,AvatarAbilities1[[#This Row],[wins]]/AvatarAbilities1[[#This Row],[takes]],0)</f>
        <v>0.49372384937238495</v>
      </c>
      <c r="G4">
        <v>2</v>
      </c>
      <c r="H4">
        <f t="shared" ref="H4:H5" si="2">R4+R25+R46+R67+R88+R109</f>
        <v>142</v>
      </c>
      <c r="I4" s="18">
        <f t="shared" ref="I4:I5" si="3">S4+S25+S46+S67+S88+S109</f>
        <v>82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125</v>
      </c>
      <c r="M4">
        <f>COUNTIF(Scenario0[winner1-ability1],AvatarAbilities1Scenario0[[#This Row],[ability]])+COUNTIF(Scenario0[winner2-ability1],AvatarAbilities1Scenario0[[#This Row],[ability]])</f>
        <v>65</v>
      </c>
      <c r="N4" s="3">
        <f>IF(SUM(AvatarAbilities1Scenario0[[#This Row],[takes]]) &gt; 0,AvatarAbilities1Scenario0[[#This Row],[takes]]/SUM(AvatarAbilities1Scenario0[takes]),0)</f>
        <v>0.74404761904761907</v>
      </c>
      <c r="O4" s="3">
        <f>IF(AvatarAbilities1Scenario0[[#This Row],[takes]]&gt;0,AvatarAbilities1Scenario0[[#This Row],[wins]]/AvatarAbilities1Scenario0[[#This Row],[takes]],0)</f>
        <v>0.52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52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27</v>
      </c>
      <c r="U4" t="s">
        <v>179</v>
      </c>
      <c r="V4" s="3">
        <f>AvatarEquip[[#This Row],[chestpiece]]/SUM(AvatarEquip[chestpiece])</f>
        <v>0.13576158940397351</v>
      </c>
    </row>
    <row r="5" spans="1:22" x14ac:dyDescent="0.25">
      <c r="A5" t="s">
        <v>73</v>
      </c>
      <c r="B5">
        <f t="shared" si="0"/>
        <v>295</v>
      </c>
      <c r="C5">
        <f t="shared" si="1"/>
        <v>117</v>
      </c>
      <c r="D5" s="3">
        <f>IF(SUM(AvatarAbilities1[[#This Row],[takes]]) &gt; 0,AvatarAbilities1[[#This Row],[takes]]/SUM(AvatarAbilities1[takes]),0)</f>
        <v>0.48841059602649006</v>
      </c>
      <c r="E5" s="3">
        <f>IF(AvatarAbilities1[[#This Row],[takes]]&gt;0,AvatarAbilities1[[#This Row],[wins]]/AvatarAbilities1[[#This Row],[takes]],0)</f>
        <v>0.39661016949152544</v>
      </c>
      <c r="G5">
        <v>3</v>
      </c>
      <c r="H5">
        <f t="shared" si="2"/>
        <v>215</v>
      </c>
      <c r="I5" s="18">
        <f t="shared" si="3"/>
        <v>118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43</v>
      </c>
      <c r="M5">
        <f>COUNTIF(Scenario0[winner1-ability1],AvatarAbilities1Scenario0[[#This Row],[ability]])+COUNTIF(Scenario0[winner2-ability1],AvatarAbilities1Scenario0[[#This Row],[ability]])</f>
        <v>23</v>
      </c>
      <c r="N5" s="3">
        <f>IF(SUM(AvatarAbilities1Scenario0[[#This Row],[takes]]) &gt; 0,AvatarAbilities1Scenario0[[#This Row],[takes]]/SUM(AvatarAbilities1Scenario0[takes]),0)</f>
        <v>0.25595238095238093</v>
      </c>
      <c r="O5" s="3">
        <f>IF(AvatarAbilities1Scenario0[[#This Row],[takes]]&gt;0,AvatarAbilities1Scenario0[[#This Row],[wins]]/AvatarAbilities1Scenario0[[#This Row],[takes]],0)</f>
        <v>0.53488372093023251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31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U5" t="s">
        <v>180</v>
      </c>
      <c r="V5" s="16">
        <f>AvatarEquip[[#This Row],[chestpiece]]/SUM(AvatarEquip[chestpiece])</f>
        <v>0.19536423841059603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0.86258278145695366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0.5629139072847682</v>
      </c>
    </row>
    <row r="8" spans="1:22" x14ac:dyDescent="0.25">
      <c r="A8" s="2" t="s">
        <v>74</v>
      </c>
      <c r="B8" s="2">
        <f>L8+L29+L50+L71+L92+L113</f>
        <v>138</v>
      </c>
      <c r="C8" s="2">
        <f>M8+M29+M50+M71+M92+M113</f>
        <v>70</v>
      </c>
      <c r="D8" s="12">
        <f>IF(SUM(AvatarAbilities2[[#This Row],[takes]]) &gt; 0,AvatarAbilities2[[#This Row],[takes]]/SUM(AvatarAbilities2[takes]),0)</f>
        <v>0.26487523992322459</v>
      </c>
      <c r="E8" s="12">
        <f>IF(AvatarAbilities2[[#This Row],[takes]]&gt;0,AvatarAbilities2[[#This Row],[wins]]/AvatarAbilities2[[#This Row],[takes]],0)</f>
        <v>0.50724637681159424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47</v>
      </c>
      <c r="M8" s="2">
        <f>COUNTIF(Scenario0[winner1-ability2],AvatarAbilities2Scenario0[[#This Row],[ability]])+COUNTIF(Scenario0[winner2-ability2],AvatarAbilities2Scenario0[[#This Row],[ability]])</f>
        <v>29</v>
      </c>
      <c r="N8" s="12">
        <f>IF(SUM(AvatarAbilities2Scenario0[[#This Row],[takes]]) &gt; 0,AvatarAbilities2Scenario0[[#This Row],[takes]]/SUM(AvatarAbilities2Scenario0[takes]),0)</f>
        <v>0.34558823529411764</v>
      </c>
      <c r="O8" s="12">
        <f>IF(AvatarAbilities2Scenario0[[#This Row],[takes]]&gt;0,AvatarAbilities2Scenario0[[#This Row],[wins]]/AvatarAbilities2Scenario0[[#This Row],[takes]],0)</f>
        <v>0.61702127659574468</v>
      </c>
      <c r="S8" s="18"/>
      <c r="U8" t="s">
        <v>178</v>
      </c>
      <c r="V8" s="16">
        <f>SUM(AvatarAbilities4[takes])/SUM(AvatarAbilities1[takes])</f>
        <v>0.32284768211920528</v>
      </c>
    </row>
    <row r="9" spans="1:22" x14ac:dyDescent="0.25">
      <c r="A9" t="s">
        <v>136</v>
      </c>
      <c r="B9" s="2">
        <f t="shared" ref="B9:B10" si="4">L9+L30+L51+L72+L93+L114</f>
        <v>224</v>
      </c>
      <c r="C9" s="2">
        <f t="shared" ref="C9:C10" si="5">M9+M30+M51+M72+M93+M114</f>
        <v>66</v>
      </c>
      <c r="D9" s="3">
        <f>IF(SUM(AvatarAbilities2[[#This Row],[takes]]) &gt; 0,AvatarAbilities2[[#This Row],[takes]]/SUM(AvatarAbilities2[takes]),0)</f>
        <v>0.42994241842610365</v>
      </c>
      <c r="E9" s="3">
        <f>IF(AvatarAbilities2[[#This Row],[takes]]&gt;0,AvatarAbilities2[[#This Row],[wins]]/AvatarAbilities2[[#This Row],[takes]],0)</f>
        <v>0.29464285714285715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35</v>
      </c>
      <c r="M9" s="2">
        <f>COUNTIF(Scenario0[winner1-ability2],AvatarAbilities2Scenario0[[#This Row],[ability]])+COUNTIF(Scenario0[winner2-ability2],AvatarAbilities2Scenario0[[#This Row],[ability]])</f>
        <v>10</v>
      </c>
      <c r="N9" s="3">
        <f>IF(SUM(AvatarAbilities2Scenario0[[#This Row],[takes]]) &gt; 0,AvatarAbilities2Scenario0[[#This Row],[takes]]/SUM(AvatarAbilities2Scenario0[takes]),0)</f>
        <v>0.25735294117647056</v>
      </c>
      <c r="O9" s="3">
        <f>IF(AvatarAbilities2Scenario0[[#This Row],[takes]]&gt;0,AvatarAbilities2Scenario0[[#This Row],[wins]]/AvatarAbilities2Scenario0[[#This Row],[takes]],0)</f>
        <v>0.2857142857142857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2.6705298013245033</v>
      </c>
    </row>
    <row r="10" spans="1:22" x14ac:dyDescent="0.25">
      <c r="A10" s="10" t="s">
        <v>99</v>
      </c>
      <c r="B10" s="2">
        <f t="shared" si="4"/>
        <v>159</v>
      </c>
      <c r="C10" s="2">
        <f t="shared" si="5"/>
        <v>97</v>
      </c>
      <c r="D10" s="13">
        <f>IF(SUM(AvatarAbilities2[[#This Row],[takes]]) &gt; 0,AvatarAbilities2[[#This Row],[takes]]/SUM(AvatarAbilities2[takes]),0)</f>
        <v>0.30518234165067176</v>
      </c>
      <c r="E10" s="13">
        <f>IF(AvatarAbilities2[[#This Row],[takes]]&gt;0,AvatarAbilities2[[#This Row],[wins]]/AvatarAbilities2[[#This Row],[takes]],0)</f>
        <v>0.61006289308176098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54</v>
      </c>
      <c r="M10" s="2">
        <f>COUNTIF(Scenario0[winner1-ability2],AvatarAbilities2Scenario0[[#This Row],[ability]])+COUNTIF(Scenario0[winner2-ability2],AvatarAbilities2Scenario0[[#This Row],[ability]])</f>
        <v>39</v>
      </c>
      <c r="N10" s="13">
        <f>IF(SUM(AvatarAbilities2Scenario0[[#This Row],[takes]]) &gt; 0,AvatarAbilities2Scenario0[[#This Row],[takes]]/SUM(AvatarAbilities2Scenario0[takes]),0)</f>
        <v>0.39705882352941174</v>
      </c>
      <c r="O10" s="13">
        <f>IF(AvatarAbilities2Scenario0[[#This Row],[takes]]&gt;0,AvatarAbilities2Scenario0[[#This Row],[wins]]/AvatarAbilities2Scenario0[[#This Row],[takes]],0)</f>
        <v>0.72222222222222221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123</v>
      </c>
      <c r="C13" s="1">
        <f>M13+M34+M55+M76+M97+M118</f>
        <v>54</v>
      </c>
      <c r="D13" s="14">
        <f>IF(SUM(AvatarAbilities3[[#This Row],[takes]]) &gt; 0,AvatarAbilities3[[#This Row],[takes]]/SUM(AvatarAbilities3[takes]),0)</f>
        <v>0.36176470588235293</v>
      </c>
      <c r="E13" s="14">
        <f>IF(AvatarAbilities3[[#This Row],[takes]]&gt;0,AvatarAbilities3[[#This Row],[wins]]/AvatarAbilities3[[#This Row],[takes]],0)</f>
        <v>0.43902439024390244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20</v>
      </c>
      <c r="M13" s="1">
        <f>COUNTIF(Scenario0[winner1-ability3],AvatarAbilities3Scenario0[[#This Row],[ability]])+COUNTIF(Scenario0[winner2-ability3],AvatarAbilities3Scenario0[[#This Row],[ability]])</f>
        <v>17</v>
      </c>
      <c r="N13" s="14">
        <f>IF(SUM(AvatarAbilities3Scenario0[[#This Row],[takes]]) &gt; 0,AvatarAbilities3Scenario0[[#This Row],[takes]]/SUM(AvatarAbilities3Scenario0[takes]),0)</f>
        <v>0.39215686274509803</v>
      </c>
      <c r="O13" s="14">
        <f>IF(AvatarAbilities3Scenario0[[#This Row],[takes]]&gt;0,AvatarAbilities3Scenario0[[#This Row],[wins]]/AvatarAbilities3Scenario0[[#This Row],[takes]],0)</f>
        <v>0.85</v>
      </c>
      <c r="S13" s="18"/>
    </row>
    <row r="14" spans="1:22" x14ac:dyDescent="0.25">
      <c r="A14" s="2" t="s">
        <v>100</v>
      </c>
      <c r="B14" s="2">
        <f t="shared" ref="B14:B15" si="6">L14+L35+L56+L77+L98+L119</f>
        <v>77</v>
      </c>
      <c r="C14" s="2">
        <f t="shared" ref="C14:C15" si="7">M14+M35+M56+M77+M98+M119</f>
        <v>29</v>
      </c>
      <c r="D14" s="12">
        <f>IF(SUM(AvatarAbilities3[[#This Row],[takes]]) &gt; 0,AvatarAbilities3[[#This Row],[takes]]/SUM(AvatarAbilities3[takes]),0)</f>
        <v>0.22647058823529412</v>
      </c>
      <c r="E14" s="12">
        <f>IF(AvatarAbilities3[[#This Row],[takes]]&gt;0,AvatarAbilities3[[#This Row],[wins]]/AvatarAbilities3[[#This Row],[takes]],0)</f>
        <v>0.37662337662337664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7</v>
      </c>
      <c r="M14" s="2">
        <f>COUNTIF(Scenario0[winner1-ability3],AvatarAbilities3Scenario0[[#This Row],[ability]])+COUNTIF(Scenario0[winner2-ability3],AvatarAbilities3Scenario0[[#This Row],[ability]])</f>
        <v>5</v>
      </c>
      <c r="N14" s="12">
        <f>IF(SUM(AvatarAbilities3Scenario0[[#This Row],[takes]]) &gt; 0,AvatarAbilities3Scenario0[[#This Row],[takes]]/SUM(AvatarAbilities3Scenario0[takes]),0)</f>
        <v>0.13725490196078433</v>
      </c>
      <c r="O14" s="12">
        <f>IF(AvatarAbilities3Scenario0[[#This Row],[takes]]&gt;0,AvatarAbilities3Scenario0[[#This Row],[wins]]/AvatarAbilities3Scenario0[[#This Row],[takes]],0)</f>
        <v>0.7142857142857143</v>
      </c>
      <c r="S14" s="18"/>
    </row>
    <row r="15" spans="1:22" x14ac:dyDescent="0.25">
      <c r="A15" s="11" t="s">
        <v>75</v>
      </c>
      <c r="B15" s="1">
        <f t="shared" si="6"/>
        <v>140</v>
      </c>
      <c r="C15" s="1">
        <f t="shared" si="7"/>
        <v>69</v>
      </c>
      <c r="D15" s="15">
        <f>IF(SUM(AvatarAbilities3[[#This Row],[takes]]) &gt; 0,AvatarAbilities3[[#This Row],[takes]]/SUM(AvatarAbilities3[takes]),0)</f>
        <v>0.41176470588235292</v>
      </c>
      <c r="E15" s="15">
        <f>IF(AvatarAbilities3[[#This Row],[takes]]&gt;0,AvatarAbilities3[[#This Row],[wins]]/AvatarAbilities3[[#This Row],[takes]],0)</f>
        <v>0.49285714285714288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24</v>
      </c>
      <c r="M15" s="1">
        <f>COUNTIF(Scenario0[winner1-ability3],AvatarAbilities3Scenario0[[#This Row],[ability]])+COUNTIF(Scenario0[winner2-ability3],AvatarAbilities3Scenario0[[#This Row],[ability]])</f>
        <v>13</v>
      </c>
      <c r="N15" s="15">
        <f>IF(SUM(AvatarAbilities3Scenario0[[#This Row],[takes]]) &gt; 0,AvatarAbilities3Scenario0[[#This Row],[takes]]/SUM(AvatarAbilities3Scenario0[takes]),0)</f>
        <v>0.47058823529411764</v>
      </c>
      <c r="O15" s="15">
        <f>IF(AvatarAbilities3Scenario0[[#This Row],[takes]]&gt;0,AvatarAbilities3Scenario0[[#This Row],[wins]]/AvatarAbilities3Scenario0[[#This Row],[takes]],0)</f>
        <v>0.54166666666666663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62</v>
      </c>
      <c r="C18" s="2">
        <f>M18+M39+M60+M81+M102+M123</f>
        <v>31</v>
      </c>
      <c r="D18" s="12">
        <f>IF(SUM(AvatarAbilities4[[#This Row],[takes]]) &gt; 0,AvatarAbilities4[[#This Row],[takes]]/SUM(AvatarAbilities4[takes]),0)</f>
        <v>0.31794871794871793</v>
      </c>
      <c r="E18" s="12">
        <f>IF(AvatarAbilities4[[#This Row],[takes]]&gt;0,AvatarAbilities4[[#This Row],[wins]]/AvatarAbilities4[[#This Row],[takes]],0)</f>
        <v>0.5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9</v>
      </c>
      <c r="M18" s="2">
        <f>COUNTIF(Scenario0[winner1-ability4],AvatarAbilities4Scenario0[[#This Row],[ability]])+COUNTIF(Scenario0[winner2-ability4],AvatarAbilities4Scenario0[[#This Row],[ability]])</f>
        <v>7</v>
      </c>
      <c r="N18" s="12">
        <f>IF(SUM(AvatarAbilities4Scenario0[[#This Row],[takes]]) &gt; 0,AvatarAbilities4Scenario0[[#This Row],[takes]]/SUM(AvatarAbilities4Scenario0[takes]),0)</f>
        <v>0.6</v>
      </c>
      <c r="O18" s="12">
        <f>IF(AvatarAbilities4Scenario0[[#This Row],[takes]]&gt;0,AvatarAbilities4Scenario0[[#This Row],[wins]]/AvatarAbilities4Scenario0[[#This Row],[takes]],0)</f>
        <v>0.77777777777777779</v>
      </c>
      <c r="S18" s="18"/>
    </row>
    <row r="19" spans="1:20" x14ac:dyDescent="0.25">
      <c r="A19" s="2" t="s">
        <v>101</v>
      </c>
      <c r="B19" s="2">
        <f t="shared" ref="B19:B20" si="8">L19+L40+L61+L82+L103+L124</f>
        <v>74</v>
      </c>
      <c r="C19" s="2">
        <f t="shared" ref="C19:C20" si="9">M19+M40+M61+M82+M103+M124</f>
        <v>24</v>
      </c>
      <c r="D19" s="12">
        <f>IF(SUM(AvatarAbilities4[[#This Row],[takes]]) &gt; 0,AvatarAbilities4[[#This Row],[takes]]/SUM(AvatarAbilities4[takes]),0)</f>
        <v>0.37948717948717947</v>
      </c>
      <c r="E19" s="12">
        <f>IF(AvatarAbilities4[[#This Row],[takes]]&gt;0,AvatarAbilities4[[#This Row],[wins]]/AvatarAbilities4[[#This Row],[takes]],0)</f>
        <v>0.32432432432432434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19" s="2">
        <f>COUNTIF(Scenario0[winner1-ability4],AvatarAbilities4Scenario0[[#This Row],[ability]])+COUNTIF(Scenario0[winner2-ability4],AvatarAbilities4Scenario0[[#This Row],[ability]])</f>
        <v>2</v>
      </c>
      <c r="N19" s="12">
        <f>IF(SUM(AvatarAbilities4Scenario0[[#This Row],[takes]]) &gt; 0,AvatarAbilities4Scenario0[[#This Row],[takes]]/SUM(AvatarAbilities4Scenario0[takes]),0)</f>
        <v>0.2</v>
      </c>
      <c r="O19" s="12">
        <f>IF(AvatarAbilities4Scenario0[[#This Row],[takes]]&gt;0,AvatarAbilities4Scenario0[[#This Row],[wins]]/AvatarAbilities4Scenario0[[#This Row],[takes]],0)</f>
        <v>0.66666666666666663</v>
      </c>
      <c r="S19" s="18"/>
    </row>
    <row r="20" spans="1:20" ht="15.75" thickBot="1" x14ac:dyDescent="0.3">
      <c r="A20" s="10" t="s">
        <v>139</v>
      </c>
      <c r="B20" s="2">
        <f t="shared" si="8"/>
        <v>59</v>
      </c>
      <c r="C20" s="2">
        <f t="shared" si="9"/>
        <v>20</v>
      </c>
      <c r="D20" s="26">
        <f>IF(SUM(AvatarAbilities4[[#This Row],[takes]]) &gt; 0,AvatarAbilities4[[#This Row],[takes]]/SUM(AvatarAbilities4[takes]),0)</f>
        <v>0.30256410256410254</v>
      </c>
      <c r="E20" s="26">
        <f>IF(AvatarAbilities4[[#This Row],[takes]]&gt;0,AvatarAbilities4[[#This Row],[wins]]/AvatarAbilities4[[#This Row],[takes]],0)</f>
        <v>0.33898305084745761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20" s="25">
        <f>COUNTIF(Scenario0[winner1-ability4],AvatarAbilities4Scenario0[[#This Row],[ability]])+COUNTIF(Scenario0[winner2-ability4],AvatarAbilities4Scenario0[[#This Row],[ability]])</f>
        <v>2</v>
      </c>
      <c r="N20" s="26">
        <f>IF(SUM(AvatarAbilities4Scenario0[[#This Row],[takes]]) &gt; 0,AvatarAbilities4Scenario0[[#This Row],[takes]]/SUM(AvatarAbilities4Scenario0[takes]),0)</f>
        <v>0.2</v>
      </c>
      <c r="O20" s="26">
        <f>IF(AvatarAbilities4Scenario0[[#This Row],[takes]]&gt;0,AvatarAbilities4Scenario0[[#This Row],[wins]]/AvatarAbilities4Scenario0[[#This Row],[takes]],0)</f>
        <v>0.66666666666666663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5.9523809523809521E-3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100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142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17</v>
      </c>
      <c r="M25">
        <f>COUNTIF(Scenario1[winner1-ability1],AvatarAbilities1Scenario1[[#This Row],[ability]])+COUNTIF(Scenario1[winner2-ability1],AvatarAbilities1Scenario1[[#This Row],[ability]])</f>
        <v>9</v>
      </c>
      <c r="N25" s="3">
        <f>IF(SUM(AvatarAbilities1Scenario1[[#This Row],[takes]]) &gt; 0,AvatarAbilities1Scenario1[[#This Row],[takes]]/SUM(AvatarAbilities1Scenario1[takes]),0)</f>
        <v>0.10119047619047619</v>
      </c>
      <c r="O25" s="3">
        <f>IF(AvatarAbilities1Scenario1[[#This Row],[takes]]&gt;0,AvatarAbilities1Scenario1[[#This Row],[wins]]/AvatarAbilities1Scenario1[[#This Row],[takes]],0)</f>
        <v>0.52941176470588236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35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19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150</v>
      </c>
      <c r="M26">
        <f>COUNTIF(Scenario1[winner1-ability1],AvatarAbilities1Scenario1[[#This Row],[ability]])+COUNTIF(Scenario1[winner2-ability1],AvatarAbilities1Scenario1[[#This Row],[ability]])</f>
        <v>68</v>
      </c>
      <c r="N26" s="3">
        <f>IF(SUM(AvatarAbilities1Scenario1[[#This Row],[takes]]) &gt; 0,AvatarAbilities1Scenario1[[#This Row],[takes]]/SUM(AvatarAbilities1Scenario1[takes]),0)</f>
        <v>0.8928571428571429</v>
      </c>
      <c r="O26" s="3">
        <f>IF(AvatarAbilities1Scenario1[[#This Row],[takes]]&gt;0,AvatarAbilities1Scenario1[[#This Row],[wins]]/AvatarAbilities1Scenario1[[#This Row],[takes]],0)</f>
        <v>0.45333333333333331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33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44</v>
      </c>
      <c r="M29" s="2">
        <f>COUNTIF(Scenario1[winner1-ability2],AvatarAbilities2Scenario1[[#This Row],[ability]])+COUNTIF(Scenario1[winner2-ability2],AvatarAbilities2Scenario1[[#This Row],[ability]])</f>
        <v>24</v>
      </c>
      <c r="N29" s="12">
        <f>IF(SUM(AvatarAbilities2Scenario1[[#This Row],[takes]]) &gt; 0,AvatarAbilities2Scenario1[[#This Row],[takes]]/SUM(AvatarAbilities2Scenario1[takes]),0)</f>
        <v>0.30344827586206896</v>
      </c>
      <c r="O29" s="12">
        <f>IF(AvatarAbilities2Scenario1[[#This Row],[takes]]&gt;0,AvatarAbilities2Scenario1[[#This Row],[wins]]/AvatarAbilities2Scenario1[[#This Row],[takes]],0)</f>
        <v>0.54545454545454541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39</v>
      </c>
      <c r="M30" s="2">
        <f>COUNTIF(Scenario1[winner1-ability2],AvatarAbilities2Scenario1[[#This Row],[ability]])+COUNTIF(Scenario1[winner2-ability2],AvatarAbilities2Scenario1[[#This Row],[ability]])</f>
        <v>14</v>
      </c>
      <c r="N30" s="3">
        <f>IF(SUM(AvatarAbilities2Scenario1[[#This Row],[takes]]) &gt; 0,AvatarAbilities2Scenario1[[#This Row],[takes]]/SUM(AvatarAbilities2Scenario1[takes]),0)</f>
        <v>0.26896551724137929</v>
      </c>
      <c r="O30" s="3">
        <f>IF(AvatarAbilities2Scenario1[[#This Row],[takes]]&gt;0,AvatarAbilities2Scenario1[[#This Row],[wins]]/AvatarAbilities2Scenario1[[#This Row],[takes]],0)</f>
        <v>0.35897435897435898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62</v>
      </c>
      <c r="M31" s="2">
        <f>COUNTIF(Scenario1[winner1-ability2],AvatarAbilities2Scenario1[[#This Row],[ability]])+COUNTIF(Scenario1[winner2-ability2],AvatarAbilities2Scenario1[[#This Row],[ability]])</f>
        <v>35</v>
      </c>
      <c r="N31" s="13">
        <f>IF(SUM(AvatarAbilities2Scenario1[[#This Row],[takes]]) &gt; 0,AvatarAbilities2Scenario1[[#This Row],[takes]]/SUM(AvatarAbilities2Scenario1[takes]),0)</f>
        <v>0.42758620689655175</v>
      </c>
      <c r="O31" s="13">
        <f>IF(AvatarAbilities2Scenario1[[#This Row],[takes]]&gt;0,AvatarAbilities2Scenario1[[#This Row],[wins]]/AvatarAbilities2Scenario1[[#This Row],[takes]],0)</f>
        <v>0.56451612903225812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22</v>
      </c>
      <c r="M34" s="1">
        <f>COUNTIF(Scenario1[winner1-ability3],AvatarAbilities3Scenario1[[#This Row],[ability]])+COUNTIF(Scenario1[winner2-ability3],AvatarAbilities3Scenario1[[#This Row],[ability]])</f>
        <v>10</v>
      </c>
      <c r="N34" s="14">
        <f>IF(SUM(AvatarAbilities3Scenario1[[#This Row],[takes]]) &gt; 0,AvatarAbilities3Scenario1[[#This Row],[takes]]/SUM(AvatarAbilities3Scenario1[takes]),0)</f>
        <v>0.23404255319148937</v>
      </c>
      <c r="O34" s="14">
        <f>IF(AvatarAbilities3Scenario1[[#This Row],[takes]]&gt;0,AvatarAbilities3Scenario1[[#This Row],[wins]]/AvatarAbilities3Scenario1[[#This Row],[takes]],0)</f>
        <v>0.45454545454545453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26</v>
      </c>
      <c r="M35" s="2">
        <f>COUNTIF(Scenario1[winner1-ability3],AvatarAbilities3Scenario1[[#This Row],[ability]])+COUNTIF(Scenario1[winner2-ability3],AvatarAbilities3Scenario1[[#This Row],[ability]])</f>
        <v>16</v>
      </c>
      <c r="N35" s="12">
        <f>IF(SUM(AvatarAbilities3Scenario1[[#This Row],[takes]]) &gt; 0,AvatarAbilities3Scenario1[[#This Row],[takes]]/SUM(AvatarAbilities3Scenario1[takes]),0)</f>
        <v>0.27659574468085107</v>
      </c>
      <c r="O35" s="12">
        <f>IF(AvatarAbilities3Scenario1[[#This Row],[takes]]&gt;0,AvatarAbilities3Scenario1[[#This Row],[wins]]/AvatarAbilities3Scenario1[[#This Row],[takes]],0)</f>
        <v>0.61538461538461542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46</v>
      </c>
      <c r="M36" s="1">
        <f>COUNTIF(Scenario1[winner1-ability3],AvatarAbilities3Scenario1[[#This Row],[ability]])+COUNTIF(Scenario1[winner2-ability3],AvatarAbilities3Scenario1[[#This Row],[ability]])</f>
        <v>24</v>
      </c>
      <c r="N36" s="15">
        <f>IF(SUM(AvatarAbilities3Scenario1[[#This Row],[takes]]) &gt; 0,AvatarAbilities3Scenario1[[#This Row],[takes]]/SUM(AvatarAbilities3Scenario1[takes]),0)</f>
        <v>0.48936170212765956</v>
      </c>
      <c r="O36" s="15">
        <f>IF(AvatarAbilities3Scenario1[[#This Row],[takes]]&gt;0,AvatarAbilities3Scenario1[[#This Row],[wins]]/AvatarAbilities3Scenario1[[#This Row],[takes]],0)</f>
        <v>0.52173913043478259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10</v>
      </c>
      <c r="M39" s="2">
        <f>COUNTIF(Scenario1[winner1-ability4],AvatarAbilities4Scenario1[[#This Row],[ability]])+COUNTIF(Scenario1[winner2-ability4],AvatarAbilities4Scenario1[[#This Row],[ability]])</f>
        <v>10</v>
      </c>
      <c r="N39" s="12">
        <f>IF(SUM(AvatarAbilities4Scenario1[[#This Row],[takes]]) &gt; 0,AvatarAbilities4Scenario1[[#This Row],[takes]]/SUM(AvatarAbilities4Scenario1[takes]),0)</f>
        <v>0.21276595744680851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30</v>
      </c>
      <c r="M40" s="2">
        <f>COUNTIF(Scenario1[winner1-ability4],AvatarAbilities4Scenario1[[#This Row],[ability]])+COUNTIF(Scenario1[winner2-ability4],AvatarAbilities4Scenario1[[#This Row],[ability]])</f>
        <v>11</v>
      </c>
      <c r="N40" s="12">
        <f>IF(SUM(AvatarAbilities4Scenario1[[#This Row],[takes]]) &gt; 0,AvatarAbilities4Scenario1[[#This Row],[takes]]/SUM(AvatarAbilities4Scenario1[takes]),0)</f>
        <v>0.63829787234042556</v>
      </c>
      <c r="O40" s="12">
        <f>IF(AvatarAbilities4Scenario1[[#This Row],[takes]]&gt;0,AvatarAbilities4Scenario1[[#This Row],[wins]]/AvatarAbilities4Scenario1[[#This Row],[takes]],0)</f>
        <v>0.36666666666666664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7</v>
      </c>
      <c r="M41" s="25">
        <f>COUNTIF(Scenario1[winner1-ability4],AvatarAbilities4Scenario1[[#This Row],[ability]])+COUNTIF(Scenario1[winner2-ability4],AvatarAbilities4Scenario1[[#This Row],[ability]])</f>
        <v>3</v>
      </c>
      <c r="N41" s="26">
        <f>IF(SUM(AvatarAbilities4Scenario1[[#This Row],[takes]]) &gt; 0,AvatarAbilities4Scenario1[[#This Row],[takes]]/SUM(AvatarAbilities4Scenario1[takes]),0)</f>
        <v>0.14893617021276595</v>
      </c>
      <c r="O41" s="26">
        <f>IF(AvatarAbilities4Scenario1[[#This Row],[takes]]&gt;0,AvatarAbilities4Scenario1[[#This Row],[wins]]/AvatarAbilities4Scenario1[[#This Row],[takes]],0)</f>
        <v>0.42857142857142855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2</v>
      </c>
      <c r="S45" s="18">
        <f>COUNTIFS(Scenario2[winner1],"avatar",Scenario2[winner1-cp],AvatarEquipScenario2[[#This Row],[level]])+COUNTIFS(Scenario2[loser1],"avatar",Scenario2[loser1-cp],AvatarEquipScenario2[[#This Row],[level]])</f>
        <v>10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16</v>
      </c>
      <c r="M46">
        <f>COUNTIF(Scenario2[winner1-ability1],AvatarAbilities1Scenario2[[#This Row],[ability]])</f>
        <v>8</v>
      </c>
      <c r="N46" s="3">
        <f>IF(SUM(AvatarAbilities1Scenario2[[#This Row],[takes]]) &gt; 0,AvatarAbilities1Scenario2[[#This Row],[takes]]/SUM(AvatarAbilities1Scenario2[takes]),0)</f>
        <v>1</v>
      </c>
      <c r="O46" s="3">
        <f>IF(AvatarAbilities1Scenario2[[#This Row],[takes]]&gt;0,AvatarAbilities1Scenario2[[#This Row],[wins]]/AvatarAbilities1Scenario2[[#This Row],[takes]],0)</f>
        <v>0.5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4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10</v>
      </c>
      <c r="S47" s="18">
        <f>COUNTIFS(Scenario2[winner1],"avatar",Scenario2[winner1-cp],AvatarEquipScenario2[[#This Row],[level]])+COUNTIFS(Scenario2[loser1],"avatar",Scenario2[loser1-cp],AvatarEquipScenario2[[#This Row],[level]])</f>
        <v>5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7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0.53846153846153844</v>
      </c>
      <c r="O50" s="12">
        <f>IF(AvatarAbilities2Scenario2[[#This Row],[takes]]&gt;0,AvatarAbilities2Scenario2[[#This Row],[wins]]/AvatarAbilities2Scenario2[[#This Row],[takes]],0)</f>
        <v>0.14285714285714285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3">
        <f>IF(SUM(AvatarAbilities2Scenario2[[#This Row],[takes]]) &gt; 0,AvatarAbilities2Scenario2[[#This Row],[takes]]/SUM(AvatarAbilities2Scenario2[takes]),0)</f>
        <v>0.30769230769230771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2</v>
      </c>
      <c r="M52" s="2">
        <f>COUNTIF(Scenario2[winner1-ability2],AvatarAbilities2Scenario2[[#This Row],[ability]])</f>
        <v>2</v>
      </c>
      <c r="N52" s="13">
        <f>IF(SUM(AvatarAbilities2Scenario2[[#This Row],[takes]]) &gt; 0,AvatarAbilities2Scenario2[[#This Row],[takes]]/SUM(AvatarAbilities2Scenario2[takes]),0)</f>
        <v>0.15384615384615385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10</v>
      </c>
      <c r="M55" s="1">
        <f>COUNTIF(Scenario2[winner1-ability3],AvatarAbilities3Scenario2[[#This Row],[ability]])</f>
        <v>4</v>
      </c>
      <c r="N55" s="14">
        <f>IF(SUM(AvatarAbilities3Scenario2[[#This Row],[takes]]) &gt; 0,AvatarAbilities3Scenario2[[#This Row],[takes]]/SUM(AvatarAbilities3Scenario2[takes]),0)</f>
        <v>0.83333333333333337</v>
      </c>
      <c r="O55" s="14">
        <f>IF(AvatarAbilities3Scenario2[[#This Row],[takes]]&gt;0,AvatarAbilities3Scenario2[[#This Row],[wins]]/AvatarAbilities3Scenario2[[#This Row],[takes]],0)</f>
        <v>0.4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0.16666666666666666</v>
      </c>
      <c r="O57" s="15">
        <f>IF(AvatarAbilities3Scenario2[[#This Row],[takes]]&gt;0,AvatarAbilities3Scenario2[[#This Row],[wins]]/AvatarAbilities3Scenario2[[#This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3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0.6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2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0.4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5</v>
      </c>
      <c r="M66">
        <f>COUNTIF(Scenario3[winner1-ability1],AvatarAbilities1Scenario3[[#This Row],[ability]])</f>
        <v>1</v>
      </c>
      <c r="N66" s="3">
        <f>IF(SUM(AvatarAbilities1Scenario3[[#This Row],[takes]]) &gt; 0,AvatarAbilities1Scenario3[[#This Row],[takes]]/SUM(AvatarAbilities1Scenario3[takes]),0)</f>
        <v>0.17857142857142858</v>
      </c>
      <c r="O66" s="3">
        <f>IF(AvatarAbilities1Scenario3[[#This Row],[takes]]&gt;0,AvatarAbilities1Scenario3[[#This Row],[wins]]/AvatarAbilities1Scenario3[[#This Row],[takes]],0)</f>
        <v>0.2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4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18</v>
      </c>
      <c r="M67">
        <f>COUNTIF(Scenario3[winner1-ability1],AvatarAbilities1Scenario3[[#This Row],[ability]])</f>
        <v>6</v>
      </c>
      <c r="N67" s="3">
        <f>IF(SUM(AvatarAbilities1Scenario3[[#This Row],[takes]]) &gt; 0,AvatarAbilities1Scenario3[[#This Row],[takes]]/SUM(AvatarAbilities1Scenario3[takes]),0)</f>
        <v>0.6428571428571429</v>
      </c>
      <c r="O67" s="3">
        <f>IF(AvatarAbilities1Scenario3[[#This Row],[takes]]&gt;0,AvatarAbilities1Scenario3[[#This Row],[wins]]/AvatarAbilities1Scenario3[[#This Row],[takes]],0)</f>
        <v>0.33333333333333331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5</v>
      </c>
      <c r="M68">
        <f>COUNTIF(Scenario3[winner1-ability1],AvatarAbilities1Scenario3[[#This Row],[ability]])</f>
        <v>1</v>
      </c>
      <c r="N68" s="3">
        <f>IF(SUM(AvatarAbilities1Scenario3[[#This Row],[takes]]) &gt; 0,AvatarAbilities1Scenario3[[#This Row],[takes]]/SUM(AvatarAbilities1Scenario3[takes]),0)</f>
        <v>0.17857142857142858</v>
      </c>
      <c r="O68" s="3">
        <f>IF(AvatarAbilities1Scenario3[[#This Row],[takes]]&gt;0,AvatarAbilities1Scenario3[[#This Row],[wins]]/AvatarAbilities1Scenario3[[#This Row],[takes]],0)</f>
        <v>0.2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22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18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7</v>
      </c>
      <c r="M71" s="2">
        <f>COUNTIF(Scenario3[winner1-ability2],AvatarAbilities2Scenario3[[#This Row],[ability]])</f>
        <v>2</v>
      </c>
      <c r="N71" s="12">
        <f>IF(SUM(AvatarAbilities2Scenario3[[#This Row],[takes]]) &gt; 0,AvatarAbilities2Scenario3[[#This Row],[takes]]/SUM(AvatarAbilities2Scenario3[takes]),0)</f>
        <v>0.25</v>
      </c>
      <c r="O71" s="12">
        <f>IF(AvatarAbilities2Scenario3[[#This Row],[takes]]&gt;0,AvatarAbilities2Scenario3[[#This Row],[wins]]/AvatarAbilities2Scenario3[[#This Row],[takes]],0)</f>
        <v>0.2857142857142857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19</v>
      </c>
      <c r="M72" s="2">
        <f>COUNTIF(Scenario3[winner1-ability2],AvatarAbilities2Scenario3[[#This Row],[ability]])</f>
        <v>5</v>
      </c>
      <c r="N72" s="3">
        <f>IF(SUM(AvatarAbilities2Scenario3[[#This Row],[takes]]) &gt; 0,AvatarAbilities2Scenario3[[#This Row],[takes]]/SUM(AvatarAbilities2Scenario3[takes]),0)</f>
        <v>0.6785714285714286</v>
      </c>
      <c r="O72" s="3">
        <f>IF(AvatarAbilities2Scenario3[[#This Row],[takes]]&gt;0,AvatarAbilities2Scenario3[[#This Row],[wins]]/AvatarAbilities2Scenario3[[#This Row],[takes]],0)</f>
        <v>0.26315789473684209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1</v>
      </c>
      <c r="N73" s="13">
        <f>IF(SUM(AvatarAbilities2Scenario3[[#This Row],[takes]]) &gt; 0,AvatarAbilities2Scenario3[[#This Row],[takes]]/SUM(AvatarAbilities2Scenario3[takes]),0)</f>
        <v>7.1428571428571425E-2</v>
      </c>
      <c r="O73" s="13">
        <f>IF(AvatarAbilities2Scenario3[[#This Row],[takes]]&gt;0,AvatarAbilities2Scenario3[[#This Row],[wins]]/AvatarAbilities2Scenario3[[#This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11</v>
      </c>
      <c r="M76" s="1">
        <f>COUNTIF(Scenario3[winner1-ability3],AvatarAbilities3Scenario3[[#This Row],[ability]])</f>
        <v>3</v>
      </c>
      <c r="N76" s="14">
        <f>IF(SUM(AvatarAbilities3Scenario3[[#This Row],[takes]]) &gt; 0,AvatarAbilities3Scenario3[[#This Row],[takes]]/SUM(AvatarAbilities3Scenario3[takes]),0)</f>
        <v>0.45833333333333331</v>
      </c>
      <c r="O76" s="14">
        <f>IF(AvatarAbilities3Scenario3[[#This Row],[takes]]&gt;0,AvatarAbilities3Scenario3[[#This Row],[wins]]/AvatarAbilities3Scenario3[[#This Row],[takes]],0)</f>
        <v>0.27272727272727271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11</v>
      </c>
      <c r="M77" s="2">
        <f>COUNTIF(Scenario3[winner1-ability3],AvatarAbilities3Scenario3[[#This Row],[ability]])</f>
        <v>4</v>
      </c>
      <c r="N77" s="12">
        <f>IF(SUM(AvatarAbilities3Scenario3[[#This Row],[takes]]) &gt; 0,AvatarAbilities3Scenario3[[#This Row],[takes]]/SUM(AvatarAbilities3Scenario3[takes]),0)</f>
        <v>0.45833333333333331</v>
      </c>
      <c r="O77" s="12">
        <f>IF(AvatarAbilities3Scenario3[[#This Row],[takes]]&gt;0,AvatarAbilities3Scenario3[[#This Row],[wins]]/AvatarAbilities3Scenario3[[#This Row],[takes]],0)</f>
        <v>0.36363636363636365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2</v>
      </c>
      <c r="M78" s="1">
        <f>COUNTIF(Scenario3[winner1-ability3],AvatarAbilities3Scenario3[[#This Row],[ability]])</f>
        <v>1</v>
      </c>
      <c r="N78" s="15">
        <f>IF(SUM(AvatarAbilities3Scenario3[[#This Row],[takes]]) &gt; 0,AvatarAbilities3Scenario3[[#This Row],[takes]]/SUM(AvatarAbilities3Scenario3[takes]),0)</f>
        <v>8.3333333333333329E-2</v>
      </c>
      <c r="O78" s="15">
        <f>IF(AvatarAbilities3Scenario3[[#This Row],[takes]]&gt;0,AvatarAbilities3Scenario3[[#This Row],[wins]]/AvatarAbilities3Scenario3[[#This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8</v>
      </c>
      <c r="M81" s="2">
        <f>COUNTIF(Scenario3[winner1-ability4],AvatarAbilities4Scenario3[[#This Row],[ability]])</f>
        <v>4</v>
      </c>
      <c r="N81" s="12">
        <f>IF(SUM(AvatarAbilities4Scenario3[[#This Row],[takes]]) &gt; 0,AvatarAbilities4Scenario3[[#This Row],[takes]]/SUM(AvatarAbilities4Scenario3[takes]),0)</f>
        <v>0.44444444444444442</v>
      </c>
      <c r="O81" s="12">
        <f>IF(AvatarAbilities4Scenario3[[#This Row],[takes]]&gt;0,AvatarAbilities4Scenario3[[#This Row],[wins]]/AvatarAbilities4Scenario3[[#This Row],[takes]],0)</f>
        <v>0.5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2" s="2">
        <f>COUNTIF(Scenario3[winner1-ability4],AvatarAbilities4Scenario3[[#This Row],[ability]])</f>
        <v>2</v>
      </c>
      <c r="N82" s="12">
        <f>IF(SUM(AvatarAbilities4Scenario3[[#This Row],[takes]]) &gt; 0,AvatarAbilities4Scenario3[[#This Row],[takes]]/SUM(AvatarAbilities4Scenario3[takes]),0)</f>
        <v>0.27777777777777779</v>
      </c>
      <c r="O82" s="12">
        <f>IF(AvatarAbilities4Scenario3[[#This Row],[takes]]&gt;0,AvatarAbilities4Scenario3[[#This Row],[wins]]/AvatarAbilities4Scenario3[[#This Row],[takes]],0)</f>
        <v>0.4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3" s="2">
        <f>COUNTIF(Scenario3[winner1-ability4],AvatarAbilities4Scenario3[[#This Row],[ability]])</f>
        <v>2</v>
      </c>
      <c r="N83" s="26">
        <f>IF(SUM(AvatarAbilities4Scenario3[[#This Row],[takes]]) &gt; 0,AvatarAbilities4Scenario3[[#This Row],[takes]]/SUM(AvatarAbilities4Scenario3[takes]),0)</f>
        <v>0.27777777777777779</v>
      </c>
      <c r="O83" s="26">
        <f>IF(AvatarAbilities4Scenario3[[#This Row],[takes]]&gt;0,AvatarAbilities4Scenario3[[#This Row],[wins]]/AvatarAbilities4Scenario3[[#This Row],[takes]],0)</f>
        <v>0.4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14</v>
      </c>
      <c r="M87">
        <f>COUNTIF(Scenario4[winner1-ability1],AvatarAbilities1Scenario4[[#This Row],[ability]])</f>
        <v>1</v>
      </c>
      <c r="N87" s="3">
        <f>IF(SUM(AvatarAbilities1Scenario4[[#This Row],[takes]]) &gt; 0,AvatarAbilities1Scenario4[[#This Row],[takes]]/SUM(AvatarAbilities1Scenario4[takes]),0)</f>
        <v>0.25</v>
      </c>
      <c r="O87" s="3">
        <f>IF(AvatarAbilities1Scenario4[[#This Row],[takes]]&gt;0,AvatarAbilities1Scenario4[[#This Row],[wins]]/AvatarAbilities1Scenario4[[#This Row],[takes]],0)</f>
        <v>7.1428571428571425E-2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11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5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5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8.9285714285714288E-2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8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11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37</v>
      </c>
      <c r="M89">
        <f>COUNTIF(Scenario4[winner1-ability1],AvatarAbilities1Scenario4[[#This Row],[ability]])</f>
        <v>5</v>
      </c>
      <c r="N89" s="3">
        <f>IF(SUM(AvatarAbilities1Scenario4[[#This Row],[takes]]) &gt; 0,AvatarAbilities1Scenario4[[#This Row],[takes]]/SUM(AvatarAbilities1Scenario4[takes]),0)</f>
        <v>0.6607142857142857</v>
      </c>
      <c r="O89" s="3">
        <f>IF(AvatarAbilities1Scenario4[[#This Row],[takes]]&gt;0,AvatarAbilities1Scenario4[[#This Row],[wins]]/AvatarAbilities1Scenario4[[#This Row],[takes]],0)</f>
        <v>0.13513513513513514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37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40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9</v>
      </c>
      <c r="M92" s="2">
        <f>COUNTIF(Scenario4[winner1-ability2],AvatarAbilities2Scenario4[[#This Row],[ability]])</f>
        <v>1</v>
      </c>
      <c r="N92" s="12">
        <f>IF(SUM(AvatarAbilities2Scenario4[[#This Row],[takes]]) &gt; 0,AvatarAbilities2Scenario4[[#This Row],[takes]]/SUM(AvatarAbilities2Scenario4[takes]),0)</f>
        <v>0.16071428571428573</v>
      </c>
      <c r="O92" s="12">
        <f>IF(AvatarAbilities2Scenario4[[#This Row],[takes]]&gt;0,AvatarAbilities2Scenario4[[#This Row],[wins]]/AvatarAbilities2Scenario4[[#This Row],[takes]],0)</f>
        <v>0.1111111111111111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46</v>
      </c>
      <c r="M93" s="2">
        <f>COUNTIF(Scenario4[winner1-ability2],AvatarAbilities2Scenario4[[#This Row],[ability]])</f>
        <v>5</v>
      </c>
      <c r="N93" s="3">
        <f>IF(SUM(AvatarAbilities2Scenario4[[#This Row],[takes]]) &gt; 0,AvatarAbilities2Scenario4[[#This Row],[takes]]/SUM(AvatarAbilities2Scenario4[takes]),0)</f>
        <v>0.8214285714285714</v>
      </c>
      <c r="O93" s="3">
        <f>IF(AvatarAbilities2Scenario4[[#This Row],[takes]]&gt;0,AvatarAbilities2Scenario4[[#This Row],[wins]]/AvatarAbilities2Scenario4[[#This Row],[takes]],0)</f>
        <v>0.10869565217391304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1.7857142857142856E-2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15</v>
      </c>
      <c r="M97" s="1">
        <f>COUNTIF(Scenario4[winner1-ability3],AvatarAbilities3Scenario4[[#This Row],[ability]])</f>
        <v>1</v>
      </c>
      <c r="N97" s="14">
        <f>IF(SUM(AvatarAbilities3Scenario4[[#This Row],[takes]]) &gt; 0,AvatarAbilities3Scenario4[[#This Row],[takes]]/SUM(AvatarAbilities3Scenario4[takes]),0)</f>
        <v>0.27777777777777779</v>
      </c>
      <c r="O97" s="14">
        <f>IF(AvatarAbilities3Scenario4[[#This Row],[takes]]&gt;0,AvatarAbilities3Scenario4[[#This Row],[wins]]/AvatarAbilities3Scenario4[[#This Row],[takes]],0)</f>
        <v>6.6666666666666666E-2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29</v>
      </c>
      <c r="M98" s="2">
        <f>COUNTIF(Scenario4[winner1-ability3],AvatarAbilities3Scenario4[[#This Row],[ability]])</f>
        <v>3</v>
      </c>
      <c r="N98" s="12">
        <f>IF(SUM(AvatarAbilities3Scenario4[[#This Row],[takes]]) &gt; 0,AvatarAbilities3Scenario4[[#This Row],[takes]]/SUM(AvatarAbilities3Scenario4[takes]),0)</f>
        <v>0.53703703703703709</v>
      </c>
      <c r="O98" s="12">
        <f>IF(AvatarAbilities3Scenario4[[#This Row],[takes]]&gt;0,AvatarAbilities3Scenario4[[#This Row],[wins]]/AvatarAbilities3Scenario4[[#This Row],[takes]],0)</f>
        <v>0.10344827586206896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10</v>
      </c>
      <c r="M99" s="1">
        <f>COUNTIF(Scenario4[winner1-ability3],AvatarAbilities3Scenario4[[#This Row],[ability]])</f>
        <v>2</v>
      </c>
      <c r="N99" s="15">
        <f>IF(SUM(AvatarAbilities3Scenario4[[#This Row],[takes]]) &gt; 0,AvatarAbilities3Scenario4[[#This Row],[takes]]/SUM(AvatarAbilities3Scenario4[takes]),0)</f>
        <v>0.18518518518518517</v>
      </c>
      <c r="O99" s="15">
        <f>IF(AvatarAbilities3Scenario4[[#This Row],[takes]]&gt;0,AvatarAbilities3Scenario4[[#This Row],[wins]]/AvatarAbilities3Scenario4[[#This Row],[takes]],0)</f>
        <v>0.2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21</v>
      </c>
      <c r="M102" s="2">
        <f>COUNTIF(Scenario4[winner1-ability4],AvatarAbilities4Scenario4[[#This Row],[ability]])</f>
        <v>1</v>
      </c>
      <c r="N102" s="12">
        <f>IF(SUM(AvatarAbilities4Scenario4[[#This Row],[takes]]) &gt; 0,AvatarAbilities4Scenario4[[#This Row],[takes]]/SUM(AvatarAbilities4Scenario4[takes]),0)</f>
        <v>0.42857142857142855</v>
      </c>
      <c r="O102" s="12">
        <f>IF(AvatarAbilities4Scenario4[[#This Row],[takes]]&gt;0,AvatarAbilities4Scenario4[[#This Row],[wins]]/AvatarAbilities4Scenario4[[#This Row],[takes]],0)</f>
        <v>4.7619047619047616E-2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8</v>
      </c>
      <c r="M103" s="2">
        <f>COUNTIF(Scenario4[winner1-ability4],AvatarAbilities4Scenario4[[#This Row],[ability]])</f>
        <v>1</v>
      </c>
      <c r="N103" s="12">
        <f>IF(SUM(AvatarAbilities4Scenario4[[#This Row],[takes]]) &gt; 0,AvatarAbilities4Scenario4[[#This Row],[takes]]/SUM(AvatarAbilities4Scenario4[takes]),0)</f>
        <v>0.16326530612244897</v>
      </c>
      <c r="O103" s="12">
        <f>IF(AvatarAbilities4Scenario4[[#This Row],[takes]]&gt;0,AvatarAbilities4Scenario4[[#This Row],[wins]]/AvatarAbilities4Scenario4[[#This Row],[takes]],0)</f>
        <v>0.125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20</v>
      </c>
      <c r="M104" s="2">
        <f>COUNTIF(Scenario4[winner1-ability4],AvatarAbilities4Scenario4[[#This Row],[ability]])</f>
        <v>4</v>
      </c>
      <c r="N104" s="26">
        <f>IF(SUM(AvatarAbilities4Scenario4[[#This Row],[takes]]) &gt; 0,AvatarAbilities4Scenario4[[#This Row],[takes]]/SUM(AvatarAbilities4Scenario4[takes]),0)</f>
        <v>0.40816326530612246</v>
      </c>
      <c r="O104" s="26">
        <f>IF(AvatarAbilities4Scenario4[[#This Row],[takes]]&gt;0,AvatarAbilities4Scenario4[[#This Row],[wins]]/AvatarAbilities4Scenario4[[#This Row],[takes]],0)</f>
        <v>0.2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50</v>
      </c>
      <c r="M108">
        <f>COUNTIF(Scenario5[winner1-ability1],AvatarAbilities1Scenario5[[#This Row],[ability]])+COUNTIF(Scenario5[winner2-ability1],AvatarAbilities1Scenario5[[#This Row],[ability]])</f>
        <v>22</v>
      </c>
      <c r="N108" s="3">
        <f>IF(SUM(AvatarAbilities1Scenario5[[#This Row],[takes]]) &gt; 0,AvatarAbilities1Scenario5[[#This Row],[takes]]/SUM(AvatarAbilities1Scenario5[takes]),0)</f>
        <v>0.29761904761904762</v>
      </c>
      <c r="O108" s="3">
        <f>IF(AvatarAbilities1Scenario5[[#This Row],[takes]]&gt;0,AvatarAbilities1Scenario5[[#This Row],[wins]]/AvatarAbilities1Scenario5[[#This Row],[takes]],0)</f>
        <v>0.44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45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114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58</v>
      </c>
      <c r="M109">
        <f>COUNTIF(Scenario5[winner1-ability1],AvatarAbilities1Scenario5[[#This Row],[ability]])+COUNTIF(Scenario5[winner2-ability1],AvatarAbilities1Scenario5[[#This Row],[ability]])</f>
        <v>30</v>
      </c>
      <c r="N109" s="3">
        <f>IF(SUM(AvatarAbilities1Scenario5[[#This Row],[takes]]) &gt; 0,AvatarAbilities1Scenario5[[#This Row],[takes]]/SUM(AvatarAbilities1Scenario5[takes]),0)</f>
        <v>0.34523809523809523</v>
      </c>
      <c r="O109" s="3">
        <f>IF(AvatarAbilities1Scenario5[[#This Row],[takes]]&gt;0,AvatarAbilities1Scenario5[[#This Row],[wins]]/AvatarAbilities1Scenario5[[#This Row],[takes]],0)</f>
        <v>0.51724137931034486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41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19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60</v>
      </c>
      <c r="M110">
        <f>COUNTIF(Scenario5[winner1-ability1],AvatarAbilities1Scenario5[[#This Row],[ability]])+COUNTIF(Scenario5[winner2-ability1],AvatarAbilities1Scenario5[[#This Row],[ability]])</f>
        <v>20</v>
      </c>
      <c r="N110" s="3">
        <f>IF(SUM(AvatarAbilities1Scenario5[[#This Row],[takes]]) &gt; 0,AvatarAbilities1Scenario5[[#This Row],[takes]]/SUM(AvatarAbilities1Scenario5[takes]),0)</f>
        <v>0.35714285714285715</v>
      </c>
      <c r="O110" s="3">
        <f>IF(AvatarAbilities1Scenario5[[#This Row],[takes]]&gt;0,AvatarAbilities1Scenario5[[#This Row],[wins]]/AvatarAbilities1Scenario5[[#This Row],[takes]],0)</f>
        <v>0.33333333333333331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82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35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24</v>
      </c>
      <c r="M113" s="2">
        <f>COUNTIF(Scenario5[winner1-ability2],AvatarAbilities2Scenario5[[#This Row],[ability]])+COUNTIF(Scenario5[winner2-ability2],AvatarAbilities2Scenario5[[#This Row],[ability]])</f>
        <v>13</v>
      </c>
      <c r="N113" s="12">
        <f>IF(SUM(AvatarAbilities2Scenario5[[#This Row],[takes]]) &gt; 0,AvatarAbilities2Scenario5[[#This Row],[takes]]/SUM(AvatarAbilities2Scenario5[takes]),0)</f>
        <v>0.16783216783216784</v>
      </c>
      <c r="O113" s="12">
        <f>IF(AvatarAbilities2Scenario5[[#This Row],[takes]]&gt;0,AvatarAbilities2Scenario5[[#This Row],[wins]]/AvatarAbilities2Scenario5[[#This Row],[takes]],0)</f>
        <v>0.54166666666666663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81</v>
      </c>
      <c r="M114" s="2">
        <f>COUNTIF(Scenario5[winner1-ability2],AvatarAbilities2Scenario5[[#This Row],[ability]])+COUNTIF(Scenario5[winner2-ability2],AvatarAbilities2Scenario5[[#This Row],[ability]])</f>
        <v>30</v>
      </c>
      <c r="N114" s="3">
        <f>IF(SUM(AvatarAbilities2Scenario5[[#This Row],[takes]]) &gt; 0,AvatarAbilities2Scenario5[[#This Row],[takes]]/SUM(AvatarAbilities2Scenario5[takes]),0)</f>
        <v>0.56643356643356646</v>
      </c>
      <c r="O114" s="3">
        <f>IF(AvatarAbilities2Scenario5[[#This Row],[takes]]&gt;0,AvatarAbilities2Scenario5[[#This Row],[wins]]/AvatarAbilities2Scenario5[[#This Row],[takes]],0)</f>
        <v>0.37037037037037035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38</v>
      </c>
      <c r="M115" s="2">
        <f>COUNTIF(Scenario5[winner1-ability2],AvatarAbilities2Scenario5[[#This Row],[ability]])+COUNTIF(Scenario5[winner2-ability2],AvatarAbilities2Scenario5[[#This Row],[ability]])</f>
        <v>20</v>
      </c>
      <c r="N115" s="13">
        <f>IF(SUM(AvatarAbilities2Scenario5[[#This Row],[takes]]) &gt; 0,AvatarAbilities2Scenario5[[#This Row],[takes]]/SUM(AvatarAbilities2Scenario5[takes]),0)</f>
        <v>0.26573426573426573</v>
      </c>
      <c r="O115" s="13">
        <f>IF(AvatarAbilities2Scenario5[[#This Row],[takes]]&gt;0,AvatarAbilities2Scenario5[[#This Row],[wins]]/AvatarAbilities2Scenario5[[#This Row],[takes]],0)</f>
        <v>0.52631578947368418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45</v>
      </c>
      <c r="M118" s="1">
        <f>COUNTIF(Scenario5[winner1-ability3],AvatarAbilities3Scenario5[[#This Row],[ability]])+COUNTIF(Scenario5[winner2-ability3],AvatarAbilities3Scenario5[[#This Row],[ability]])</f>
        <v>19</v>
      </c>
      <c r="N118" s="14">
        <f>IF(SUM(AvatarAbilities3Scenario5[[#This Row],[takes]]) &gt; 0,AvatarAbilities3Scenario5[[#This Row],[takes]]/SUM(AvatarAbilities3Scenario5[takes]),0)</f>
        <v>0.42857142857142855</v>
      </c>
      <c r="O118" s="14">
        <f>IF(AvatarAbilities3Scenario5[[#This Row],[takes]]&gt;0,AvatarAbilities3Scenario5[[#This Row],[wins]]/AvatarAbilities3Scenario5[[#This Row],[takes]],0)</f>
        <v>0.42222222222222222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</v>
      </c>
      <c r="M119" s="2">
        <f>COUNTIF(Scenario5[winner1-ability3],AvatarAbilities3Scenario5[[#This Row],[ability]])+COUNTIF(Scenario5[winner2-ability3],AvatarAbilities3Scenario5[[#This Row],[ability]])</f>
        <v>1</v>
      </c>
      <c r="N119" s="12">
        <f>IF(SUM(AvatarAbilities3Scenario5[[#This Row],[takes]]) &gt; 0,AvatarAbilities3Scenario5[[#This Row],[takes]]/SUM(AvatarAbilities3Scenario5[takes]),0)</f>
        <v>3.8095238095238099E-2</v>
      </c>
      <c r="O119" s="12">
        <f>IF(AvatarAbilities3Scenario5[[#This Row],[takes]]&gt;0,AvatarAbilities3Scenario5[[#This Row],[wins]]/AvatarAbilities3Scenario5[[#This Row],[takes]],0)</f>
        <v>0.25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56</v>
      </c>
      <c r="M120" s="1">
        <f>COUNTIF(Scenario5[winner1-ability3],AvatarAbilities3Scenario5[[#This Row],[ability]])+COUNTIF(Scenario5[winner2-ability3],AvatarAbilities3Scenario5[[#This Row],[ability]])</f>
        <v>28</v>
      </c>
      <c r="N120" s="15">
        <f>IF(SUM(AvatarAbilities3Scenario5[[#This Row],[takes]]) &gt; 0,AvatarAbilities3Scenario5[[#This Row],[takes]]/SUM(AvatarAbilities3Scenario5[takes]),0)</f>
        <v>0.53333333333333333</v>
      </c>
      <c r="O120" s="15">
        <f>IF(AvatarAbilities3Scenario5[[#This Row],[takes]]&gt;0,AvatarAbilities3Scenario5[[#This Row],[wins]]/AvatarAbilities3Scenario5[[#This Row],[takes]],0)</f>
        <v>0.5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11</v>
      </c>
      <c r="M123" s="2">
        <f>COUNTIF(Scenario5[winner1-ability4],AvatarAbilities4Scenario5[[#This Row],[ability]])+COUNTIF(Scenario5[winner2-ability4],AvatarAbilities4Scenario5[[#This Row],[ability]])</f>
        <v>9</v>
      </c>
      <c r="N123" s="12">
        <f>IF(SUM(AvatarAbilities4Scenario5[[#This Row],[takes]]) &gt; 0,AvatarAbilities4Scenario5[[#This Row],[takes]]/SUM(AvatarAbilities4Scenario5[takes]),0)</f>
        <v>0.18032786885245902</v>
      </c>
      <c r="O123" s="12">
        <f>IF(AvatarAbilities4Scenario5[[#This Row],[takes]]&gt;0,AvatarAbilities4Scenario5[[#This Row],[wins]]/AvatarAbilities4Scenario5[[#This Row],[takes]],0)</f>
        <v>0.81818181818181823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28</v>
      </c>
      <c r="M124" s="2">
        <f>COUNTIF(Scenario5[winner1-ability4],AvatarAbilities4Scenario5[[#This Row],[ability]])+COUNTIF(Scenario5[winner2-ability4],AvatarAbilities4Scenario5[[#This Row],[ability]])</f>
        <v>8</v>
      </c>
      <c r="N124" s="12">
        <f>IF(SUM(AvatarAbilities4Scenario5[[#This Row],[takes]]) &gt; 0,AvatarAbilities4Scenario5[[#This Row],[takes]]/SUM(AvatarAbilities4Scenario5[takes]),0)</f>
        <v>0.45901639344262296</v>
      </c>
      <c r="O124" s="12">
        <f>IF(AvatarAbilities4Scenario5[[#This Row],[takes]]&gt;0,AvatarAbilities4Scenario5[[#This Row],[wins]]/AvatarAbilities4Scenario5[[#This Row],[takes]],0)</f>
        <v>0.2857142857142857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22</v>
      </c>
      <c r="M125" s="2">
        <f>COUNTIF(Scenario5[winner1-ability4],AvatarAbilities4Scenario5[[#This Row],[ability]])+COUNTIF(Scenario5[winner2-ability4],AvatarAbilities4Scenario5[[#This Row],[ability]])</f>
        <v>9</v>
      </c>
      <c r="N125" s="26">
        <f>IF(SUM(AvatarAbilities4Scenario5[[#This Row],[takes]]) &gt; 0,AvatarAbilities4Scenario5[[#This Row],[takes]]/SUM(AvatarAbilities4Scenario5[takes]),0)</f>
        <v>0.36065573770491804</v>
      </c>
      <c r="O125" s="26">
        <f>IF(AvatarAbilities4Scenario5[[#This Row],[takes]]&gt;0,AvatarAbilities4Scenario5[[#This Row],[wins]]/AvatarAbilities4Scenario5[[#This Row],[takes]],0)</f>
        <v>0.40909090909090912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6" sqref="E26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0.29801324503311261</v>
      </c>
    </row>
    <row r="3" spans="1:22" x14ac:dyDescent="0.25">
      <c r="A3" t="s">
        <v>47</v>
      </c>
      <c r="B3">
        <f>L3+L24+L45+L66+L87+L108</f>
        <v>207</v>
      </c>
      <c r="C3">
        <f>M3+M24+M45+M66+M87+M108</f>
        <v>102</v>
      </c>
      <c r="D3" s="3">
        <f>IF(SUM(ShadowAbilities1[[#This Row],[takes]]) &gt; 0,ShadowAbilities1[[#This Row],[takes]]/SUM(ShadowAbilities1[takes]),0)</f>
        <v>0.34271523178807944</v>
      </c>
      <c r="E3" s="3">
        <f>IF(ShadowAbilities1[[#This Row],[takes]]&gt;0,ShadowAbilities1[[#This Row],[wins]]/ShadowAbilities1[[#This Row],[takes]],0)</f>
        <v>0.49275362318840582</v>
      </c>
      <c r="G3">
        <v>1</v>
      </c>
      <c r="H3">
        <f>R3+R24+R45+R66+R87+R108</f>
        <v>40</v>
      </c>
      <c r="I3" s="18">
        <f>S3+S24+S45+S66+S87+S108</f>
        <v>428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152</v>
      </c>
      <c r="M3">
        <f>COUNTIF(Scenario0[winner1-ability1],ShadowAbilities1Scenario0[[#This Row],[ability]])+COUNTIF(Scenario0[winner2-ability1],ShadowAbilities1Scenario0[[#This Row],[ability]])</f>
        <v>80</v>
      </c>
      <c r="N3" s="3">
        <f>IF(SUM(ShadowAbilities1Scenario0[[#This Row],[takes]]) &gt; 0,ShadowAbilities1Scenario0[[#This Row],[takes]]/SUM(ShadowAbilities1Scenario0[takes]),0)</f>
        <v>0.90476190476190477</v>
      </c>
      <c r="O3" s="3">
        <f>IF(ShadowAbilities1Scenario0[[#This Row],[takes]]&gt;0,ShadowAbilities1Scenario0[[#This Row],[wins]]/ShadowAbilities1Scenario0[[#This Row],[takes]],0)</f>
        <v>0.52631578947368418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25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143</v>
      </c>
      <c r="U3" t="s">
        <v>202</v>
      </c>
      <c r="V3" s="16">
        <f>H5/SUM(ShadowEquip[bow])</f>
        <v>0.63576158940397354</v>
      </c>
    </row>
    <row r="4" spans="1:22" x14ac:dyDescent="0.25">
      <c r="A4" t="s">
        <v>86</v>
      </c>
      <c r="B4">
        <f t="shared" ref="B4:B5" si="0">L4+L25+L46+L67+L88+L109</f>
        <v>207</v>
      </c>
      <c r="C4">
        <f t="shared" ref="C4:C5" si="1">M4+M25+M46+M67+M88+M109</f>
        <v>83</v>
      </c>
      <c r="D4" s="3">
        <f>IF(SUM(ShadowAbilities1[[#This Row],[takes]]) &gt; 0,ShadowAbilities1[[#This Row],[takes]]/SUM(ShadowAbilities1[takes]),0)</f>
        <v>0.34271523178807944</v>
      </c>
      <c r="E4" s="3">
        <f>IF(ShadowAbilities1[[#This Row],[takes]]&gt;0,ShadowAbilities1[[#This Row],[wins]]/ShadowAbilities1[[#This Row],[takes]],0)</f>
        <v>0.40096618357487923</v>
      </c>
      <c r="G4">
        <v>2</v>
      </c>
      <c r="H4">
        <f t="shared" ref="H4:H5" si="2">R4+R25+R46+R67+R88+R109</f>
        <v>180</v>
      </c>
      <c r="I4" s="18">
        <f t="shared" ref="I4:I5" si="3">S4+S25+S46+S67+S88+S109</f>
        <v>87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</v>
      </c>
      <c r="M4">
        <f>COUNTIF(Scenario0[winner1-ability1],ShadowAbilities1Scenario0[[#This Row],[ability]])+COUNTIF(Scenario0[winner2-ability1],ShadowAbilities1Scenario0[[#This Row],[ability]])</f>
        <v>3</v>
      </c>
      <c r="N4" s="3">
        <f>IF(SUM(ShadowAbilities1Scenario0[[#This Row],[takes]]) &gt; 0,ShadowAbilities1Scenario0[[#This Row],[takes]]/SUM(ShadowAbilities1Scenario0[takes]),0)</f>
        <v>4.7619047619047616E-2</v>
      </c>
      <c r="O4" s="3">
        <f>IF(ShadowAbilities1Scenario0[[#This Row],[takes]]&gt;0,ShadowAbilities1Scenario0[[#This Row],[wins]]/ShadowAbilities1Scenario0[[#This Row],[takes]],0)</f>
        <v>0.375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85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24</v>
      </c>
      <c r="U4" t="s">
        <v>179</v>
      </c>
      <c r="V4" s="3">
        <f>ShadowEquip[[#This Row],[chestpiece]]/SUM(ShadowEquip[chestpiece])</f>
        <v>0.14403973509933773</v>
      </c>
    </row>
    <row r="5" spans="1:22" x14ac:dyDescent="0.25">
      <c r="A5" t="s">
        <v>140</v>
      </c>
      <c r="B5">
        <f t="shared" si="0"/>
        <v>190</v>
      </c>
      <c r="C5">
        <f t="shared" si="1"/>
        <v>109</v>
      </c>
      <c r="D5" s="3">
        <f>IF(SUM(ShadowAbilities1[[#This Row],[takes]]) &gt; 0,ShadowAbilities1[[#This Row],[takes]]/SUM(ShadowAbilities1[takes]),0)</f>
        <v>0.31456953642384106</v>
      </c>
      <c r="E5" s="3">
        <f>IF(ShadowAbilities1[[#This Row],[takes]]&gt;0,ShadowAbilities1[[#This Row],[wins]]/ShadowAbilities1[[#This Row],[takes]],0)</f>
        <v>0.5736842105263158</v>
      </c>
      <c r="G5">
        <v>3</v>
      </c>
      <c r="H5">
        <f t="shared" si="2"/>
        <v>384</v>
      </c>
      <c r="I5" s="18">
        <f t="shared" si="3"/>
        <v>89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</v>
      </c>
      <c r="M5">
        <f>COUNTIF(Scenario0[winner1-ability1],ShadowAbilities1Scenario0[[#This Row],[ability]])+COUNTIF(Scenario0[winner2-ability1],ShadowAbilities1Scenario0[[#This Row],[ability]])</f>
        <v>4</v>
      </c>
      <c r="N5" s="3">
        <f>IF(SUM(ShadowAbilities1Scenario0[[#This Row],[takes]]) &gt; 0,ShadowAbilities1Scenario0[[#This Row],[takes]]/SUM(ShadowAbilities1Scenario0[takes]),0)</f>
        <v>4.7619047619047616E-2</v>
      </c>
      <c r="O5" s="3">
        <f>IF(ShadowAbilities1Scenario0[[#This Row],[takes]]&gt;0,ShadowAbilities1Scenario0[[#This Row],[wins]]/ShadowAbilities1Scenario0[[#This Row],[takes]],0)</f>
        <v>0.5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58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</v>
      </c>
      <c r="U5" t="s">
        <v>180</v>
      </c>
      <c r="V5" s="16">
        <f>ShadowEquip[[#This Row],[chestpiece]]/SUM(ShadowEquip[chestpiece])</f>
        <v>0.14735099337748345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0.40728476821192056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0.29139072847682118</v>
      </c>
    </row>
    <row r="8" spans="1:22" x14ac:dyDescent="0.25">
      <c r="A8" s="2" t="s">
        <v>141</v>
      </c>
      <c r="B8" s="2">
        <f>L8+L29+L50+L71+L92+L113</f>
        <v>141</v>
      </c>
      <c r="C8" s="2">
        <f>M8+M29+M50+M71+M92+M113</f>
        <v>68</v>
      </c>
      <c r="D8" s="12">
        <f>IF(SUM(ShadowAbilities2[[#This Row],[takes]]) &gt; 0,ShadowAbilities2[[#This Row],[takes]]/SUM(ShadowAbilities2[takes]),0)</f>
        <v>0.57317073170731703</v>
      </c>
      <c r="E8" s="12">
        <f>IF(ShadowAbilities2[[#This Row],[takes]]&gt;0,ShadowAbilities2[[#This Row],[wins]]/ShadowAbilities2[[#This Row],[takes]],0)</f>
        <v>0.48226950354609927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4</v>
      </c>
      <c r="M8" s="2">
        <f>COUNTIF(Scenario0[winner1-ability2],ShadowAbilities2Scenario0[[#This Row],[ability]])+COUNTIF(Scenario0[winner2-ability2],ShadowAbilities2Scenario0[[#This Row],[ability]])</f>
        <v>2</v>
      </c>
      <c r="N8" s="12">
        <f>IF(SUM(ShadowAbilities2Scenario0[[#This Row],[takes]]) &gt; 0,ShadowAbilities2Scenario0[[#This Row],[takes]]/SUM(ShadowAbilities2Scenario0[takes]),0)</f>
        <v>0.25</v>
      </c>
      <c r="O8" s="12">
        <f>IF(ShadowAbilities2Scenario0[[#This Row],[takes]]&gt;0,ShadowAbilities2Scenario0[[#This Row],[wins]]/ShadowAbilities2Scenario0[[#This Row],[takes]],0)</f>
        <v>0.5</v>
      </c>
      <c r="S8" s="18"/>
      <c r="U8" t="s">
        <v>178</v>
      </c>
      <c r="V8" s="16">
        <f>SUM(ShadowAbilities4[takes])/SUM(ShadowAbilities1[takes])</f>
        <v>0.23013245033112584</v>
      </c>
    </row>
    <row r="9" spans="1:22" x14ac:dyDescent="0.25">
      <c r="A9" t="s">
        <v>92</v>
      </c>
      <c r="B9" s="2">
        <f t="shared" ref="B9:B10" si="4">L9+L30+L51+L72+L93+L114</f>
        <v>24</v>
      </c>
      <c r="C9" s="2">
        <f t="shared" ref="C9:C10" si="5">M9+M30+M51+M72+M93+M114</f>
        <v>9</v>
      </c>
      <c r="D9" s="3">
        <f>IF(SUM(ShadowAbilities2[[#This Row],[takes]]) &gt; 0,ShadowAbilities2[[#This Row],[takes]]/SUM(ShadowAbilities2[takes]),0)</f>
        <v>9.7560975609756101E-2</v>
      </c>
      <c r="E9" s="3">
        <f>IF(ShadowAbilities2[[#This Row],[takes]]&gt;0,ShadowAbilities2[[#This Row],[wins]]/ShadowAbilities2[[#This Row],[takes]],0)</f>
        <v>0.375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9" s="2">
        <f>COUNTIF(Scenario0[winner1-ability2],ShadowAbilities2Scenario0[[#This Row],[ability]])+COUNTIF(Scenario0[winner2-ability2],ShadowAbilities2Scenario0[[#This Row],[ability]])</f>
        <v>2</v>
      </c>
      <c r="N9" s="3">
        <f>IF(SUM(ShadowAbilities2Scenario0[[#This Row],[takes]]) &gt; 0,ShadowAbilities2Scenario0[[#This Row],[takes]]/SUM(ShadowAbilities2Scenario0[takes]),0)</f>
        <v>0.1875</v>
      </c>
      <c r="O9" s="3">
        <f>IF(ShadowAbilities2Scenario0[[#This Row],[takes]]&gt;0,ShadowAbilities2Scenario0[[#This Row],[wins]]/ShadowAbilities2Scenario0[[#This Row],[takes]],0)</f>
        <v>0.66666666666666663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2.1539735099337749</v>
      </c>
    </row>
    <row r="10" spans="1:22" x14ac:dyDescent="0.25">
      <c r="A10" s="10" t="s">
        <v>76</v>
      </c>
      <c r="B10" s="2">
        <f t="shared" si="4"/>
        <v>81</v>
      </c>
      <c r="C10" s="2">
        <f t="shared" si="5"/>
        <v>40</v>
      </c>
      <c r="D10" s="13">
        <f>IF(SUM(ShadowAbilities2[[#This Row],[takes]]) &gt; 0,ShadowAbilities2[[#This Row],[takes]]/SUM(ShadowAbilities2[takes]),0)</f>
        <v>0.32926829268292684</v>
      </c>
      <c r="E10" s="13">
        <f>IF(ShadowAbilities2[[#This Row],[takes]]&gt;0,ShadowAbilities2[[#This Row],[wins]]/ShadowAbilities2[[#This Row],[takes]],0)</f>
        <v>0.49382716049382713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9</v>
      </c>
      <c r="M10" s="2">
        <f>COUNTIF(Scenario0[winner1-ability2],ShadowAbilities2Scenario0[[#This Row],[ability]])+COUNTIF(Scenario0[winner2-ability2],ShadowAbilities2Scenario0[[#This Row],[ability]])</f>
        <v>6</v>
      </c>
      <c r="N10" s="13">
        <f>IF(SUM(ShadowAbilities2Scenario0[[#This Row],[takes]]) &gt; 0,ShadowAbilities2Scenario0[[#This Row],[takes]]/SUM(ShadowAbilities2Scenario0[takes]),0)</f>
        <v>0.5625</v>
      </c>
      <c r="O10" s="13">
        <f>IF(ShadowAbilities2Scenario0[[#This Row],[takes]]&gt;0,ShadowAbilities2Scenario0[[#This Row],[wins]]/ShadowAbilities2Scenario0[[#This Row],[takes]],0)</f>
        <v>0.66666666666666663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53</v>
      </c>
      <c r="C13" s="1">
        <f>M13+M34+M55+M76+M97+M118</f>
        <v>26</v>
      </c>
      <c r="D13" s="14">
        <f>IF(SUM(ShadowAbilities3[[#This Row],[takes]]) &gt; 0,ShadowAbilities3[[#This Row],[takes]]/SUM(ShadowAbilities3[takes]),0)</f>
        <v>0.30113636363636365</v>
      </c>
      <c r="E13" s="14">
        <f>IF(ShadowAbilities3[[#This Row],[takes]]&gt;0,ShadowAbilities3[[#This Row],[wins]]/ShadowAbilities3[[#This Row],[takes]],0)</f>
        <v>0.49056603773584906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49</v>
      </c>
      <c r="C14" s="2">
        <f t="shared" ref="C14:C15" si="7">M14+M35+M56+M77+M98+M119</f>
        <v>20</v>
      </c>
      <c r="D14" s="12">
        <f>IF(SUM(ShadowAbilities3[[#This Row],[takes]]) &gt; 0,ShadowAbilities3[[#This Row],[takes]]/SUM(ShadowAbilities3[takes]),0)</f>
        <v>0.27840909090909088</v>
      </c>
      <c r="E14" s="12">
        <f>IF(ShadowAbilities3[[#This Row],[takes]]&gt;0,ShadowAbilities3[[#This Row],[wins]]/ShadowAbilities3[[#This Row],[takes]],0)</f>
        <v>0.40816326530612246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4</v>
      </c>
      <c r="M14" s="2">
        <f>COUNTIF(Scenario0[winner1-ability3],ShadowAbilities3Scenario0[[#This Row],[ability]])+COUNTIF(Scenario0[winner2-ability3],ShadowAbilities3Scenario0[[#This Row],[ability]])</f>
        <v>3</v>
      </c>
      <c r="N14" s="12">
        <f>IF(SUM(ShadowAbilities3Scenario0[[#This Row],[takes]]) &gt; 0,ShadowAbilities3Scenario0[[#This Row],[takes]]/SUM(ShadowAbilities3Scenario0[takes]),0)</f>
        <v>0.5714285714285714</v>
      </c>
      <c r="O14" s="12">
        <f>IF(ShadowAbilities3Scenario0[[#This Row],[takes]]&gt;0,ShadowAbilities3Scenario0[[#This Row],[wins]]/ShadowAbilities3Scenario0[[#This Row],[takes]],0)</f>
        <v>0.75</v>
      </c>
      <c r="S14" s="18"/>
    </row>
    <row r="15" spans="1:22" x14ac:dyDescent="0.25">
      <c r="A15" s="11" t="s">
        <v>93</v>
      </c>
      <c r="B15" s="1">
        <f t="shared" si="6"/>
        <v>74</v>
      </c>
      <c r="C15" s="1">
        <f t="shared" si="7"/>
        <v>35</v>
      </c>
      <c r="D15" s="15">
        <f>IF(SUM(ShadowAbilities3[[#This Row],[takes]]) &gt; 0,ShadowAbilities3[[#This Row],[takes]]/SUM(ShadowAbilities3[takes]),0)</f>
        <v>0.42045454545454547</v>
      </c>
      <c r="E15" s="15">
        <f>IF(ShadowAbilities3[[#This Row],[takes]]&gt;0,ShadowAbilities3[[#This Row],[wins]]/ShadowAbilities3[[#This Row],[takes]],0)</f>
        <v>0.47297297297297297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3</v>
      </c>
      <c r="M15" s="1">
        <f>COUNTIF(Scenario0[winner1-ability3],ShadowAbilities3Scenario0[[#This Row],[ability]])+COUNTIF(Scenario0[winner2-ability3],ShadowAbilities3Scenario0[[#This Row],[ability]])</f>
        <v>2</v>
      </c>
      <c r="N15" s="15">
        <f>IF(SUM(ShadowAbilities3Scenario0[[#This Row],[takes]]) &gt; 0,ShadowAbilities3Scenario0[[#This Row],[takes]]/SUM(ShadowAbilities3Scenario0[takes]),0)</f>
        <v>0.42857142857142855</v>
      </c>
      <c r="O15" s="15">
        <f>IF(ShadowAbilities3Scenario0[[#This Row],[takes]]&gt;0,ShadowAbilities3Scenario0[[#This Row],[wins]]/ShadowAbilities3Scenario0[[#This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36</v>
      </c>
      <c r="C18" s="2">
        <f>M18+M39+M60+M81+M102+M123</f>
        <v>13</v>
      </c>
      <c r="D18" s="12">
        <f>IF(SUM(ShadowAbilities4[[#This Row],[takes]]) &gt; 0,ShadowAbilities4[[#This Row],[takes]]/SUM(ShadowAbilities4[takes]),0)</f>
        <v>0.25899280575539568</v>
      </c>
      <c r="E18" s="12">
        <f>IF(ShadowAbilities4[[#This Row],[takes]]&gt;0,ShadowAbilities4[[#This Row],[wins]]/ShadowAbilities4[[#This Row],[takes]],0)</f>
        <v>0.3611111111111111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53</v>
      </c>
      <c r="C19" s="2">
        <f t="shared" ref="C19:C20" si="9">M19+M40+M61+M82+M103+M124</f>
        <v>20</v>
      </c>
      <c r="D19" s="12">
        <f>IF(SUM(ShadowAbilities4[[#This Row],[takes]]) &gt; 0,ShadowAbilities4[[#This Row],[takes]]/SUM(ShadowAbilities4[takes]),0)</f>
        <v>0.38129496402877699</v>
      </c>
      <c r="E19" s="12">
        <f>IF(ShadowAbilities4[[#This Row],[takes]]&gt;0,ShadowAbilities4[[#This Row],[wins]]/ShadowAbilities4[[#This Row],[takes]],0)</f>
        <v>0.37735849056603776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50</v>
      </c>
      <c r="C20" s="2">
        <f t="shared" si="9"/>
        <v>23</v>
      </c>
      <c r="D20" s="26">
        <f>IF(SUM(ShadowAbilities4[[#This Row],[takes]]) &gt; 0,ShadowAbilities4[[#This Row],[takes]]/SUM(ShadowAbilities4[takes]),0)</f>
        <v>0.35971223021582732</v>
      </c>
      <c r="E20" s="26">
        <f>IF(ShadowAbilities4[[#This Row],[takes]]&gt;0,ShadowAbilities4[[#This Row],[wins]]/ShadowAbilities4[[#This Row],[takes]],0)</f>
        <v>0.46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37</v>
      </c>
      <c r="M24">
        <f>COUNTIF(Scenario1[winner1-ability1],ShadowAbilities1Scenario1[[#This Row],[ability]])+COUNTIF(Scenario1[winner2-ability1],ShadowAbilities1Scenario1[[#This Row],[ability]])</f>
        <v>19</v>
      </c>
      <c r="N24" s="3">
        <f>IF(SUM(ShadowAbilities1Scenario1[[#This Row],[takes]]) &gt; 0,ShadowAbilities1Scenario1[[#This Row],[takes]]/SUM(ShadowAbilities1Scenario1[takes]),0)</f>
        <v>0.22023809523809523</v>
      </c>
      <c r="O24" s="3">
        <f>IF(ShadowAbilities1Scenario1[[#This Row],[takes]]&gt;0,ShadowAbilities1Scenario1[[#This Row],[wins]]/ShadowAbilities1Scenario1[[#This Row],[takes]],0)</f>
        <v>0.51351351351351349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8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141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51</v>
      </c>
      <c r="M25">
        <f>COUNTIF(Scenario1[winner1-ability1],ShadowAbilities1Scenario1[[#This Row],[ability]])+COUNTIF(Scenario1[winner2-ability1],ShadowAbilities1Scenario1[[#This Row],[ability]])</f>
        <v>30</v>
      </c>
      <c r="N25" s="3">
        <f>IF(SUM(ShadowAbilities1Scenario1[[#This Row],[takes]]) &gt; 0,ShadowAbilities1Scenario1[[#This Row],[takes]]/SUM(ShadowAbilities1Scenario1[takes]),0)</f>
        <v>0.30357142857142855</v>
      </c>
      <c r="O25" s="3">
        <f>IF(ShadowAbilities1Scenario1[[#This Row],[takes]]&gt;0,ShadowAbilities1Scenario1[[#This Row],[wins]]/ShadowAbilities1Scenario1[[#This Row],[takes]],0)</f>
        <v>0.58823529411764708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21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80</v>
      </c>
      <c r="M26">
        <f>COUNTIF(Scenario1[winner1-ability1],ShadowAbilities1Scenario1[[#This Row],[ability]])+COUNTIF(Scenario1[winner2-ability1],ShadowAbilities1Scenario1[[#This Row],[ability]])</f>
        <v>48</v>
      </c>
      <c r="N26" s="3">
        <f>IF(SUM(ShadowAbilities1Scenario1[[#This Row],[takes]]) &gt; 0,ShadowAbilities1Scenario1[[#This Row],[takes]]/SUM(ShadowAbilities1Scenario1[takes]),0)</f>
        <v>0.47619047619047616</v>
      </c>
      <c r="O26" s="3">
        <f>IF(ShadowAbilities1Scenario1[[#This Row],[takes]]&gt;0,ShadowAbilities1Scenario1[[#This Row],[wins]]/ShadowAbilities1Scenario1[[#This Row],[takes]],0)</f>
        <v>0.6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101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19</v>
      </c>
      <c r="M29" s="2">
        <f>COUNTIF(Scenario1[winner1-ability2],ShadowAbilities2Scenario1[[#This Row],[ability]])+COUNTIF(Scenario1[winner2-ability2],ShadowAbilities2Scenario1[[#This Row],[ability]])</f>
        <v>18</v>
      </c>
      <c r="N29" s="12">
        <f>IF(SUM(ShadowAbilities2Scenario1[[#This Row],[takes]]) &gt; 0,ShadowAbilities2Scenario1[[#This Row],[takes]]/SUM(ShadowAbilities2Scenario1[takes]),0)</f>
        <v>0.59375</v>
      </c>
      <c r="O29" s="12">
        <f>IF(ShadowAbilities2Scenario1[[#This Row],[takes]]&gt;0,ShadowAbilities2Scenario1[[#This Row],[wins]]/ShadowAbilities2Scenario1[[#This Row],[takes]],0)</f>
        <v>0.94736842105263153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9.375E-2</v>
      </c>
      <c r="O30" s="3">
        <f>IF(ShadowAbilities2Scenario1[[#This Row],[takes]]&gt;0,ShadowAbilities2Scenario1[[#This Row],[wins]]/ShadowAbilities2Scenario1[[#This Row],[takes]],0)</f>
        <v>0.33333333333333331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10</v>
      </c>
      <c r="M31" s="2">
        <f>COUNTIF(Scenario1[winner1-ability2],ShadowAbilities2Scenario1[[#This Row],[ability]])+COUNTIF(Scenario1[winner2-ability2],ShadowAbilities2Scenario1[[#This Row],[ability]])</f>
        <v>4</v>
      </c>
      <c r="N31" s="13">
        <f>IF(SUM(ShadowAbilities2Scenario1[[#This Row],[takes]]) &gt; 0,ShadowAbilities2Scenario1[[#This Row],[takes]]/SUM(ShadowAbilities2Scenario1[takes]),0)</f>
        <v>0.3125</v>
      </c>
      <c r="O31" s="13">
        <f>IF(ShadowAbilities2Scenario1[[#This Row],[takes]]&gt;0,ShadowAbilities2Scenario1[[#This Row],[wins]]/ShadowAbilities2Scenario1[[#This Row],[takes]],0)</f>
        <v>0.4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6</v>
      </c>
      <c r="M34" s="1">
        <f>COUNTIF(Scenario1[winner1-ability3],ShadowAbilities3Scenario1[[#This Row],[ability]])+COUNTIF(Scenario1[winner2-ability3],ShadowAbilities3Scenario1[[#This Row],[ability]])</f>
        <v>3</v>
      </c>
      <c r="N34" s="14">
        <f>IF(SUM(ShadowAbilities3Scenario1[[#This Row],[takes]]) &gt; 0,ShadowAbilities3Scenario1[[#This Row],[takes]]/SUM(ShadowAbilities3Scenario1[takes]),0)</f>
        <v>0.75</v>
      </c>
      <c r="O34" s="14">
        <f>IF(ShadowAbilities3Scenario1[[#This Row],[takes]]&gt;0,ShadowAbilities3Scenario1[[#This Row],[wins]]/ShadowAbilities3Scenario1[[#This Row],[takes]],0)</f>
        <v>0.5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0.125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6" s="1">
        <f>COUNTIF(Scenario1[winner1-ability3],ShadowAbilities3Scenario1[[#This Row],[ability]])+COUNTIF(Scenario1[winner2-ability3],ShadowAbilities3Scenario1[[#This Row],[ability]])</f>
        <v>1</v>
      </c>
      <c r="N36" s="15">
        <f>IF(SUM(ShadowAbilities3Scenario1[[#This Row],[takes]]) &gt; 0,ShadowAbilities3Scenario1[[#This Row],[takes]]/SUM(ShadowAbilities3Scenario1[takes]),0)</f>
        <v>0.125</v>
      </c>
      <c r="O36" s="15">
        <f>IF(ShadowAbilities3Scenario1[[#This Row],[takes]]&gt;0,ShadowAbilities3Scenario1[[#This Row],[wins]]/ShadowAbilities3Scenario1[[#This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1</v>
      </c>
      <c r="N39" s="12">
        <f>IF(SUM(ShadowAbilities4Scenario1[[#This Row],[takes]]) &gt; 0,ShadowAbilities4Scenario1[[#This Row],[takes]]/SUM(ShadowAbilities4Scenario1[takes]),0)</f>
        <v>0.2</v>
      </c>
      <c r="O39" s="12">
        <f>IF(ShadowAbilities4Scenario1[[#This Row],[takes]]&gt;0,ShadowAbilities4Scenario1[[#This Row],[wins]]/ShadowAbilities4Scenario1[[#This Row],[takes]],0)</f>
        <v>1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3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0.6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0.2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10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8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3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8</v>
      </c>
      <c r="M47">
        <f>COUNTIF(Scenario2[winner1-ability1],ShadowAbilities1Scenario2[[#This Row],[ability]])</f>
        <v>6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0.75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16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9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0.9</v>
      </c>
      <c r="O50" s="12">
        <f>IF(ShadowAbilities2Scenario2[[#This Row],[takes]]&gt;0,ShadowAbilities2Scenario2[[#This Row],[wins]]/ShadowAbilities2Scenario2[[#This Row],[takes]],0)</f>
        <v>0.1111111111111111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0</v>
      </c>
      <c r="M51" s="2">
        <f>COUNTIF(Scenario2[winner1-ability2],ShadowAbilities2Scenario2[[#This Row],[ability]])</f>
        <v>0</v>
      </c>
      <c r="N51" s="3">
        <f>IF(SUM(ShadowAbilities2Scenario2[[#This Row],[takes]]) &gt; 0,ShadowAbilities2Scenario2[[#This Row],[takes]]/SUM(ShadowAbilities2Scenario2[takes]),0)</f>
        <v>0</v>
      </c>
      <c r="O51" s="3">
        <f>IF(ShadowAbilities2Scenario2[[#This Row],[takes]]&gt;0,ShadowAbilities2Scenario2[[#This Row],[wins]]/ShadowAbilities2Scenario2[[#This Row],[takes]],0)</f>
        <v>0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1</v>
      </c>
      <c r="M52" s="2">
        <f>COUNTIF(Scenario2[winner1-ability2],ShadowAbilities2Scenario2[[#This Row],[ability]])</f>
        <v>0</v>
      </c>
      <c r="N52" s="13">
        <f>IF(SUM(ShadowAbilities2Scenario2[[#This Row],[takes]]) &gt; 0,ShadowAbilities2Scenario2[[#This Row],[takes]]/SUM(ShadowAbilities2Scenario2[takes]),0)</f>
        <v>0.1</v>
      </c>
      <c r="O52" s="13">
        <f>IF(ShadowAbilities2Scenario2[[#This Row],[takes]]&gt;0,ShadowAbilities2Scenario2[[#This Row],[wins]]/ShadowAbilities2Scenario2[[#This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7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4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0.66666666666666663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0.33333333333333331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7.1428571428571425E-2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13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26</v>
      </c>
      <c r="M67">
        <f>COUNTIF(Scenario3[winner1-ability1],ShadowAbilities1Scenario3[[#This Row],[ability]])</f>
        <v>6</v>
      </c>
      <c r="N67" s="3">
        <f>IF(SUM(ShadowAbilities1Scenario3[[#This Row],[takes]]) &gt; 0,ShadowAbilities1Scenario3[[#This Row],[takes]]/SUM(ShadowAbilities1Scenario3[takes]),0)</f>
        <v>0.9285714285714286</v>
      </c>
      <c r="O67" s="3">
        <f>IF(ShadowAbilities1Scenario3[[#This Row],[takes]]&gt;0,ShadowAbilities1Scenario3[[#This Row],[wins]]/ShadowAbilities1Scenario3[[#This Row],[takes]],0)</f>
        <v>0.23076923076923078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3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3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25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17</v>
      </c>
      <c r="M71" s="2">
        <f>COUNTIF(Scenario3[winner1-ability2],ShadowAbilities2Scenario3[[#This Row],[ability]])</f>
        <v>5</v>
      </c>
      <c r="N71" s="12">
        <f>IF(SUM(ShadowAbilities2Scenario3[[#This Row],[takes]]) &gt; 0,ShadowAbilities2Scenario3[[#This Row],[takes]]/SUM(ShadowAbilities2Scenario3[takes]),0)</f>
        <v>0.62962962962962965</v>
      </c>
      <c r="O71" s="12">
        <f>IF(ShadowAbilities2Scenario3[[#This Row],[takes]]&gt;0,ShadowAbilities2Scenario3[[#This Row],[wins]]/ShadowAbilities2Scenario3[[#This Row],[takes]],0)</f>
        <v>0.29411764705882354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3.7037037037037035E-2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9</v>
      </c>
      <c r="M73" s="2">
        <f>COUNTIF(Scenario3[winner1-ability2],ShadowAbilities2Scenario3[[#This Row],[ability]])</f>
        <v>1</v>
      </c>
      <c r="N73" s="13">
        <f>IF(SUM(ShadowAbilities2Scenario3[[#This Row],[takes]]) &gt; 0,ShadowAbilities2Scenario3[[#This Row],[takes]]/SUM(ShadowAbilities2Scenario3[takes]),0)</f>
        <v>0.33333333333333331</v>
      </c>
      <c r="O73" s="13">
        <f>IF(ShadowAbilities2Scenario3[[#This Row],[takes]]&gt;0,ShadowAbilities2Scenario3[[#This Row],[wins]]/ShadowAbilities2Scenario3[[#This Row],[takes]],0)</f>
        <v>0.1111111111111111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8</v>
      </c>
      <c r="M76" s="1">
        <f>COUNTIF(Scenario3[winner1-ability3],ShadowAbilities3Scenario3[[#This Row],[ability]])</f>
        <v>3</v>
      </c>
      <c r="N76" s="14">
        <f>IF(SUM(ShadowAbilities3Scenario3[[#This Row],[takes]]) &gt; 0,ShadowAbilities3Scenario3[[#This Row],[takes]]/SUM(ShadowAbilities3Scenario3[takes]),0)</f>
        <v>0.33333333333333331</v>
      </c>
      <c r="O76" s="14">
        <f>IF(ShadowAbilities3Scenario3[[#This Row],[takes]]&gt;0,ShadowAbilities3Scenario3[[#This Row],[wins]]/ShadowAbilities3Scenario3[[#This Row],[takes]],0)</f>
        <v>0.375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9</v>
      </c>
      <c r="M77" s="2">
        <f>COUNTIF(Scenario3[winner1-ability3],ShadowAbilities3Scenario3[[#This Row],[ability]])</f>
        <v>3</v>
      </c>
      <c r="N77" s="12">
        <f>IF(SUM(ShadowAbilities3Scenario3[[#This Row],[takes]]) &gt; 0,ShadowAbilities3Scenario3[[#This Row],[takes]]/SUM(ShadowAbilities3Scenario3[takes]),0)</f>
        <v>0.375</v>
      </c>
      <c r="O77" s="12">
        <f>IF(ShadowAbilities3Scenario3[[#This Row],[takes]]&gt;0,ShadowAbilities3Scenario3[[#This Row],[wins]]/ShadowAbilities3Scenario3[[#This Row],[takes]],0)</f>
        <v>0.33333333333333331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7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0.29166666666666669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0.25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12</v>
      </c>
      <c r="M82" s="2">
        <f>COUNTIF(Scenario3[winner1-ability4],ShadowAbilities4Scenario3[[#This Row],[ability]])</f>
        <v>3</v>
      </c>
      <c r="N82" s="12">
        <f>IF(SUM(ShadowAbilities4Scenario3[[#This Row],[takes]]) &gt; 0,ShadowAbilities4Scenario3[[#This Row],[takes]]/SUM(ShadowAbilities4Scenario3[takes]),0)</f>
        <v>0.6</v>
      </c>
      <c r="O82" s="12">
        <f>IF(ShadowAbilities4Scenario3[[#This Row],[takes]]&gt;0,ShadowAbilities4Scenario3[[#This Row],[wins]]/ShadowAbilities4Scenario3[[#This Row],[takes]],0)</f>
        <v>0.25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0.15</v>
      </c>
      <c r="O83" s="26">
        <f>IF(ShadowAbilities4Scenario3[[#This Row],[takes]]&gt;0,ShadowAbilities4Scenario3[[#This Row],[wins]]/ShadowAbilities4Scenario3[[#This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9</v>
      </c>
      <c r="M87">
        <f>COUNTIF(Scenario4[winner1-ability1],ShadowAbilities1Scenario4[[#This Row],[ability]])</f>
        <v>1</v>
      </c>
      <c r="N87" s="3">
        <f>IF(SUM(ShadowAbilities1Scenario4[[#This Row],[takes]]) &gt; 0,ShadowAbilities1Scenario4[[#This Row],[takes]]/SUM(ShadowAbilities1Scenario4[takes]),0)</f>
        <v>0.16071428571428573</v>
      </c>
      <c r="O87" s="3">
        <f>IF(ShadowAbilities1Scenario4[[#This Row],[takes]]&gt;0,ShadowAbilities1Scenario4[[#This Row],[wins]]/ShadowAbilities1Scenario4[[#This Row],[takes]],0)</f>
        <v>0.1111111111111111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8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47</v>
      </c>
      <c r="M88">
        <f>COUNTIF(Scenario4[winner1-ability1],ShadowAbilities1Scenario4[[#This Row],[ability]])</f>
        <v>15</v>
      </c>
      <c r="N88" s="3">
        <f>IF(SUM(ShadowAbilities1Scenario4[[#This Row],[takes]]) &gt; 0,ShadowAbilities1Scenario4[[#This Row],[takes]]/SUM(ShadowAbilities1Scenario4[takes]),0)</f>
        <v>0.8392857142857143</v>
      </c>
      <c r="O88" s="3">
        <f>IF(ShadowAbilities1Scenario4[[#This Row],[takes]]&gt;0,ShadowAbilities1Scenario4[[#This Row],[wins]]/ShadowAbilities1Scenario4[[#This Row],[takes]],0)</f>
        <v>0.31914893617021278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6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9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47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39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30</v>
      </c>
      <c r="M92" s="2">
        <f>COUNTIF(Scenario4[winner1-ability2],ShadowAbilities2Scenario4[[#This Row],[ability]])</f>
        <v>10</v>
      </c>
      <c r="N92" s="12">
        <f>IF(SUM(ShadowAbilities2Scenario4[[#This Row],[takes]]) &gt; 0,ShadowAbilities2Scenario4[[#This Row],[takes]]/SUM(ShadowAbilities2Scenario4[takes]),0)</f>
        <v>0.54545454545454541</v>
      </c>
      <c r="O92" s="12">
        <f>IF(ShadowAbilities2Scenario4[[#This Row],[takes]]&gt;0,ShadowAbilities2Scenario4[[#This Row],[wins]]/ShadowAbilities2Scenario4[[#This Row],[takes]],0)</f>
        <v>0.33333333333333331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11</v>
      </c>
      <c r="M93" s="2">
        <f>COUNTIF(Scenario4[winner1-ability2],ShadowAbilities2Scenario4[[#This Row],[ability]])</f>
        <v>2</v>
      </c>
      <c r="N93" s="3">
        <f>IF(SUM(ShadowAbilities2Scenario4[[#This Row],[takes]]) &gt; 0,ShadowAbilities2Scenario4[[#This Row],[takes]]/SUM(ShadowAbilities2Scenario4[takes]),0)</f>
        <v>0.2</v>
      </c>
      <c r="O93" s="3">
        <f>IF(ShadowAbilities2Scenario4[[#This Row],[takes]]&gt;0,ShadowAbilities2Scenario4[[#This Row],[wins]]/ShadowAbilities2Scenario4[[#This Row],[takes]],0)</f>
        <v>0.18181818181818182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14</v>
      </c>
      <c r="M94" s="2">
        <f>COUNTIF(Scenario4[winner1-ability2],ShadowAbilities2Scenario4[[#This Row],[ability]])</f>
        <v>4</v>
      </c>
      <c r="N94" s="13">
        <f>IF(SUM(ShadowAbilities2Scenario4[[#This Row],[takes]]) &gt; 0,ShadowAbilities2Scenario4[[#This Row],[takes]]/SUM(ShadowAbilities2Scenario4[takes]),0)</f>
        <v>0.25454545454545452</v>
      </c>
      <c r="O94" s="13">
        <f>IF(ShadowAbilities2Scenario4[[#This Row],[takes]]&gt;0,ShadowAbilities2Scenario4[[#This Row],[wins]]/ShadowAbilities2Scenario4[[#This Row],[takes]],0)</f>
        <v>0.2857142857142857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15</v>
      </c>
      <c r="M97" s="1">
        <f>COUNTIF(Scenario4[winner1-ability3],ShadowAbilities3Scenario4[[#This Row],[ability]])</f>
        <v>6</v>
      </c>
      <c r="N97" s="14">
        <f>IF(SUM(ShadowAbilities3Scenario4[[#This Row],[takes]]) &gt; 0,ShadowAbilities3Scenario4[[#This Row],[takes]]/SUM(ShadowAbilities3Scenario4[takes]),0)</f>
        <v>0.29411764705882354</v>
      </c>
      <c r="O97" s="14">
        <f>IF(ShadowAbilities3Scenario4[[#This Row],[takes]]&gt;0,ShadowAbilities3Scenario4[[#This Row],[wins]]/ShadowAbilities3Scenario4[[#This Row],[takes]],0)</f>
        <v>0.4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28</v>
      </c>
      <c r="M98" s="2">
        <f>COUNTIF(Scenario4[winner1-ability3],ShadowAbilities3Scenario4[[#This Row],[ability]])</f>
        <v>9</v>
      </c>
      <c r="N98" s="12">
        <f>IF(SUM(ShadowAbilities3Scenario4[[#This Row],[takes]]) &gt; 0,ShadowAbilities3Scenario4[[#This Row],[takes]]/SUM(ShadowAbilities3Scenario4[takes]),0)</f>
        <v>0.5490196078431373</v>
      </c>
      <c r="O98" s="12">
        <f>IF(ShadowAbilities3Scenario4[[#This Row],[takes]]&gt;0,ShadowAbilities3Scenario4[[#This Row],[wins]]/ShadowAbilities3Scenario4[[#This Row],[takes]],0)</f>
        <v>0.32142857142857145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8</v>
      </c>
      <c r="M99" s="1">
        <f>COUNTIF(Scenario4[winner1-ability3],ShadowAbilities3Scenario4[[#This Row],[ability]])</f>
        <v>1</v>
      </c>
      <c r="N99" s="15">
        <f>IF(SUM(ShadowAbilities3Scenario4[[#This Row],[takes]]) &gt; 0,ShadowAbilities3Scenario4[[#This Row],[takes]]/SUM(ShadowAbilities3Scenario4[takes]),0)</f>
        <v>0.15686274509803921</v>
      </c>
      <c r="O99" s="15">
        <f>IF(ShadowAbilities3Scenario4[[#This Row],[takes]]&gt;0,ShadowAbilities3Scenario4[[#This Row],[wins]]/ShadowAbilities3Scenario4[[#This Row],[takes]],0)</f>
        <v>0.125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15</v>
      </c>
      <c r="M102" s="2">
        <f>COUNTIF(Scenario4[winner1-ability4],ShadowAbilities4Scenario4[[#This Row],[ability]])</f>
        <v>4</v>
      </c>
      <c r="N102" s="12">
        <f>IF(SUM(ShadowAbilities4Scenario4[[#This Row],[takes]]) &gt; 0,ShadowAbilities4Scenario4[[#This Row],[takes]]/SUM(ShadowAbilities4Scenario4[takes]),0)</f>
        <v>0.30612244897959184</v>
      </c>
      <c r="O102" s="12">
        <f>IF(ShadowAbilities4Scenario4[[#This Row],[takes]]&gt;0,ShadowAbilities4Scenario4[[#This Row],[wins]]/ShadowAbilities4Scenario4[[#This Row],[takes]],0)</f>
        <v>0.26666666666666666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21</v>
      </c>
      <c r="M103" s="2">
        <f>COUNTIF(Scenario4[winner1-ability4],ShadowAbilities4Scenario4[[#This Row],[ability]])</f>
        <v>8</v>
      </c>
      <c r="N103" s="12">
        <f>IF(SUM(ShadowAbilities4Scenario4[[#This Row],[takes]]) &gt; 0,ShadowAbilities4Scenario4[[#This Row],[takes]]/SUM(ShadowAbilities4Scenario4[takes]),0)</f>
        <v>0.42857142857142855</v>
      </c>
      <c r="O103" s="12">
        <f>IF(ShadowAbilities4Scenario4[[#This Row],[takes]]&gt;0,ShadowAbilities4Scenario4[[#This Row],[wins]]/ShadowAbilities4Scenario4[[#This Row],[takes]],0)</f>
        <v>0.38095238095238093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13</v>
      </c>
      <c r="M104" s="2">
        <f>COUNTIF(Scenario4[winner1-ability4],ShadowAbilities4Scenario4[[#This Row],[ability]])</f>
        <v>4</v>
      </c>
      <c r="N104" s="26">
        <f>IF(SUM(ShadowAbilities4Scenario4[[#This Row],[takes]]) &gt; 0,ShadowAbilities4Scenario4[[#This Row],[takes]]/SUM(ShadowAbilities4Scenario4[takes]),0)</f>
        <v>0.26530612244897961</v>
      </c>
      <c r="O104" s="26">
        <f>IF(ShadowAbilities4Scenario4[[#This Row],[takes]]&gt;0,ShadowAbilities4Scenario4[[#This Row],[wins]]/ShadowAbilities4Scenario4[[#This Row],[takes]],0)</f>
        <v>0.30769230769230771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7</v>
      </c>
      <c r="M108">
        <f>COUNTIF(Scenario5[winner1-ability1],ShadowAbilities1Scenario5[[#This Row],[ability]])+COUNTIF(Scenario5[winner2-ability1],ShadowAbilities1Scenario5[[#This Row],[ability]])</f>
        <v>2</v>
      </c>
      <c r="N108" s="3">
        <f>IF(SUM(ShadowAbilities1Scenario5[[#This Row],[takes]]) &gt; 0,ShadowAbilities1Scenario5[[#This Row],[takes]]/SUM(ShadowAbilities1Scenario5[takes]),0)</f>
        <v>4.1666666666666664E-2</v>
      </c>
      <c r="O108" s="3">
        <f>IF(ShadowAbilities1Scenario5[[#This Row],[takes]]&gt;0,ShadowAbilities1Scenario5[[#This Row],[wins]]/ShadowAbilities1Scenario5[[#This Row],[takes]],0)</f>
        <v>0.2857142857142857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4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113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67</v>
      </c>
      <c r="M109">
        <f>COUNTIF(Scenario5[winner1-ability1],ShadowAbilities1Scenario5[[#This Row],[ability]])+COUNTIF(Scenario5[winner2-ability1],ShadowAbilities1Scenario5[[#This Row],[ability]])</f>
        <v>29</v>
      </c>
      <c r="N109" s="3">
        <f>IF(SUM(ShadowAbilities1Scenario5[[#This Row],[takes]]) &gt; 0,ShadowAbilities1Scenario5[[#This Row],[takes]]/SUM(ShadowAbilities1Scenario5[takes]),0)</f>
        <v>0.39880952380952384</v>
      </c>
      <c r="O109" s="3">
        <f>IF(ShadowAbilities1Scenario5[[#This Row],[takes]]&gt;0,ShadowAbilities1Scenario5[[#This Row],[wins]]/ShadowAbilities1Scenario5[[#This Row],[takes]],0)</f>
        <v>0.43283582089552236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27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27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94</v>
      </c>
      <c r="M110">
        <f>COUNTIF(Scenario5[winner1-ability1],ShadowAbilities1Scenario5[[#This Row],[ability]])+COUNTIF(Scenario5[winner2-ability1],ShadowAbilities1Scenario5[[#This Row],[ability]])</f>
        <v>51</v>
      </c>
      <c r="N110" s="3">
        <f>IF(SUM(ShadowAbilities1Scenario5[[#This Row],[takes]]) &gt; 0,ShadowAbilities1Scenario5[[#This Row],[takes]]/SUM(ShadowAbilities1Scenario5[takes]),0)</f>
        <v>0.55952380952380953</v>
      </c>
      <c r="O110" s="3">
        <f>IF(ShadowAbilities1Scenario5[[#This Row],[takes]]&gt;0,ShadowAbilities1Scenario5[[#This Row],[wins]]/ShadowAbilities1Scenario5[[#This Row],[takes]],0)</f>
        <v>0.54255319148936165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137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62</v>
      </c>
      <c r="M113" s="2">
        <f>COUNTIF(Scenario5[winner1-ability2],ShadowAbilities2Scenario5[[#This Row],[ability]])+COUNTIF(Scenario5[winner2-ability2],ShadowAbilities2Scenario5[[#This Row],[ability]])</f>
        <v>32</v>
      </c>
      <c r="N113" s="12">
        <f>IF(SUM(ShadowAbilities2Scenario5[[#This Row],[takes]]) &gt; 0,ShadowAbilities2Scenario5[[#This Row],[takes]]/SUM(ShadowAbilities2Scenario5[takes]),0)</f>
        <v>0.58490566037735847</v>
      </c>
      <c r="O113" s="12">
        <f>IF(ShadowAbilities2Scenario5[[#This Row],[takes]]&gt;0,ShadowAbilities2Scenario5[[#This Row],[wins]]/ShadowAbilities2Scenario5[[#This Row],[takes]],0)</f>
        <v>0.5161290322580645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6</v>
      </c>
      <c r="M114" s="2">
        <f>COUNTIF(Scenario5[winner1-ability2],ShadowAbilities2Scenario5[[#This Row],[ability]])+COUNTIF(Scenario5[winner2-ability2],ShadowAbilities2Scenario5[[#This Row],[ability]])</f>
        <v>4</v>
      </c>
      <c r="N114" s="3">
        <f>IF(SUM(ShadowAbilities2Scenario5[[#This Row],[takes]]) &gt; 0,ShadowAbilities2Scenario5[[#This Row],[takes]]/SUM(ShadowAbilities2Scenario5[takes]),0)</f>
        <v>5.6603773584905662E-2</v>
      </c>
      <c r="O114" s="3">
        <f>IF(ShadowAbilities2Scenario5[[#This Row],[takes]]&gt;0,ShadowAbilities2Scenario5[[#This Row],[wins]]/ShadowAbilities2Scenario5[[#This Row],[takes]],0)</f>
        <v>0.66666666666666663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38</v>
      </c>
      <c r="M115" s="2">
        <f>COUNTIF(Scenario5[winner1-ability2],ShadowAbilities2Scenario5[[#This Row],[ability]])+COUNTIF(Scenario5[winner2-ability2],ShadowAbilities2Scenario5[[#This Row],[ability]])</f>
        <v>25</v>
      </c>
      <c r="N115" s="13">
        <f>IF(SUM(ShadowAbilities2Scenario5[[#This Row],[takes]]) &gt; 0,ShadowAbilities2Scenario5[[#This Row],[takes]]/SUM(ShadowAbilities2Scenario5[takes]),0)</f>
        <v>0.35849056603773582</v>
      </c>
      <c r="O115" s="13">
        <f>IF(ShadowAbilities2Scenario5[[#This Row],[takes]]&gt;0,ShadowAbilities2Scenario5[[#This Row],[wins]]/ShadowAbilities2Scenario5[[#This Row],[takes]],0)</f>
        <v>0.65789473684210531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24</v>
      </c>
      <c r="M118" s="1">
        <f>COUNTIF(Scenario5[winner1-ability3],ShadowAbilities3Scenario5[[#This Row],[ability]])+COUNTIF(Scenario5[winner2-ability3],ShadowAbilities3Scenario5[[#This Row],[ability]])</f>
        <v>14</v>
      </c>
      <c r="N118" s="14">
        <f>IF(SUM(ShadowAbilities3Scenario5[[#This Row],[takes]]) &gt; 0,ShadowAbilities3Scenario5[[#This Row],[takes]]/SUM(ShadowAbilities3Scenario5[takes]),0)</f>
        <v>0.30379746835443039</v>
      </c>
      <c r="O118" s="14">
        <f>IF(ShadowAbilities3Scenario5[[#This Row],[takes]]&gt;0,ShadowAbilities3Scenario5[[#This Row],[wins]]/ShadowAbilities3Scenario5[[#This Row],[takes]],0)</f>
        <v>0.58333333333333337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7</v>
      </c>
      <c r="M119" s="2">
        <f>COUNTIF(Scenario5[winner1-ability3],ShadowAbilities3Scenario5[[#This Row],[ability]])+COUNTIF(Scenario5[winner2-ability3],ShadowAbilities3Scenario5[[#This Row],[ability]])</f>
        <v>5</v>
      </c>
      <c r="N119" s="12">
        <f>IF(SUM(ShadowAbilities3Scenario5[[#This Row],[takes]]) &gt; 0,ShadowAbilities3Scenario5[[#This Row],[takes]]/SUM(ShadowAbilities3Scenario5[takes]),0)</f>
        <v>8.8607594936708861E-2</v>
      </c>
      <c r="O119" s="12">
        <f>IF(ShadowAbilities3Scenario5[[#This Row],[takes]]&gt;0,ShadowAbilities3Scenario5[[#This Row],[wins]]/ShadowAbilities3Scenario5[[#This Row],[takes]],0)</f>
        <v>0.7142857142857143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48</v>
      </c>
      <c r="M120" s="1">
        <f>COUNTIF(Scenario5[winner1-ability3],ShadowAbilities3Scenario5[[#This Row],[ability]])+COUNTIF(Scenario5[winner2-ability3],ShadowAbilities3Scenario5[[#This Row],[ability]])</f>
        <v>31</v>
      </c>
      <c r="N120" s="15">
        <f>IF(SUM(ShadowAbilities3Scenario5[[#This Row],[takes]]) &gt; 0,ShadowAbilities3Scenario5[[#This Row],[takes]]/SUM(ShadowAbilities3Scenario5[takes]),0)</f>
        <v>0.60759493670886078</v>
      </c>
      <c r="O120" s="15">
        <f>IF(ShadowAbilities3Scenario5[[#This Row],[takes]]&gt;0,ShadowAbilities3Scenario5[[#This Row],[wins]]/ShadowAbilities3Scenario5[[#This Row],[takes]],0)</f>
        <v>0.64583333333333337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11</v>
      </c>
      <c r="M123" s="2">
        <f>COUNTIF(Scenario5[winner1-ability4],ShadowAbilities4Scenario5[[#This Row],[ability]])+COUNTIF(Scenario5[winner2-ability4],ShadowAbilities4Scenario5[[#This Row],[ability]])</f>
        <v>8</v>
      </c>
      <c r="N123" s="12">
        <f>IF(SUM(ShadowAbilities4Scenario5[[#This Row],[takes]]) &gt; 0,ShadowAbilities4Scenario5[[#This Row],[takes]]/SUM(ShadowAbilities4Scenario5[takes]),0)</f>
        <v>0.1864406779661017</v>
      </c>
      <c r="O123" s="12">
        <f>IF(ShadowAbilities4Scenario5[[#This Row],[takes]]&gt;0,ShadowAbilities4Scenario5[[#This Row],[wins]]/ShadowAbilities4Scenario5[[#This Row],[takes]],0)</f>
        <v>0.72727272727272729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17</v>
      </c>
      <c r="M124" s="2">
        <f>COUNTIF(Scenario5[winner1-ability4],ShadowAbilities4Scenario5[[#This Row],[ability]])+COUNTIF(Scenario5[winner2-ability4],ShadowAbilities4Scenario5[[#This Row],[ability]])</f>
        <v>9</v>
      </c>
      <c r="N124" s="12">
        <f>IF(SUM(ShadowAbilities4Scenario5[[#This Row],[takes]]) &gt; 0,ShadowAbilities4Scenario5[[#This Row],[takes]]/SUM(ShadowAbilities4Scenario5[takes]),0)</f>
        <v>0.28813559322033899</v>
      </c>
      <c r="O124" s="12">
        <f>IF(ShadowAbilities4Scenario5[[#This Row],[takes]]&gt;0,ShadowAbilities4Scenario5[[#This Row],[wins]]/ShadowAbilities4Scenario5[[#This Row],[takes]],0)</f>
        <v>0.52941176470588236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31</v>
      </c>
      <c r="M125" s="2">
        <f>COUNTIF(Scenario5[winner1-ability4],ShadowAbilities4Scenario5[[#This Row],[ability]])+COUNTIF(Scenario5[winner2-ability4],ShadowAbilities4Scenario5[[#This Row],[ability]])</f>
        <v>18</v>
      </c>
      <c r="N125" s="26">
        <f>IF(SUM(ShadowAbilities4Scenario5[[#This Row],[takes]]) &gt; 0,ShadowAbilities4Scenario5[[#This Row],[takes]]/SUM(ShadowAbilities4Scenario5[takes]),0)</f>
        <v>0.52542372881355937</v>
      </c>
      <c r="O125" s="26">
        <f>IF(ShadowAbilities4Scenario5[[#This Row],[takes]]&gt;0,ShadowAbilities4Scenario5[[#This Row],[wins]]/ShadowAbilities4Scenario5[[#This Row],[takes]],0)</f>
        <v>0.58064516129032262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0"/>
  <sheetViews>
    <sheetView workbookViewId="0">
      <selection activeCell="O24" sqref="O2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6.0132275132275135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" s="3">
        <f>IF(ScenarioTeams0[[#This Row],[battles]],ScenarioTeams0[[#This Row],[wins]]/ScenarioTeams0[[#This Row],[battles]],0)</f>
        <v>0.38095238095238093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4" s="3">
        <f>IF(ScenarioTeams0[[#This Row],[battles]],ScenarioTeams0[[#This Row],[wins]]/ScenarioTeams0[[#This Row],[battles]],0)</f>
        <v>0.52380952380952384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5" s="3">
        <f>IF(ScenarioTeams0[[#This Row],[battles]],ScenarioTeams0[[#This Row],[wins]]/ScenarioTeams0[[#This Row],[battles]],0)</f>
        <v>0.52380952380952384</v>
      </c>
      <c r="O5" s="4" t="s">
        <v>158</v>
      </c>
      <c r="P5" s="30">
        <f>MIN(Scenario0[turns])</f>
        <v>14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0.38095238095238093</v>
      </c>
      <c r="O6" s="5" t="s">
        <v>108</v>
      </c>
      <c r="P6" s="31">
        <f>AVERAGE(Scenario0[turns])</f>
        <v>28.047619047619047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7" s="3">
        <f>IF(ScenarioTeams0[[#This Row],[battles]],ScenarioTeams0[[#This Row],[wins]]/ScenarioTeams0[[#This Row],[battles]],0)</f>
        <v>0.42857142857142855</v>
      </c>
      <c r="O7" s="5" t="s">
        <v>160</v>
      </c>
      <c r="P7" s="31">
        <f>MAX(Scenario0[turns])</f>
        <v>91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48</v>
      </c>
      <c r="E8" t="s">
        <v>227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0.2857142857142857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43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9" s="3">
        <f>IF(ScenarioTeams0[[#This Row],[battles]],ScenarioTeams0[[#This Row],[wins]]/ScenarioTeams0[[#This Row],[battles]],0)</f>
        <v>0.52380952380952384</v>
      </c>
      <c r="O9" s="4" t="s">
        <v>185</v>
      </c>
      <c r="P9" s="30">
        <f>120000*$P$6/1000/60</f>
        <v>56.095238095238095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45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53</v>
      </c>
      <c r="J10" t="s">
        <v>227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0" s="3">
        <f>IF(ScenarioTeams0[[#This Row],[battles]],ScenarioTeams0[[#This Row],[wins]]/ScenarioTeams0[[#This Row],[battles]],0)</f>
        <v>0.33333333333333331</v>
      </c>
      <c r="O10" s="5" t="s">
        <v>186</v>
      </c>
      <c r="P10" s="31">
        <f>P9*COUNTA(ScenarioStat0[hero-1])/60/24</f>
        <v>14.725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63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48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11" s="3">
        <f>IF(ScenarioTeams0[[#This Row],[battles]],ScenarioTeams0[[#This Row],[wins]]/ScenarioTeams0[[#This Row],[battles]],0)</f>
        <v>0.5714285714285714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33</v>
      </c>
      <c r="E12" t="s">
        <v>38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33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14</v>
      </c>
      <c r="M12" s="3">
        <f>IF(ScenarioTeams0[[#This Row],[battles]],ScenarioTeams0[[#This Row],[wins]]/ScenarioTeams0[[#This Row],[battles]],0)</f>
        <v>0.66666666666666663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33</v>
      </c>
      <c r="E13" t="s">
        <v>227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43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13" s="3">
        <f>IF(ScenarioTeams0[[#This Row],[battles]],ScenarioTeams0[[#This Row],[wins]]/ScenarioTeams0[[#This Row],[battles]],0)</f>
        <v>0.5714285714285714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45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45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4" s="3">
        <f>IF(ScenarioTeams0[[#This Row],[battles]],ScenarioTeams0[[#This Row],[wins]]/ScenarioTeams0[[#This Row],[battles]],0)</f>
        <v>0.2857142857142857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43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63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5" s="3">
        <f>IF(ScenarioTeams0[[#This Row],[battles]],ScenarioTeams0[[#This Row],[wins]]/ScenarioTeams0[[#This Row],[battles]],0)</f>
        <v>0.2857142857142857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43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56</v>
      </c>
      <c r="J16" t="s">
        <v>38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16" s="3">
        <f>IF(ScenarioTeams0[[#This Row],[battles]],ScenarioTeams0[[#This Row],[wins]]/ScenarioTeams0[[#This Row],[battles]],0)</f>
        <v>0.5714285714285714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43</v>
      </c>
      <c r="E17" t="s">
        <v>227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">
        <f>ScenarioStat0[[#This Row],[team-1-win]]+ScenarioStat0[[#This Row],[team-2-win]]</f>
        <v>1</v>
      </c>
      <c r="I17" t="s">
        <v>56</v>
      </c>
      <c r="J17" t="s">
        <v>227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2</v>
      </c>
      <c r="M17" s="3">
        <f>IF(ScenarioTeams0[[#This Row],[battles]],ScenarioTeams0[[#This Row],[wins]]/ScenarioTeams0[[#This Row],[battles]],0)</f>
        <v>9.5238095238095233E-2</v>
      </c>
    </row>
    <row r="18" spans="1:13" x14ac:dyDescent="0.25">
      <c r="A18" t="s">
        <v>53</v>
      </c>
      <c r="B18" t="s">
        <v>56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45</v>
      </c>
      <c r="E18" t="s">
        <v>63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33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16</v>
      </c>
      <c r="M18" s="3">
        <f>IF(ScenarioTeams0[[#This Row],[battles]],ScenarioTeams0[[#This Row],[wins]]/ScenarioTeams0[[#This Row],[battles]],0)</f>
        <v>0.76190476190476186</v>
      </c>
    </row>
    <row r="19" spans="1:13" x14ac:dyDescent="0.25">
      <c r="A19" t="s">
        <v>53</v>
      </c>
      <c r="B19" t="s">
        <v>56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" t="s">
        <v>45</v>
      </c>
      <c r="E19" t="s">
        <v>38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1</v>
      </c>
      <c r="I19" t="s">
        <v>48</v>
      </c>
      <c r="J19" t="s">
        <v>43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19" s="3">
        <f>IF(ScenarioTeams0[[#This Row],[battles]],ScenarioTeams0[[#This Row],[wins]]/ScenarioTeams0[[#This Row],[battles]],0)</f>
        <v>0.52380952380952384</v>
      </c>
    </row>
    <row r="20" spans="1:13" x14ac:dyDescent="0.25">
      <c r="A20" t="s">
        <v>53</v>
      </c>
      <c r="B20" t="s">
        <v>56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45</v>
      </c>
      <c r="E20" t="s">
        <v>227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45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14</v>
      </c>
      <c r="M20" s="3">
        <f>IF(ScenarioTeams0[[#This Row],[battles]],ScenarioTeams0[[#This Row],[wins]]/ScenarioTeams0[[#This Row],[battles]],0)</f>
        <v>0.66666666666666663</v>
      </c>
    </row>
    <row r="21" spans="1:13" x14ac:dyDescent="0.25">
      <c r="A21" t="s">
        <v>53</v>
      </c>
      <c r="B21" t="s">
        <v>56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63</v>
      </c>
      <c r="E21" t="s">
        <v>38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48</v>
      </c>
      <c r="J21" t="s">
        <v>63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21" s="3">
        <f>IF(ScenarioTeams0[[#This Row],[battles]],ScenarioTeams0[[#This Row],[wins]]/ScenarioTeams0[[#This Row],[battles]],0)</f>
        <v>0.61904761904761907</v>
      </c>
    </row>
    <row r="22" spans="1:13" x14ac:dyDescent="0.25">
      <c r="A22" t="s">
        <v>53</v>
      </c>
      <c r="B22" t="s">
        <v>56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63</v>
      </c>
      <c r="E22" t="s">
        <v>227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48</v>
      </c>
      <c r="J22" t="s">
        <v>38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16</v>
      </c>
      <c r="M22" s="3">
        <f>IF(ScenarioTeams0[[#This Row],[battles]],ScenarioTeams0[[#This Row],[wins]]/ScenarioTeams0[[#This Row],[battles]],0)</f>
        <v>0.76190476190476186</v>
      </c>
    </row>
    <row r="23" spans="1:13" x14ac:dyDescent="0.25">
      <c r="A23" t="s">
        <v>53</v>
      </c>
      <c r="B23" t="s">
        <v>56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38</v>
      </c>
      <c r="E23" t="s">
        <v>227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48</v>
      </c>
      <c r="J23" t="s">
        <v>227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3" s="3">
        <f>IF(ScenarioTeams0[[#This Row],[battles]],ScenarioTeams0[[#This Row],[wins]]/ScenarioTeams0[[#This Row],[battles]],0)</f>
        <v>0.52380952380952384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56</v>
      </c>
      <c r="E24" t="s">
        <v>33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43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15</v>
      </c>
      <c r="M24" s="3">
        <f>IF(ScenarioTeams0[[#This Row],[battles]],ScenarioTeams0[[#This Row],[wins]]/ScenarioTeams0[[#This Row],[battles]],0)</f>
        <v>0.7142857142857143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56</v>
      </c>
      <c r="E25" t="s">
        <v>43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33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5" s="3">
        <f>IF(ScenarioTeams0[[#This Row],[battles]],ScenarioTeams0[[#This Row],[wins]]/ScenarioTeams0[[#This Row],[battles]],0)</f>
        <v>0.52380952380952384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6" t="s">
        <v>56</v>
      </c>
      <c r="E26" t="s">
        <v>45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1</v>
      </c>
      <c r="I26" t="s">
        <v>33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6" s="3">
        <f>IF(ScenarioTeams0[[#This Row],[battles]],ScenarioTeams0[[#This Row],[wins]]/ScenarioTeams0[[#This Row],[battles]],0)</f>
        <v>0.5714285714285714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56</v>
      </c>
      <c r="E27" t="s">
        <v>63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33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14</v>
      </c>
      <c r="M27" s="3">
        <f>IF(ScenarioTeams0[[#This Row],[battles]],ScenarioTeams0[[#This Row],[wins]]/ScenarioTeams0[[#This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" t="s">
        <v>56</v>
      </c>
      <c r="E28" t="s">
        <v>38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1</v>
      </c>
      <c r="I28" t="s">
        <v>33</v>
      </c>
      <c r="J28" t="s">
        <v>227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8" s="3">
        <f>IF(ScenarioTeams0[[#This Row],[battles]],ScenarioTeams0[[#This Row],[wins]]/ScenarioTeams0[[#This Row],[battles]],0)</f>
        <v>0.42857142857142855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" t="s">
        <v>56</v>
      </c>
      <c r="E29" t="s">
        <v>227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1</v>
      </c>
      <c r="I29" t="s">
        <v>43</v>
      </c>
      <c r="J29" t="s">
        <v>45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9" s="3">
        <f>IF(ScenarioTeams0[[#This Row],[battles]],ScenarioTeams0[[#This Row],[wins]]/ScenarioTeams0[[#This Row],[battles]],0)</f>
        <v>0.5714285714285714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33</v>
      </c>
      <c r="E30" t="s">
        <v>43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43</v>
      </c>
      <c r="J30" t="s">
        <v>63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0" s="3">
        <f>IF(ScenarioTeams0[[#This Row],[battles]],ScenarioTeams0[[#This Row],[wins]]/ScenarioTeams0[[#This Row],[battles]],0)</f>
        <v>0.38095238095238093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33</v>
      </c>
      <c r="E31" t="s">
        <v>45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">
        <f>ScenarioStat0[[#This Row],[team-1-win]]+ScenarioStat0[[#This Row],[team-2-win]]</f>
        <v>1</v>
      </c>
      <c r="I31" t="s">
        <v>43</v>
      </c>
      <c r="J31" t="s">
        <v>38</v>
      </c>
      <c r="K3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31" s="3">
        <f>IF(ScenarioTeams0[[#This Row],[battles]],ScenarioTeams0[[#This Row],[wins]]/ScenarioTeams0[[#This Row],[battles]],0)</f>
        <v>0.61904761904761907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33</v>
      </c>
      <c r="E32" t="s">
        <v>63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  <c r="I32" t="s">
        <v>43</v>
      </c>
      <c r="J32" t="s">
        <v>227</v>
      </c>
      <c r="K3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32" s="3">
        <f>IF(ScenarioTeams0[[#This Row],[battles]],ScenarioTeams0[[#This Row],[wins]]/ScenarioTeams0[[#This Row],[battles]],0)</f>
        <v>0.42857142857142855</v>
      </c>
    </row>
    <row r="33" spans="1:13" x14ac:dyDescent="0.25">
      <c r="A33" t="s">
        <v>53</v>
      </c>
      <c r="B33" t="s">
        <v>48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33</v>
      </c>
      <c r="E33" t="s">
        <v>38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  <c r="I33" t="s">
        <v>45</v>
      </c>
      <c r="J33" t="s">
        <v>63</v>
      </c>
      <c r="K3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33" s="3">
        <f>IF(ScenarioTeams0[[#This Row],[battles]],ScenarioTeams0[[#This Row],[wins]]/ScenarioTeams0[[#This Row],[battles]],0)</f>
        <v>0.61904761904761907</v>
      </c>
    </row>
    <row r="34" spans="1:13" x14ac:dyDescent="0.25">
      <c r="A34" t="s">
        <v>53</v>
      </c>
      <c r="B34" t="s">
        <v>48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" t="s">
        <v>33</v>
      </c>
      <c r="E34" t="s">
        <v>227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1</v>
      </c>
      <c r="I34" t="s">
        <v>45</v>
      </c>
      <c r="J34" t="s">
        <v>38</v>
      </c>
      <c r="K3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14</v>
      </c>
      <c r="M34" s="3">
        <f>IF(ScenarioTeams0[[#This Row],[battles]],ScenarioTeams0[[#This Row],[wins]]/ScenarioTeams0[[#This Row],[battles]],0)</f>
        <v>0.66666666666666663</v>
      </c>
    </row>
    <row r="35" spans="1:13" x14ac:dyDescent="0.25">
      <c r="A35" t="s">
        <v>53</v>
      </c>
      <c r="B35" t="s">
        <v>48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43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  <c r="I35" t="s">
        <v>45</v>
      </c>
      <c r="J35" t="s">
        <v>227</v>
      </c>
      <c r="K3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5" s="3">
        <f>IF(ScenarioTeams0[[#This Row],[battles]],ScenarioTeams0[[#This Row],[wins]]/ScenarioTeams0[[#This Row],[battles]],0)</f>
        <v>0.38095238095238093</v>
      </c>
    </row>
    <row r="36" spans="1:13" x14ac:dyDescent="0.25">
      <c r="A36" t="s">
        <v>53</v>
      </c>
      <c r="B36" t="s">
        <v>48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43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">
        <f>ScenarioStat0[[#This Row],[team-1-win]]+ScenarioStat0[[#This Row],[team-2-win]]</f>
        <v>1</v>
      </c>
      <c r="I36" t="s">
        <v>63</v>
      </c>
      <c r="J36" t="s">
        <v>38</v>
      </c>
      <c r="K3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36" s="3">
        <f>IF(ScenarioTeams0[[#This Row],[battles]],ScenarioTeams0[[#This Row],[wins]]/ScenarioTeams0[[#This Row],[battles]],0)</f>
        <v>0.52380952380952384</v>
      </c>
    </row>
    <row r="37" spans="1:13" x14ac:dyDescent="0.25">
      <c r="A37" t="s">
        <v>53</v>
      </c>
      <c r="B37" t="s">
        <v>48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43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">
        <f>ScenarioStat0[[#This Row],[team-1-win]]+ScenarioStat0[[#This Row],[team-2-win]]</f>
        <v>1</v>
      </c>
      <c r="I37" t="s">
        <v>38</v>
      </c>
      <c r="J37" t="s">
        <v>227</v>
      </c>
      <c r="K3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21</v>
      </c>
      <c r="L3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37" s="3">
        <f>IF(ScenarioTeams0[[#This Row],[battles]],ScenarioTeams0[[#This Row],[wins]]/ScenarioTeams0[[#This Row],[battles]],0)</f>
        <v>0.5714285714285714</v>
      </c>
    </row>
    <row r="38" spans="1:13" x14ac:dyDescent="0.25">
      <c r="A38" t="s">
        <v>53</v>
      </c>
      <c r="B38" t="s">
        <v>48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8" t="s">
        <v>43</v>
      </c>
      <c r="E38" t="s">
        <v>227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1</v>
      </c>
    </row>
    <row r="39" spans="1:13" x14ac:dyDescent="0.25">
      <c r="A39" t="s">
        <v>53</v>
      </c>
      <c r="B39" t="s">
        <v>48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45</v>
      </c>
      <c r="E39" t="s">
        <v>63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13" x14ac:dyDescent="0.25">
      <c r="A40" t="s">
        <v>53</v>
      </c>
      <c r="B40" t="s">
        <v>48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45</v>
      </c>
      <c r="E40" t="s">
        <v>38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13" x14ac:dyDescent="0.25">
      <c r="A41" t="s">
        <v>53</v>
      </c>
      <c r="B41" t="s">
        <v>48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45</v>
      </c>
      <c r="E41" t="s">
        <v>227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13" x14ac:dyDescent="0.25">
      <c r="A42" t="s">
        <v>53</v>
      </c>
      <c r="B42" t="s">
        <v>48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2" t="s">
        <v>63</v>
      </c>
      <c r="E42" t="s">
        <v>38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1</v>
      </c>
    </row>
    <row r="43" spans="1:13" x14ac:dyDescent="0.25">
      <c r="A43" t="s">
        <v>53</v>
      </c>
      <c r="B43" t="s">
        <v>48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63</v>
      </c>
      <c r="E43" t="s">
        <v>227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13" x14ac:dyDescent="0.25">
      <c r="A44" t="s">
        <v>53</v>
      </c>
      <c r="B44" t="s">
        <v>48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4" t="s">
        <v>38</v>
      </c>
      <c r="E44" t="s">
        <v>227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1</v>
      </c>
    </row>
    <row r="45" spans="1:13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5" t="s">
        <v>56</v>
      </c>
      <c r="E45" t="s">
        <v>48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1</v>
      </c>
    </row>
    <row r="46" spans="1:13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56</v>
      </c>
      <c r="E46" t="s">
        <v>43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13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56</v>
      </c>
      <c r="E47" t="s">
        <v>45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13" x14ac:dyDescent="0.25">
      <c r="A48" t="s">
        <v>53</v>
      </c>
      <c r="B48" t="s">
        <v>33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63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33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38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33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227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33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48</v>
      </c>
      <c r="E51" t="s">
        <v>43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33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48</v>
      </c>
      <c r="E52" t="s">
        <v>45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33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63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33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38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33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227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33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43</v>
      </c>
      <c r="E56" t="s">
        <v>45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33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43</v>
      </c>
      <c r="E57" t="s">
        <v>63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33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43</v>
      </c>
      <c r="E58" t="s">
        <v>38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33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43</v>
      </c>
      <c r="E59" t="s">
        <v>227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33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33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33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45</v>
      </c>
      <c r="E62" t="s">
        <v>227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33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63</v>
      </c>
      <c r="E63" t="s">
        <v>38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33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63</v>
      </c>
      <c r="E64" t="s">
        <v>227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33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38</v>
      </c>
      <c r="E65" t="s">
        <v>227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43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48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43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33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43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56</v>
      </c>
      <c r="E68" t="s">
        <v>45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43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56</v>
      </c>
      <c r="E69" t="s">
        <v>63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43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56</v>
      </c>
      <c r="E70" t="s">
        <v>38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43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56</v>
      </c>
      <c r="E71" t="s">
        <v>227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43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48</v>
      </c>
      <c r="E72" t="s">
        <v>33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43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48</v>
      </c>
      <c r="E73" t="s">
        <v>45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43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48</v>
      </c>
      <c r="E74" t="s">
        <v>63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43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48</v>
      </c>
      <c r="E75" t="s">
        <v>38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43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48</v>
      </c>
      <c r="E76" t="s">
        <v>227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43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33</v>
      </c>
      <c r="E77" t="s">
        <v>45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43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33</v>
      </c>
      <c r="E78" t="s">
        <v>63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43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9" t="s">
        <v>33</v>
      </c>
      <c r="E79" t="s">
        <v>38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43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33</v>
      </c>
      <c r="E80" t="s">
        <v>227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43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45</v>
      </c>
      <c r="E81" t="s">
        <v>63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43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45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43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45</v>
      </c>
      <c r="E83" t="s">
        <v>227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43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63</v>
      </c>
      <c r="E84" t="s">
        <v>38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43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63</v>
      </c>
      <c r="E85" t="s">
        <v>227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43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38</v>
      </c>
      <c r="E86" t="s">
        <v>227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45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7" t="s">
        <v>56</v>
      </c>
      <c r="E87" t="s">
        <v>48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45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56</v>
      </c>
      <c r="E88" t="s">
        <v>33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45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9" t="s">
        <v>56</v>
      </c>
      <c r="E89" t="s">
        <v>43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45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56</v>
      </c>
      <c r="E90" t="s">
        <v>63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45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1" t="s">
        <v>56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45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56</v>
      </c>
      <c r="E92" t="s">
        <v>227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45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48</v>
      </c>
      <c r="E93" t="s">
        <v>33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45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48</v>
      </c>
      <c r="E94" t="s">
        <v>43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45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48</v>
      </c>
      <c r="E95" t="s">
        <v>63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45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48</v>
      </c>
      <c r="E96" t="s">
        <v>38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45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48</v>
      </c>
      <c r="E97" t="s">
        <v>227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45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33</v>
      </c>
      <c r="E98" t="s">
        <v>43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45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33</v>
      </c>
      <c r="E99" t="s">
        <v>63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45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33</v>
      </c>
      <c r="E100" t="s">
        <v>38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45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33</v>
      </c>
      <c r="E101" t="s">
        <v>227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45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2" t="s">
        <v>43</v>
      </c>
      <c r="E102" t="s">
        <v>63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45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43</v>
      </c>
      <c r="E103" t="s">
        <v>38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45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43</v>
      </c>
      <c r="E104" t="s">
        <v>227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45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63</v>
      </c>
      <c r="E105" t="s">
        <v>38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45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6" t="s">
        <v>63</v>
      </c>
      <c r="E106" t="s">
        <v>227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45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7" t="s">
        <v>38</v>
      </c>
      <c r="E107" t="s">
        <v>227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1</v>
      </c>
    </row>
    <row r="108" spans="1:7" x14ac:dyDescent="0.25">
      <c r="A108" t="s">
        <v>53</v>
      </c>
      <c r="B108" t="s">
        <v>63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56</v>
      </c>
      <c r="E108" t="s">
        <v>48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53</v>
      </c>
      <c r="B109" t="s">
        <v>63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56</v>
      </c>
      <c r="E109" t="s">
        <v>33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53</v>
      </c>
      <c r="B110" t="s">
        <v>63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56</v>
      </c>
      <c r="E110" t="s">
        <v>43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53</v>
      </c>
      <c r="B111" t="s">
        <v>63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56</v>
      </c>
      <c r="E111" t="s">
        <v>45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53</v>
      </c>
      <c r="B112" t="s">
        <v>63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2" t="s">
        <v>56</v>
      </c>
      <c r="E112" t="s">
        <v>38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1</v>
      </c>
    </row>
    <row r="113" spans="1:7" x14ac:dyDescent="0.25">
      <c r="A113" t="s">
        <v>53</v>
      </c>
      <c r="B113" t="s">
        <v>63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3" t="s">
        <v>56</v>
      </c>
      <c r="E113" t="s">
        <v>227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1</v>
      </c>
    </row>
    <row r="114" spans="1:7" x14ac:dyDescent="0.25">
      <c r="A114" t="s">
        <v>53</v>
      </c>
      <c r="B114" t="s">
        <v>63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48</v>
      </c>
      <c r="E114" t="s">
        <v>33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53</v>
      </c>
      <c r="B115" t="s">
        <v>63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48</v>
      </c>
      <c r="E115" t="s">
        <v>43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53</v>
      </c>
      <c r="B116" t="s">
        <v>63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48</v>
      </c>
      <c r="E116" t="s">
        <v>45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6">
        <f>ScenarioStat0[[#This Row],[team-1-win]]+ScenarioStat0[[#This Row],[team-2-win]]</f>
        <v>1</v>
      </c>
    </row>
    <row r="117" spans="1:7" x14ac:dyDescent="0.25">
      <c r="A117" t="s">
        <v>53</v>
      </c>
      <c r="B117" t="s">
        <v>63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48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7">
        <f>ScenarioStat0[[#This Row],[team-1-win]]+ScenarioStat0[[#This Row],[team-2-win]]</f>
        <v>1</v>
      </c>
    </row>
    <row r="118" spans="1:7" x14ac:dyDescent="0.25">
      <c r="A118" t="s">
        <v>53</v>
      </c>
      <c r="B118" t="s">
        <v>63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227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53</v>
      </c>
      <c r="B119" t="s">
        <v>63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33</v>
      </c>
      <c r="E119" t="s">
        <v>43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53</v>
      </c>
      <c r="B120" t="s">
        <v>63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33</v>
      </c>
      <c r="E120" t="s">
        <v>45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53</v>
      </c>
      <c r="B121" t="s">
        <v>63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33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53</v>
      </c>
      <c r="B122" t="s">
        <v>63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33</v>
      </c>
      <c r="E122" t="s">
        <v>227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25">
      <c r="A123" t="s">
        <v>53</v>
      </c>
      <c r="B123" t="s">
        <v>63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45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53</v>
      </c>
      <c r="B124" t="s">
        <v>63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53</v>
      </c>
      <c r="B125" t="s">
        <v>63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43</v>
      </c>
      <c r="E125" t="s">
        <v>227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5">
        <f>ScenarioStat0[[#This Row],[team-1-win]]+ScenarioStat0[[#This Row],[team-2-win]]</f>
        <v>1</v>
      </c>
    </row>
    <row r="126" spans="1:7" x14ac:dyDescent="0.25">
      <c r="A126" t="s">
        <v>53</v>
      </c>
      <c r="B126" t="s">
        <v>63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53</v>
      </c>
      <c r="B127" t="s">
        <v>63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45</v>
      </c>
      <c r="E127" t="s">
        <v>227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7">
        <f>ScenarioStat0[[#This Row],[team-1-win]]+ScenarioStat0[[#This Row],[team-2-win]]</f>
        <v>1</v>
      </c>
    </row>
    <row r="128" spans="1:7" x14ac:dyDescent="0.25">
      <c r="A128" t="s">
        <v>53</v>
      </c>
      <c r="B128" t="s">
        <v>63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38</v>
      </c>
      <c r="E128" t="s">
        <v>227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53</v>
      </c>
      <c r="B129" t="s">
        <v>38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56</v>
      </c>
      <c r="E129" t="s">
        <v>48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53</v>
      </c>
      <c r="B130" t="s">
        <v>38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56</v>
      </c>
      <c r="E130" t="s">
        <v>33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0">
        <f>ScenarioStat0[[#This Row],[team-1-win]]+ScenarioStat0[[#This Row],[team-2-win]]</f>
        <v>1</v>
      </c>
    </row>
    <row r="131" spans="1:7" x14ac:dyDescent="0.25">
      <c r="A131" t="s">
        <v>53</v>
      </c>
      <c r="B131" t="s">
        <v>38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1" t="s">
        <v>56</v>
      </c>
      <c r="E131" t="s">
        <v>43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1</v>
      </c>
    </row>
    <row r="132" spans="1:7" x14ac:dyDescent="0.25">
      <c r="A132" t="s">
        <v>53</v>
      </c>
      <c r="B132" t="s">
        <v>38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2" t="s">
        <v>56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1</v>
      </c>
    </row>
    <row r="133" spans="1:7" x14ac:dyDescent="0.25">
      <c r="A133" t="s">
        <v>53</v>
      </c>
      <c r="B133" t="s">
        <v>38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56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53</v>
      </c>
      <c r="B134" t="s">
        <v>38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4" t="s">
        <v>56</v>
      </c>
      <c r="E134" t="s">
        <v>227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1</v>
      </c>
    </row>
    <row r="135" spans="1:7" x14ac:dyDescent="0.25">
      <c r="A135" t="s">
        <v>53</v>
      </c>
      <c r="B135" t="s">
        <v>38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48</v>
      </c>
      <c r="E135" t="s">
        <v>33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53</v>
      </c>
      <c r="B136" t="s">
        <v>38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48</v>
      </c>
      <c r="E136" t="s">
        <v>43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53</v>
      </c>
      <c r="B137" t="s">
        <v>38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48</v>
      </c>
      <c r="E137" t="s">
        <v>45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53</v>
      </c>
      <c r="B138" t="s">
        <v>38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63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53</v>
      </c>
      <c r="B139" t="s">
        <v>38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227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53</v>
      </c>
      <c r="B140" t="s">
        <v>38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33</v>
      </c>
      <c r="E140" t="s">
        <v>43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53</v>
      </c>
      <c r="B141" t="s">
        <v>38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1" t="s">
        <v>33</v>
      </c>
      <c r="E141" t="s">
        <v>45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1</v>
      </c>
    </row>
    <row r="142" spans="1:7" x14ac:dyDescent="0.25">
      <c r="A142" t="s">
        <v>53</v>
      </c>
      <c r="B142" t="s">
        <v>38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63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2">
        <f>ScenarioStat0[[#This Row],[team-1-win]]+ScenarioStat0[[#This Row],[team-2-win]]</f>
        <v>1</v>
      </c>
    </row>
    <row r="143" spans="1:7" x14ac:dyDescent="0.25">
      <c r="A143" t="s">
        <v>53</v>
      </c>
      <c r="B143" t="s">
        <v>38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227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53</v>
      </c>
      <c r="B144" t="s">
        <v>38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43</v>
      </c>
      <c r="E144" t="s">
        <v>45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53</v>
      </c>
      <c r="B145" t="s">
        <v>38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53</v>
      </c>
      <c r="B146" t="s">
        <v>38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6" t="s">
        <v>43</v>
      </c>
      <c r="E146" t="s">
        <v>227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1</v>
      </c>
    </row>
    <row r="147" spans="1:7" x14ac:dyDescent="0.25">
      <c r="A147" t="s">
        <v>53</v>
      </c>
      <c r="B147" t="s">
        <v>38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45</v>
      </c>
      <c r="E147" t="s">
        <v>63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53</v>
      </c>
      <c r="B148" t="s">
        <v>38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8" t="s">
        <v>45</v>
      </c>
      <c r="E148" t="s">
        <v>227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1</v>
      </c>
    </row>
    <row r="149" spans="1:7" x14ac:dyDescent="0.25">
      <c r="A149" t="s">
        <v>53</v>
      </c>
      <c r="B149" t="s">
        <v>38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9" t="s">
        <v>63</v>
      </c>
      <c r="E149" t="s">
        <v>227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1</v>
      </c>
    </row>
    <row r="150" spans="1:7" x14ac:dyDescent="0.25">
      <c r="A150" t="s">
        <v>53</v>
      </c>
      <c r="B150" t="s">
        <v>227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56</v>
      </c>
      <c r="E150" t="s">
        <v>48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53</v>
      </c>
      <c r="B151" t="s">
        <v>227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56</v>
      </c>
      <c r="E151" t="s">
        <v>33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53</v>
      </c>
      <c r="B152" t="s">
        <v>227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56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53</v>
      </c>
      <c r="B153" t="s">
        <v>227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3" t="s">
        <v>56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1</v>
      </c>
    </row>
    <row r="154" spans="1:7" x14ac:dyDescent="0.25">
      <c r="A154" t="s">
        <v>53</v>
      </c>
      <c r="B154" t="s">
        <v>227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56</v>
      </c>
      <c r="E154" t="s">
        <v>63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53</v>
      </c>
      <c r="B155" t="s">
        <v>227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56</v>
      </c>
      <c r="E155" t="s">
        <v>38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53</v>
      </c>
      <c r="B156" t="s">
        <v>227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48</v>
      </c>
      <c r="E156" t="s">
        <v>33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53</v>
      </c>
      <c r="B157" t="s">
        <v>227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48</v>
      </c>
      <c r="E157" t="s">
        <v>43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53</v>
      </c>
      <c r="B158" t="s">
        <v>227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8" t="s">
        <v>48</v>
      </c>
      <c r="E158" t="s">
        <v>45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1</v>
      </c>
    </row>
    <row r="159" spans="1:7" x14ac:dyDescent="0.25">
      <c r="A159" t="s">
        <v>53</v>
      </c>
      <c r="B159" t="s">
        <v>227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63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9">
        <f>ScenarioStat0[[#This Row],[team-1-win]]+ScenarioStat0[[#This Row],[team-2-win]]</f>
        <v>1</v>
      </c>
    </row>
    <row r="160" spans="1:7" x14ac:dyDescent="0.25">
      <c r="A160" t="s">
        <v>53</v>
      </c>
      <c r="B160" t="s">
        <v>227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38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0">
        <f>ScenarioStat0[[#This Row],[team-1-win]]+ScenarioStat0[[#This Row],[team-2-win]]</f>
        <v>1</v>
      </c>
    </row>
    <row r="161" spans="1:7" x14ac:dyDescent="0.25">
      <c r="A161" t="s">
        <v>53</v>
      </c>
      <c r="B161" t="s">
        <v>227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33</v>
      </c>
      <c r="E161" t="s">
        <v>43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53</v>
      </c>
      <c r="B162" t="s">
        <v>227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45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53</v>
      </c>
      <c r="B163" t="s">
        <v>227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63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53</v>
      </c>
      <c r="B164" t="s">
        <v>227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38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53</v>
      </c>
      <c r="B165" t="s">
        <v>227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53</v>
      </c>
      <c r="B166" t="s">
        <v>227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1</v>
      </c>
    </row>
    <row r="167" spans="1:7" x14ac:dyDescent="0.25">
      <c r="A167" t="s">
        <v>53</v>
      </c>
      <c r="B167" t="s">
        <v>227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43</v>
      </c>
      <c r="E167" t="s">
        <v>38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25">
      <c r="A168" t="s">
        <v>53</v>
      </c>
      <c r="B168" t="s">
        <v>227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45</v>
      </c>
      <c r="E168" t="s">
        <v>63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53</v>
      </c>
      <c r="B169" t="s">
        <v>227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45</v>
      </c>
      <c r="E169" t="s">
        <v>38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25">
      <c r="A170" t="s">
        <v>53</v>
      </c>
      <c r="B170" t="s">
        <v>227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63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56</v>
      </c>
      <c r="B171" t="s">
        <v>48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33</v>
      </c>
      <c r="E171" t="s">
        <v>43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56</v>
      </c>
      <c r="B172" t="s">
        <v>48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33</v>
      </c>
      <c r="E172" t="s">
        <v>45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56</v>
      </c>
      <c r="B173" t="s">
        <v>48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33</v>
      </c>
      <c r="E173" t="s">
        <v>63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3">
        <f>ScenarioStat0[[#This Row],[team-1-win]]+ScenarioStat0[[#This Row],[team-2-win]]</f>
        <v>1</v>
      </c>
    </row>
    <row r="174" spans="1:7" x14ac:dyDescent="0.25">
      <c r="A174" t="s">
        <v>56</v>
      </c>
      <c r="B174" t="s">
        <v>48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38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56</v>
      </c>
      <c r="B175" t="s">
        <v>48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227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56</v>
      </c>
      <c r="B176" t="s">
        <v>48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6" t="s">
        <v>43</v>
      </c>
      <c r="E176" t="s">
        <v>45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1</v>
      </c>
    </row>
    <row r="177" spans="1:7" x14ac:dyDescent="0.25">
      <c r="A177" t="s">
        <v>56</v>
      </c>
      <c r="B177" t="s">
        <v>48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43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56</v>
      </c>
      <c r="B178" t="s">
        <v>48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43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56</v>
      </c>
      <c r="B179" t="s">
        <v>48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43</v>
      </c>
      <c r="E179" t="s">
        <v>227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56</v>
      </c>
      <c r="B180" t="s">
        <v>48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45</v>
      </c>
      <c r="E180" t="s">
        <v>63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0">
        <f>ScenarioStat0[[#This Row],[team-1-win]]+ScenarioStat0[[#This Row],[team-2-win]]</f>
        <v>1</v>
      </c>
    </row>
    <row r="181" spans="1:7" x14ac:dyDescent="0.25">
      <c r="A181" t="s">
        <v>56</v>
      </c>
      <c r="B181" t="s">
        <v>48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45</v>
      </c>
      <c r="E181" t="s">
        <v>38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56</v>
      </c>
      <c r="B182" t="s">
        <v>48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2" t="s">
        <v>45</v>
      </c>
      <c r="E182" t="s">
        <v>227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1</v>
      </c>
    </row>
    <row r="183" spans="1:7" x14ac:dyDescent="0.25">
      <c r="A183" t="s">
        <v>56</v>
      </c>
      <c r="B183" t="s">
        <v>48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63</v>
      </c>
      <c r="E183" t="s">
        <v>38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56</v>
      </c>
      <c r="B184" t="s">
        <v>48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4" t="s">
        <v>63</v>
      </c>
      <c r="E184" t="s">
        <v>227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1</v>
      </c>
    </row>
    <row r="185" spans="1:7" x14ac:dyDescent="0.25">
      <c r="A185" t="s">
        <v>56</v>
      </c>
      <c r="B185" t="s">
        <v>48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38</v>
      </c>
      <c r="E185" t="s">
        <v>227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56</v>
      </c>
      <c r="B186" t="s">
        <v>33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6" t="s">
        <v>48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1</v>
      </c>
    </row>
    <row r="187" spans="1:7" x14ac:dyDescent="0.25">
      <c r="A187" t="s">
        <v>56</v>
      </c>
      <c r="B187" t="s">
        <v>33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7" t="s">
        <v>48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1</v>
      </c>
    </row>
    <row r="188" spans="1:7" x14ac:dyDescent="0.25">
      <c r="A188" t="s">
        <v>56</v>
      </c>
      <c r="B188" t="s">
        <v>33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8" t="s">
        <v>48</v>
      </c>
      <c r="E188" t="s">
        <v>63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1</v>
      </c>
    </row>
    <row r="189" spans="1:7" x14ac:dyDescent="0.25">
      <c r="A189" t="s">
        <v>56</v>
      </c>
      <c r="B189" t="s">
        <v>33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48</v>
      </c>
      <c r="E189" t="s">
        <v>38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56</v>
      </c>
      <c r="B190" t="s">
        <v>33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0" t="s">
        <v>48</v>
      </c>
      <c r="E190" t="s">
        <v>227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1</v>
      </c>
    </row>
    <row r="191" spans="1:7" x14ac:dyDescent="0.25">
      <c r="A191" t="s">
        <v>56</v>
      </c>
      <c r="B191" t="s">
        <v>33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43</v>
      </c>
      <c r="E191" t="s">
        <v>45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56</v>
      </c>
      <c r="B192" t="s">
        <v>33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43</v>
      </c>
      <c r="E192" t="s">
        <v>63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2">
        <f>ScenarioStat0[[#This Row],[team-1-win]]+ScenarioStat0[[#This Row],[team-2-win]]</f>
        <v>1</v>
      </c>
    </row>
    <row r="193" spans="1:7" x14ac:dyDescent="0.25">
      <c r="A193" t="s">
        <v>56</v>
      </c>
      <c r="B193" t="s">
        <v>33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43</v>
      </c>
      <c r="E193" t="s">
        <v>38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25">
      <c r="A194" t="s">
        <v>56</v>
      </c>
      <c r="B194" t="s">
        <v>33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43</v>
      </c>
      <c r="E194" t="s">
        <v>227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56</v>
      </c>
      <c r="B195" t="s">
        <v>33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45</v>
      </c>
      <c r="E195" t="s">
        <v>63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56</v>
      </c>
      <c r="B196" t="s">
        <v>33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45</v>
      </c>
      <c r="E196" t="s">
        <v>38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56</v>
      </c>
      <c r="B197" t="s">
        <v>33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227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7">
        <f>ScenarioStat0[[#This Row],[team-1-win]]+ScenarioStat0[[#This Row],[team-2-win]]</f>
        <v>1</v>
      </c>
    </row>
    <row r="198" spans="1:7" x14ac:dyDescent="0.25">
      <c r="A198" t="s">
        <v>56</v>
      </c>
      <c r="B198" t="s">
        <v>33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8" t="s">
        <v>63</v>
      </c>
      <c r="E198" t="s">
        <v>38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1</v>
      </c>
    </row>
    <row r="199" spans="1:7" x14ac:dyDescent="0.25">
      <c r="A199" t="s">
        <v>56</v>
      </c>
      <c r="B199" t="s">
        <v>33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9" t="s">
        <v>63</v>
      </c>
      <c r="E199" t="s">
        <v>227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1</v>
      </c>
    </row>
    <row r="200" spans="1:7" x14ac:dyDescent="0.25">
      <c r="A200" t="s">
        <v>56</v>
      </c>
      <c r="B200" t="s">
        <v>33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0" t="s">
        <v>38</v>
      </c>
      <c r="E200" t="s">
        <v>227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1</v>
      </c>
    </row>
    <row r="201" spans="1:7" x14ac:dyDescent="0.25">
      <c r="A201" t="s">
        <v>56</v>
      </c>
      <c r="B201" t="s">
        <v>43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48</v>
      </c>
      <c r="E201" t="s">
        <v>33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56</v>
      </c>
      <c r="B202" t="s">
        <v>43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48</v>
      </c>
      <c r="E202" t="s">
        <v>45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56</v>
      </c>
      <c r="B203" t="s">
        <v>43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48</v>
      </c>
      <c r="E203" t="s">
        <v>63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56</v>
      </c>
      <c r="B204" t="s">
        <v>43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48</v>
      </c>
      <c r="E204" t="s">
        <v>38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56</v>
      </c>
      <c r="B205" t="s">
        <v>43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48</v>
      </c>
      <c r="E205" t="s">
        <v>227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56</v>
      </c>
      <c r="B206" t="s">
        <v>43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6" t="s">
        <v>33</v>
      </c>
      <c r="E206" t="s">
        <v>45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1</v>
      </c>
    </row>
    <row r="207" spans="1:7" x14ac:dyDescent="0.25">
      <c r="A207" t="s">
        <v>56</v>
      </c>
      <c r="B207" t="s">
        <v>43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33</v>
      </c>
      <c r="E207" t="s">
        <v>63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56</v>
      </c>
      <c r="B208" t="s">
        <v>43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33</v>
      </c>
      <c r="E208" t="s">
        <v>38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8">
        <f>ScenarioStat0[[#This Row],[team-1-win]]+ScenarioStat0[[#This Row],[team-2-win]]</f>
        <v>1</v>
      </c>
    </row>
    <row r="209" spans="1:7" x14ac:dyDescent="0.25">
      <c r="A209" t="s">
        <v>56</v>
      </c>
      <c r="B209" t="s">
        <v>43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33</v>
      </c>
      <c r="E209" t="s">
        <v>227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56</v>
      </c>
      <c r="B210" t="s">
        <v>43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45</v>
      </c>
      <c r="E210" t="s">
        <v>63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56</v>
      </c>
      <c r="B211" t="s">
        <v>43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1</v>
      </c>
    </row>
    <row r="212" spans="1:7" x14ac:dyDescent="0.25">
      <c r="A212" t="s">
        <v>56</v>
      </c>
      <c r="B212" t="s">
        <v>43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227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  <row r="213" spans="1:7" x14ac:dyDescent="0.25">
      <c r="A213" t="s">
        <v>56</v>
      </c>
      <c r="B213" t="s">
        <v>43</v>
      </c>
      <c r="C2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3" t="s">
        <v>63</v>
      </c>
      <c r="E213" t="s">
        <v>38</v>
      </c>
      <c r="F2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3">
        <f>ScenarioStat0[[#This Row],[team-1-win]]+ScenarioStat0[[#This Row],[team-2-win]]</f>
        <v>1</v>
      </c>
    </row>
    <row r="214" spans="1:7" x14ac:dyDescent="0.25">
      <c r="A214" t="s">
        <v>56</v>
      </c>
      <c r="B214" t="s">
        <v>43</v>
      </c>
      <c r="C2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4" t="s">
        <v>63</v>
      </c>
      <c r="E214" t="s">
        <v>227</v>
      </c>
      <c r="F2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4">
        <f>ScenarioStat0[[#This Row],[team-1-win]]+ScenarioStat0[[#This Row],[team-2-win]]</f>
        <v>1</v>
      </c>
    </row>
    <row r="215" spans="1:7" x14ac:dyDescent="0.25">
      <c r="A215" t="s">
        <v>56</v>
      </c>
      <c r="B215" t="s">
        <v>43</v>
      </c>
      <c r="C2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5" t="s">
        <v>38</v>
      </c>
      <c r="E215" t="s">
        <v>227</v>
      </c>
      <c r="F2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5">
        <f>ScenarioStat0[[#This Row],[team-1-win]]+ScenarioStat0[[#This Row],[team-2-win]]</f>
        <v>1</v>
      </c>
    </row>
    <row r="216" spans="1:7" x14ac:dyDescent="0.25">
      <c r="A216" t="s">
        <v>56</v>
      </c>
      <c r="B216" t="s">
        <v>45</v>
      </c>
      <c r="C2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6" t="s">
        <v>48</v>
      </c>
      <c r="E216" t="s">
        <v>33</v>
      </c>
      <c r="F2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6">
        <f>ScenarioStat0[[#This Row],[team-1-win]]+ScenarioStat0[[#This Row],[team-2-win]]</f>
        <v>1</v>
      </c>
    </row>
    <row r="217" spans="1:7" x14ac:dyDescent="0.25">
      <c r="A217" t="s">
        <v>56</v>
      </c>
      <c r="B217" t="s">
        <v>45</v>
      </c>
      <c r="C2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7" t="s">
        <v>48</v>
      </c>
      <c r="E217" t="s">
        <v>43</v>
      </c>
      <c r="F2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7">
        <f>ScenarioStat0[[#This Row],[team-1-win]]+ScenarioStat0[[#This Row],[team-2-win]]</f>
        <v>1</v>
      </c>
    </row>
    <row r="218" spans="1:7" x14ac:dyDescent="0.25">
      <c r="A218" t="s">
        <v>56</v>
      </c>
      <c r="B218" t="s">
        <v>45</v>
      </c>
      <c r="C2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8" t="s">
        <v>48</v>
      </c>
      <c r="E218" t="s">
        <v>63</v>
      </c>
      <c r="F2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8">
        <f>ScenarioStat0[[#This Row],[team-1-win]]+ScenarioStat0[[#This Row],[team-2-win]]</f>
        <v>1</v>
      </c>
    </row>
    <row r="219" spans="1:7" x14ac:dyDescent="0.25">
      <c r="A219" t="s">
        <v>56</v>
      </c>
      <c r="B219" t="s">
        <v>45</v>
      </c>
      <c r="C2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9" t="s">
        <v>48</v>
      </c>
      <c r="E219" t="s">
        <v>38</v>
      </c>
      <c r="F2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9">
        <f>ScenarioStat0[[#This Row],[team-1-win]]+ScenarioStat0[[#This Row],[team-2-win]]</f>
        <v>1</v>
      </c>
    </row>
    <row r="220" spans="1:7" x14ac:dyDescent="0.25">
      <c r="A220" t="s">
        <v>56</v>
      </c>
      <c r="B220" t="s">
        <v>45</v>
      </c>
      <c r="C2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0" t="s">
        <v>48</v>
      </c>
      <c r="E220" t="s">
        <v>227</v>
      </c>
      <c r="F2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0">
        <f>ScenarioStat0[[#This Row],[team-1-win]]+ScenarioStat0[[#This Row],[team-2-win]]</f>
        <v>1</v>
      </c>
    </row>
    <row r="221" spans="1:7" x14ac:dyDescent="0.25">
      <c r="A221" t="s">
        <v>56</v>
      </c>
      <c r="B221" t="s">
        <v>45</v>
      </c>
      <c r="C2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1" t="s">
        <v>33</v>
      </c>
      <c r="E221" t="s">
        <v>43</v>
      </c>
      <c r="F2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1">
        <f>ScenarioStat0[[#This Row],[team-1-win]]+ScenarioStat0[[#This Row],[team-2-win]]</f>
        <v>1</v>
      </c>
    </row>
    <row r="222" spans="1:7" x14ac:dyDescent="0.25">
      <c r="A222" t="s">
        <v>56</v>
      </c>
      <c r="B222" t="s">
        <v>45</v>
      </c>
      <c r="C2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2" t="s">
        <v>33</v>
      </c>
      <c r="E222" t="s">
        <v>63</v>
      </c>
      <c r="F2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2">
        <f>ScenarioStat0[[#This Row],[team-1-win]]+ScenarioStat0[[#This Row],[team-2-win]]</f>
        <v>1</v>
      </c>
    </row>
    <row r="223" spans="1:7" x14ac:dyDescent="0.25">
      <c r="A223" t="s">
        <v>56</v>
      </c>
      <c r="B223" t="s">
        <v>45</v>
      </c>
      <c r="C2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3" t="s">
        <v>33</v>
      </c>
      <c r="E223" t="s">
        <v>38</v>
      </c>
      <c r="F2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3">
        <f>ScenarioStat0[[#This Row],[team-1-win]]+ScenarioStat0[[#This Row],[team-2-win]]</f>
        <v>1</v>
      </c>
    </row>
    <row r="224" spans="1:7" x14ac:dyDescent="0.25">
      <c r="A224" t="s">
        <v>56</v>
      </c>
      <c r="B224" t="s">
        <v>45</v>
      </c>
      <c r="C2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4" t="s">
        <v>33</v>
      </c>
      <c r="E224" t="s">
        <v>227</v>
      </c>
      <c r="F2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4">
        <f>ScenarioStat0[[#This Row],[team-1-win]]+ScenarioStat0[[#This Row],[team-2-win]]</f>
        <v>1</v>
      </c>
    </row>
    <row r="225" spans="1:7" x14ac:dyDescent="0.25">
      <c r="A225" t="s">
        <v>56</v>
      </c>
      <c r="B225" t="s">
        <v>45</v>
      </c>
      <c r="C2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5" t="s">
        <v>43</v>
      </c>
      <c r="E225" t="s">
        <v>63</v>
      </c>
      <c r="F2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5">
        <f>ScenarioStat0[[#This Row],[team-1-win]]+ScenarioStat0[[#This Row],[team-2-win]]</f>
        <v>1</v>
      </c>
    </row>
    <row r="226" spans="1:7" x14ac:dyDescent="0.25">
      <c r="A226" t="s">
        <v>56</v>
      </c>
      <c r="B226" t="s">
        <v>45</v>
      </c>
      <c r="C2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6" t="s">
        <v>43</v>
      </c>
      <c r="E226" t="s">
        <v>38</v>
      </c>
      <c r="F2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6">
        <f>ScenarioStat0[[#This Row],[team-1-win]]+ScenarioStat0[[#This Row],[team-2-win]]</f>
        <v>1</v>
      </c>
    </row>
    <row r="227" spans="1:7" x14ac:dyDescent="0.25">
      <c r="A227" t="s">
        <v>56</v>
      </c>
      <c r="B227" t="s">
        <v>45</v>
      </c>
      <c r="C2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7" t="s">
        <v>43</v>
      </c>
      <c r="E227" t="s">
        <v>227</v>
      </c>
      <c r="F2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7">
        <f>ScenarioStat0[[#This Row],[team-1-win]]+ScenarioStat0[[#This Row],[team-2-win]]</f>
        <v>1</v>
      </c>
    </row>
    <row r="228" spans="1:7" x14ac:dyDescent="0.25">
      <c r="A228" t="s">
        <v>56</v>
      </c>
      <c r="B228" t="s">
        <v>45</v>
      </c>
      <c r="C2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8" t="s">
        <v>63</v>
      </c>
      <c r="E228" t="s">
        <v>38</v>
      </c>
      <c r="F2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8">
        <f>ScenarioStat0[[#This Row],[team-1-win]]+ScenarioStat0[[#This Row],[team-2-win]]</f>
        <v>1</v>
      </c>
    </row>
    <row r="229" spans="1:7" x14ac:dyDescent="0.25">
      <c r="A229" t="s">
        <v>56</v>
      </c>
      <c r="B229" t="s">
        <v>45</v>
      </c>
      <c r="C2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9" t="s">
        <v>63</v>
      </c>
      <c r="E229" t="s">
        <v>227</v>
      </c>
      <c r="F2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29">
        <f>ScenarioStat0[[#This Row],[team-1-win]]+ScenarioStat0[[#This Row],[team-2-win]]</f>
        <v>1</v>
      </c>
    </row>
    <row r="230" spans="1:7" x14ac:dyDescent="0.25">
      <c r="A230" t="s">
        <v>56</v>
      </c>
      <c r="B230" t="s">
        <v>45</v>
      </c>
      <c r="C2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0" t="s">
        <v>38</v>
      </c>
      <c r="E230" t="s">
        <v>227</v>
      </c>
      <c r="F2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0">
        <f>ScenarioStat0[[#This Row],[team-1-win]]+ScenarioStat0[[#This Row],[team-2-win]]</f>
        <v>1</v>
      </c>
    </row>
    <row r="231" spans="1:7" x14ac:dyDescent="0.25">
      <c r="A231" t="s">
        <v>56</v>
      </c>
      <c r="B231" t="s">
        <v>63</v>
      </c>
      <c r="C2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1" t="s">
        <v>48</v>
      </c>
      <c r="E231" t="s">
        <v>33</v>
      </c>
      <c r="F2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1">
        <f>ScenarioStat0[[#This Row],[team-1-win]]+ScenarioStat0[[#This Row],[team-2-win]]</f>
        <v>1</v>
      </c>
    </row>
    <row r="232" spans="1:7" x14ac:dyDescent="0.25">
      <c r="A232" t="s">
        <v>56</v>
      </c>
      <c r="B232" t="s">
        <v>63</v>
      </c>
      <c r="C2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2" t="s">
        <v>48</v>
      </c>
      <c r="E232" t="s">
        <v>43</v>
      </c>
      <c r="F2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2">
        <f>ScenarioStat0[[#This Row],[team-1-win]]+ScenarioStat0[[#This Row],[team-2-win]]</f>
        <v>1</v>
      </c>
    </row>
    <row r="233" spans="1:7" x14ac:dyDescent="0.25">
      <c r="A233" t="s">
        <v>56</v>
      </c>
      <c r="B233" t="s">
        <v>63</v>
      </c>
      <c r="C2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3" t="s">
        <v>48</v>
      </c>
      <c r="E233" t="s">
        <v>45</v>
      </c>
      <c r="F2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3">
        <f>ScenarioStat0[[#This Row],[team-1-win]]+ScenarioStat0[[#This Row],[team-2-win]]</f>
        <v>1</v>
      </c>
    </row>
    <row r="234" spans="1:7" x14ac:dyDescent="0.25">
      <c r="A234" t="s">
        <v>56</v>
      </c>
      <c r="B234" t="s">
        <v>63</v>
      </c>
      <c r="C2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34" t="s">
        <v>48</v>
      </c>
      <c r="E234" t="s">
        <v>38</v>
      </c>
      <c r="F2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4">
        <f>ScenarioStat0[[#This Row],[team-1-win]]+ScenarioStat0[[#This Row],[team-2-win]]</f>
        <v>1</v>
      </c>
    </row>
    <row r="235" spans="1:7" x14ac:dyDescent="0.25">
      <c r="A235" t="s">
        <v>56</v>
      </c>
      <c r="B235" t="s">
        <v>63</v>
      </c>
      <c r="C2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5" t="s">
        <v>48</v>
      </c>
      <c r="E235" t="s">
        <v>227</v>
      </c>
      <c r="F2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5">
        <f>ScenarioStat0[[#This Row],[team-1-win]]+ScenarioStat0[[#This Row],[team-2-win]]</f>
        <v>1</v>
      </c>
    </row>
    <row r="236" spans="1:7" x14ac:dyDescent="0.25">
      <c r="A236" t="s">
        <v>56</v>
      </c>
      <c r="B236" t="s">
        <v>63</v>
      </c>
      <c r="C2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6" t="s">
        <v>33</v>
      </c>
      <c r="E236" t="s">
        <v>43</v>
      </c>
      <c r="F2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6">
        <f>ScenarioStat0[[#This Row],[team-1-win]]+ScenarioStat0[[#This Row],[team-2-win]]</f>
        <v>1</v>
      </c>
    </row>
    <row r="237" spans="1:7" x14ac:dyDescent="0.25">
      <c r="A237" t="s">
        <v>56</v>
      </c>
      <c r="B237" t="s">
        <v>63</v>
      </c>
      <c r="C2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7" t="s">
        <v>33</v>
      </c>
      <c r="E237" t="s">
        <v>45</v>
      </c>
      <c r="F2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7">
        <f>ScenarioStat0[[#This Row],[team-1-win]]+ScenarioStat0[[#This Row],[team-2-win]]</f>
        <v>1</v>
      </c>
    </row>
    <row r="238" spans="1:7" x14ac:dyDescent="0.25">
      <c r="A238" t="s">
        <v>56</v>
      </c>
      <c r="B238" t="s">
        <v>63</v>
      </c>
      <c r="C2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8" t="s">
        <v>33</v>
      </c>
      <c r="E238" t="s">
        <v>38</v>
      </c>
      <c r="F2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8">
        <f>ScenarioStat0[[#This Row],[team-1-win]]+ScenarioStat0[[#This Row],[team-2-win]]</f>
        <v>1</v>
      </c>
    </row>
    <row r="239" spans="1:7" x14ac:dyDescent="0.25">
      <c r="A239" t="s">
        <v>56</v>
      </c>
      <c r="B239" t="s">
        <v>63</v>
      </c>
      <c r="C2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9" t="s">
        <v>33</v>
      </c>
      <c r="E239" t="s">
        <v>227</v>
      </c>
      <c r="F2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9">
        <f>ScenarioStat0[[#This Row],[team-1-win]]+ScenarioStat0[[#This Row],[team-2-win]]</f>
        <v>1</v>
      </c>
    </row>
    <row r="240" spans="1:7" x14ac:dyDescent="0.25">
      <c r="A240" t="s">
        <v>56</v>
      </c>
      <c r="B240" t="s">
        <v>63</v>
      </c>
      <c r="C2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0" t="s">
        <v>43</v>
      </c>
      <c r="E240" t="s">
        <v>45</v>
      </c>
      <c r="F2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0">
        <f>ScenarioStat0[[#This Row],[team-1-win]]+ScenarioStat0[[#This Row],[team-2-win]]</f>
        <v>1</v>
      </c>
    </row>
    <row r="241" spans="1:7" x14ac:dyDescent="0.25">
      <c r="A241" t="s">
        <v>56</v>
      </c>
      <c r="B241" t="s">
        <v>63</v>
      </c>
      <c r="C2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41" t="s">
        <v>43</v>
      </c>
      <c r="E241" t="s">
        <v>38</v>
      </c>
      <c r="F2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1">
        <f>ScenarioStat0[[#This Row],[team-1-win]]+ScenarioStat0[[#This Row],[team-2-win]]</f>
        <v>1</v>
      </c>
    </row>
    <row r="242" spans="1:7" x14ac:dyDescent="0.25">
      <c r="A242" t="s">
        <v>56</v>
      </c>
      <c r="B242" t="s">
        <v>63</v>
      </c>
      <c r="C2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2" t="s">
        <v>43</v>
      </c>
      <c r="E242" t="s">
        <v>227</v>
      </c>
      <c r="F2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2">
        <f>ScenarioStat0[[#This Row],[team-1-win]]+ScenarioStat0[[#This Row],[team-2-win]]</f>
        <v>1</v>
      </c>
    </row>
    <row r="243" spans="1:7" x14ac:dyDescent="0.25">
      <c r="A243" t="s">
        <v>56</v>
      </c>
      <c r="B243" t="s">
        <v>63</v>
      </c>
      <c r="C2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3" t="s">
        <v>45</v>
      </c>
      <c r="E243" t="s">
        <v>38</v>
      </c>
      <c r="F2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3">
        <f>ScenarioStat0[[#This Row],[team-1-win]]+ScenarioStat0[[#This Row],[team-2-win]]</f>
        <v>1</v>
      </c>
    </row>
    <row r="244" spans="1:7" x14ac:dyDescent="0.25">
      <c r="A244" t="s">
        <v>56</v>
      </c>
      <c r="B244" t="s">
        <v>63</v>
      </c>
      <c r="C2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44" t="s">
        <v>45</v>
      </c>
      <c r="E244" t="s">
        <v>227</v>
      </c>
      <c r="F2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4">
        <f>ScenarioStat0[[#This Row],[team-1-win]]+ScenarioStat0[[#This Row],[team-2-win]]</f>
        <v>1</v>
      </c>
    </row>
    <row r="245" spans="1:7" x14ac:dyDescent="0.25">
      <c r="A245" t="s">
        <v>56</v>
      </c>
      <c r="B245" t="s">
        <v>63</v>
      </c>
      <c r="C2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5" t="s">
        <v>38</v>
      </c>
      <c r="E245" t="s">
        <v>227</v>
      </c>
      <c r="F2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5">
        <f>ScenarioStat0[[#This Row],[team-1-win]]+ScenarioStat0[[#This Row],[team-2-win]]</f>
        <v>1</v>
      </c>
    </row>
    <row r="246" spans="1:7" x14ac:dyDescent="0.25">
      <c r="A246" t="s">
        <v>56</v>
      </c>
      <c r="B246" t="s">
        <v>38</v>
      </c>
      <c r="C2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6" t="s">
        <v>48</v>
      </c>
      <c r="E246" t="s">
        <v>33</v>
      </c>
      <c r="F2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6">
        <f>ScenarioStat0[[#This Row],[team-1-win]]+ScenarioStat0[[#This Row],[team-2-win]]</f>
        <v>1</v>
      </c>
    </row>
    <row r="247" spans="1:7" x14ac:dyDescent="0.25">
      <c r="A247" t="s">
        <v>56</v>
      </c>
      <c r="B247" t="s">
        <v>38</v>
      </c>
      <c r="C2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47" t="s">
        <v>48</v>
      </c>
      <c r="E247" t="s">
        <v>43</v>
      </c>
      <c r="F2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7">
        <f>ScenarioStat0[[#This Row],[team-1-win]]+ScenarioStat0[[#This Row],[team-2-win]]</f>
        <v>1</v>
      </c>
    </row>
    <row r="248" spans="1:7" x14ac:dyDescent="0.25">
      <c r="A248" t="s">
        <v>56</v>
      </c>
      <c r="B248" t="s">
        <v>38</v>
      </c>
      <c r="C2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48" t="s">
        <v>48</v>
      </c>
      <c r="E248" t="s">
        <v>45</v>
      </c>
      <c r="F2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8">
        <f>ScenarioStat0[[#This Row],[team-1-win]]+ScenarioStat0[[#This Row],[team-2-win]]</f>
        <v>1</v>
      </c>
    </row>
    <row r="249" spans="1:7" x14ac:dyDescent="0.25">
      <c r="A249" t="s">
        <v>56</v>
      </c>
      <c r="B249" t="s">
        <v>38</v>
      </c>
      <c r="C2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9" t="s">
        <v>48</v>
      </c>
      <c r="E249" t="s">
        <v>63</v>
      </c>
      <c r="F2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9">
        <f>ScenarioStat0[[#This Row],[team-1-win]]+ScenarioStat0[[#This Row],[team-2-win]]</f>
        <v>1</v>
      </c>
    </row>
    <row r="250" spans="1:7" x14ac:dyDescent="0.25">
      <c r="A250" t="s">
        <v>56</v>
      </c>
      <c r="B250" t="s">
        <v>38</v>
      </c>
      <c r="C2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0" t="s">
        <v>48</v>
      </c>
      <c r="E250" t="s">
        <v>227</v>
      </c>
      <c r="F2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0">
        <f>ScenarioStat0[[#This Row],[team-1-win]]+ScenarioStat0[[#This Row],[team-2-win]]</f>
        <v>1</v>
      </c>
    </row>
    <row r="251" spans="1:7" x14ac:dyDescent="0.25">
      <c r="A251" t="s">
        <v>56</v>
      </c>
      <c r="B251" t="s">
        <v>38</v>
      </c>
      <c r="C2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1" t="s">
        <v>33</v>
      </c>
      <c r="E251" t="s">
        <v>43</v>
      </c>
      <c r="F2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1">
        <f>ScenarioStat0[[#This Row],[team-1-win]]+ScenarioStat0[[#This Row],[team-2-win]]</f>
        <v>1</v>
      </c>
    </row>
    <row r="252" spans="1:7" x14ac:dyDescent="0.25">
      <c r="A252" t="s">
        <v>56</v>
      </c>
      <c r="B252" t="s">
        <v>38</v>
      </c>
      <c r="C2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2" t="s">
        <v>33</v>
      </c>
      <c r="E252" t="s">
        <v>45</v>
      </c>
      <c r="F2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2">
        <f>ScenarioStat0[[#This Row],[team-1-win]]+ScenarioStat0[[#This Row],[team-2-win]]</f>
        <v>1</v>
      </c>
    </row>
    <row r="253" spans="1:7" x14ac:dyDescent="0.25">
      <c r="A253" t="s">
        <v>56</v>
      </c>
      <c r="B253" t="s">
        <v>38</v>
      </c>
      <c r="C25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3" t="s">
        <v>33</v>
      </c>
      <c r="E253" t="s">
        <v>63</v>
      </c>
      <c r="F2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3">
        <f>ScenarioStat0[[#This Row],[team-1-win]]+ScenarioStat0[[#This Row],[team-2-win]]</f>
        <v>1</v>
      </c>
    </row>
    <row r="254" spans="1:7" x14ac:dyDescent="0.25">
      <c r="A254" t="s">
        <v>56</v>
      </c>
      <c r="B254" t="s">
        <v>38</v>
      </c>
      <c r="C2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4" t="s">
        <v>33</v>
      </c>
      <c r="E254" t="s">
        <v>227</v>
      </c>
      <c r="F2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4">
        <f>ScenarioStat0[[#This Row],[team-1-win]]+ScenarioStat0[[#This Row],[team-2-win]]</f>
        <v>1</v>
      </c>
    </row>
    <row r="255" spans="1:7" x14ac:dyDescent="0.25">
      <c r="A255" t="s">
        <v>56</v>
      </c>
      <c r="B255" t="s">
        <v>38</v>
      </c>
      <c r="C2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5" t="s">
        <v>43</v>
      </c>
      <c r="E255" t="s">
        <v>45</v>
      </c>
      <c r="F2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5">
        <f>ScenarioStat0[[#This Row],[team-1-win]]+ScenarioStat0[[#This Row],[team-2-win]]</f>
        <v>1</v>
      </c>
    </row>
    <row r="256" spans="1:7" x14ac:dyDescent="0.25">
      <c r="A256" t="s">
        <v>56</v>
      </c>
      <c r="B256" t="s">
        <v>38</v>
      </c>
      <c r="C2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6" t="s">
        <v>43</v>
      </c>
      <c r="E256" t="s">
        <v>63</v>
      </c>
      <c r="F2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6">
        <f>ScenarioStat0[[#This Row],[team-1-win]]+ScenarioStat0[[#This Row],[team-2-win]]</f>
        <v>1</v>
      </c>
    </row>
    <row r="257" spans="1:7" x14ac:dyDescent="0.25">
      <c r="A257" t="s">
        <v>56</v>
      </c>
      <c r="B257" t="s">
        <v>38</v>
      </c>
      <c r="C2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57" t="s">
        <v>43</v>
      </c>
      <c r="E257" t="s">
        <v>227</v>
      </c>
      <c r="F2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7">
        <f>ScenarioStat0[[#This Row],[team-1-win]]+ScenarioStat0[[#This Row],[team-2-win]]</f>
        <v>1</v>
      </c>
    </row>
    <row r="258" spans="1:7" x14ac:dyDescent="0.25">
      <c r="A258" t="s">
        <v>56</v>
      </c>
      <c r="B258" t="s">
        <v>38</v>
      </c>
      <c r="C2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8" t="s">
        <v>45</v>
      </c>
      <c r="E258" t="s">
        <v>63</v>
      </c>
      <c r="F2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8">
        <f>ScenarioStat0[[#This Row],[team-1-win]]+ScenarioStat0[[#This Row],[team-2-win]]</f>
        <v>1</v>
      </c>
    </row>
    <row r="259" spans="1:7" x14ac:dyDescent="0.25">
      <c r="A259" t="s">
        <v>56</v>
      </c>
      <c r="B259" t="s">
        <v>38</v>
      </c>
      <c r="C2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9" t="s">
        <v>45</v>
      </c>
      <c r="E259" t="s">
        <v>227</v>
      </c>
      <c r="F2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9">
        <f>ScenarioStat0[[#This Row],[team-1-win]]+ScenarioStat0[[#This Row],[team-2-win]]</f>
        <v>1</v>
      </c>
    </row>
    <row r="260" spans="1:7" x14ac:dyDescent="0.25">
      <c r="A260" t="s">
        <v>56</v>
      </c>
      <c r="B260" t="s">
        <v>38</v>
      </c>
      <c r="C2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60" t="s">
        <v>63</v>
      </c>
      <c r="E260" t="s">
        <v>227</v>
      </c>
      <c r="F2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0">
        <f>ScenarioStat0[[#This Row],[team-1-win]]+ScenarioStat0[[#This Row],[team-2-win]]</f>
        <v>1</v>
      </c>
    </row>
    <row r="261" spans="1:7" x14ac:dyDescent="0.25">
      <c r="A261" t="s">
        <v>56</v>
      </c>
      <c r="B261" t="s">
        <v>227</v>
      </c>
      <c r="C2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1" t="s">
        <v>48</v>
      </c>
      <c r="E261" t="s">
        <v>33</v>
      </c>
      <c r="F2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1">
        <f>ScenarioStat0[[#This Row],[team-1-win]]+ScenarioStat0[[#This Row],[team-2-win]]</f>
        <v>1</v>
      </c>
    </row>
    <row r="262" spans="1:7" x14ac:dyDescent="0.25">
      <c r="A262" t="s">
        <v>56</v>
      </c>
      <c r="B262" t="s">
        <v>227</v>
      </c>
      <c r="C2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2" t="s">
        <v>48</v>
      </c>
      <c r="E262" t="s">
        <v>43</v>
      </c>
      <c r="F2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2">
        <f>ScenarioStat0[[#This Row],[team-1-win]]+ScenarioStat0[[#This Row],[team-2-win]]</f>
        <v>1</v>
      </c>
    </row>
    <row r="263" spans="1:7" x14ac:dyDescent="0.25">
      <c r="A263" t="s">
        <v>56</v>
      </c>
      <c r="B263" t="s">
        <v>227</v>
      </c>
      <c r="C2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3" t="s">
        <v>48</v>
      </c>
      <c r="E263" t="s">
        <v>45</v>
      </c>
      <c r="F2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3">
        <f>ScenarioStat0[[#This Row],[team-1-win]]+ScenarioStat0[[#This Row],[team-2-win]]</f>
        <v>1</v>
      </c>
    </row>
    <row r="264" spans="1:7" x14ac:dyDescent="0.25">
      <c r="A264" t="s">
        <v>56</v>
      </c>
      <c r="B264" t="s">
        <v>227</v>
      </c>
      <c r="C2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4" t="s">
        <v>48</v>
      </c>
      <c r="E264" t="s">
        <v>63</v>
      </c>
      <c r="F2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4">
        <f>ScenarioStat0[[#This Row],[team-1-win]]+ScenarioStat0[[#This Row],[team-2-win]]</f>
        <v>1</v>
      </c>
    </row>
    <row r="265" spans="1:7" x14ac:dyDescent="0.25">
      <c r="A265" t="s">
        <v>56</v>
      </c>
      <c r="B265" t="s">
        <v>227</v>
      </c>
      <c r="C2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5" t="s">
        <v>48</v>
      </c>
      <c r="E265" t="s">
        <v>38</v>
      </c>
      <c r="F2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5">
        <f>ScenarioStat0[[#This Row],[team-1-win]]+ScenarioStat0[[#This Row],[team-2-win]]</f>
        <v>1</v>
      </c>
    </row>
    <row r="266" spans="1:7" x14ac:dyDescent="0.25">
      <c r="A266" t="s">
        <v>56</v>
      </c>
      <c r="B266" t="s">
        <v>227</v>
      </c>
      <c r="C2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6" t="s">
        <v>33</v>
      </c>
      <c r="E266" t="s">
        <v>43</v>
      </c>
      <c r="F2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6">
        <f>ScenarioStat0[[#This Row],[team-1-win]]+ScenarioStat0[[#This Row],[team-2-win]]</f>
        <v>1</v>
      </c>
    </row>
    <row r="267" spans="1:7" x14ac:dyDescent="0.25">
      <c r="A267" t="s">
        <v>56</v>
      </c>
      <c r="B267" t="s">
        <v>227</v>
      </c>
      <c r="C2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7" t="s">
        <v>33</v>
      </c>
      <c r="E267" t="s">
        <v>45</v>
      </c>
      <c r="F2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7">
        <f>ScenarioStat0[[#This Row],[team-1-win]]+ScenarioStat0[[#This Row],[team-2-win]]</f>
        <v>1</v>
      </c>
    </row>
    <row r="268" spans="1:7" x14ac:dyDescent="0.25">
      <c r="A268" t="s">
        <v>56</v>
      </c>
      <c r="B268" t="s">
        <v>227</v>
      </c>
      <c r="C2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8" t="s">
        <v>33</v>
      </c>
      <c r="E268" t="s">
        <v>63</v>
      </c>
      <c r="F2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8">
        <f>ScenarioStat0[[#This Row],[team-1-win]]+ScenarioStat0[[#This Row],[team-2-win]]</f>
        <v>1</v>
      </c>
    </row>
    <row r="269" spans="1:7" x14ac:dyDescent="0.25">
      <c r="A269" t="s">
        <v>56</v>
      </c>
      <c r="B269" t="s">
        <v>227</v>
      </c>
      <c r="C2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9" t="s">
        <v>33</v>
      </c>
      <c r="E269" t="s">
        <v>38</v>
      </c>
      <c r="F2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9">
        <f>ScenarioStat0[[#This Row],[team-1-win]]+ScenarioStat0[[#This Row],[team-2-win]]</f>
        <v>1</v>
      </c>
    </row>
    <row r="270" spans="1:7" x14ac:dyDescent="0.25">
      <c r="A270" t="s">
        <v>56</v>
      </c>
      <c r="B270" t="s">
        <v>227</v>
      </c>
      <c r="C2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0" t="s">
        <v>43</v>
      </c>
      <c r="E270" t="s">
        <v>45</v>
      </c>
      <c r="F2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0">
        <f>ScenarioStat0[[#This Row],[team-1-win]]+ScenarioStat0[[#This Row],[team-2-win]]</f>
        <v>1</v>
      </c>
    </row>
    <row r="271" spans="1:7" x14ac:dyDescent="0.25">
      <c r="A271" t="s">
        <v>56</v>
      </c>
      <c r="B271" t="s">
        <v>227</v>
      </c>
      <c r="C2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1" t="s">
        <v>43</v>
      </c>
      <c r="E271" t="s">
        <v>63</v>
      </c>
      <c r="F2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1">
        <f>ScenarioStat0[[#This Row],[team-1-win]]+ScenarioStat0[[#This Row],[team-2-win]]</f>
        <v>1</v>
      </c>
    </row>
    <row r="272" spans="1:7" x14ac:dyDescent="0.25">
      <c r="A272" t="s">
        <v>56</v>
      </c>
      <c r="B272" t="s">
        <v>227</v>
      </c>
      <c r="C2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2" t="s">
        <v>43</v>
      </c>
      <c r="E272" t="s">
        <v>38</v>
      </c>
      <c r="F2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2">
        <f>ScenarioStat0[[#This Row],[team-1-win]]+ScenarioStat0[[#This Row],[team-2-win]]</f>
        <v>1</v>
      </c>
    </row>
    <row r="273" spans="1:7" x14ac:dyDescent="0.25">
      <c r="A273" t="s">
        <v>56</v>
      </c>
      <c r="B273" t="s">
        <v>227</v>
      </c>
      <c r="C2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3" t="s">
        <v>45</v>
      </c>
      <c r="E273" t="s">
        <v>63</v>
      </c>
      <c r="F2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3">
        <f>ScenarioStat0[[#This Row],[team-1-win]]+ScenarioStat0[[#This Row],[team-2-win]]</f>
        <v>1</v>
      </c>
    </row>
    <row r="274" spans="1:7" x14ac:dyDescent="0.25">
      <c r="A274" t="s">
        <v>56</v>
      </c>
      <c r="B274" t="s">
        <v>227</v>
      </c>
      <c r="C2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4" t="s">
        <v>45</v>
      </c>
      <c r="E274" t="s">
        <v>38</v>
      </c>
      <c r="F2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4">
        <f>ScenarioStat0[[#This Row],[team-1-win]]+ScenarioStat0[[#This Row],[team-2-win]]</f>
        <v>1</v>
      </c>
    </row>
    <row r="275" spans="1:7" x14ac:dyDescent="0.25">
      <c r="A275" t="s">
        <v>56</v>
      </c>
      <c r="B275" t="s">
        <v>227</v>
      </c>
      <c r="C2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5" t="s">
        <v>63</v>
      </c>
      <c r="E275" t="s">
        <v>38</v>
      </c>
      <c r="F2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5">
        <f>ScenarioStat0[[#This Row],[team-1-win]]+ScenarioStat0[[#This Row],[team-2-win]]</f>
        <v>1</v>
      </c>
    </row>
    <row r="276" spans="1:7" x14ac:dyDescent="0.25">
      <c r="A276" t="s">
        <v>48</v>
      </c>
      <c r="B276" t="s">
        <v>33</v>
      </c>
      <c r="C2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76" t="s">
        <v>43</v>
      </c>
      <c r="E276" t="s">
        <v>45</v>
      </c>
      <c r="F2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6">
        <f>ScenarioStat0[[#This Row],[team-1-win]]+ScenarioStat0[[#This Row],[team-2-win]]</f>
        <v>1</v>
      </c>
    </row>
    <row r="277" spans="1:7" x14ac:dyDescent="0.25">
      <c r="A277" t="s">
        <v>48</v>
      </c>
      <c r="B277" t="s">
        <v>33</v>
      </c>
      <c r="C2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7" t="s">
        <v>43</v>
      </c>
      <c r="E277" t="s">
        <v>63</v>
      </c>
      <c r="F2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7">
        <f>ScenarioStat0[[#This Row],[team-1-win]]+ScenarioStat0[[#This Row],[team-2-win]]</f>
        <v>1</v>
      </c>
    </row>
    <row r="278" spans="1:7" x14ac:dyDescent="0.25">
      <c r="A278" t="s">
        <v>48</v>
      </c>
      <c r="B278" t="s">
        <v>33</v>
      </c>
      <c r="C2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78" t="s">
        <v>43</v>
      </c>
      <c r="E278" t="s">
        <v>38</v>
      </c>
      <c r="F2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8">
        <f>ScenarioStat0[[#This Row],[team-1-win]]+ScenarioStat0[[#This Row],[team-2-win]]</f>
        <v>1</v>
      </c>
    </row>
    <row r="279" spans="1:7" x14ac:dyDescent="0.25">
      <c r="A279" t="s">
        <v>48</v>
      </c>
      <c r="B279" t="s">
        <v>33</v>
      </c>
      <c r="C2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79" t="s">
        <v>43</v>
      </c>
      <c r="E279" t="s">
        <v>227</v>
      </c>
      <c r="F2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9">
        <f>ScenarioStat0[[#This Row],[team-1-win]]+ScenarioStat0[[#This Row],[team-2-win]]</f>
        <v>1</v>
      </c>
    </row>
    <row r="280" spans="1:7" x14ac:dyDescent="0.25">
      <c r="A280" t="s">
        <v>48</v>
      </c>
      <c r="B280" t="s">
        <v>33</v>
      </c>
      <c r="C2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0" t="s">
        <v>45</v>
      </c>
      <c r="E280" t="s">
        <v>63</v>
      </c>
      <c r="F2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0">
        <f>ScenarioStat0[[#This Row],[team-1-win]]+ScenarioStat0[[#This Row],[team-2-win]]</f>
        <v>1</v>
      </c>
    </row>
    <row r="281" spans="1:7" x14ac:dyDescent="0.25">
      <c r="A281" t="s">
        <v>48</v>
      </c>
      <c r="B281" t="s">
        <v>33</v>
      </c>
      <c r="C2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1" t="s">
        <v>45</v>
      </c>
      <c r="E281" t="s">
        <v>38</v>
      </c>
      <c r="F2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1">
        <f>ScenarioStat0[[#This Row],[team-1-win]]+ScenarioStat0[[#This Row],[team-2-win]]</f>
        <v>1</v>
      </c>
    </row>
    <row r="282" spans="1:7" x14ac:dyDescent="0.25">
      <c r="A282" t="s">
        <v>48</v>
      </c>
      <c r="B282" t="s">
        <v>33</v>
      </c>
      <c r="C2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2" t="s">
        <v>45</v>
      </c>
      <c r="E282" t="s">
        <v>227</v>
      </c>
      <c r="F2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2">
        <f>ScenarioStat0[[#This Row],[team-1-win]]+ScenarioStat0[[#This Row],[team-2-win]]</f>
        <v>1</v>
      </c>
    </row>
    <row r="283" spans="1:7" x14ac:dyDescent="0.25">
      <c r="A283" t="s">
        <v>48</v>
      </c>
      <c r="B283" t="s">
        <v>33</v>
      </c>
      <c r="C2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3" t="s">
        <v>63</v>
      </c>
      <c r="E283" t="s">
        <v>38</v>
      </c>
      <c r="F2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3">
        <f>ScenarioStat0[[#This Row],[team-1-win]]+ScenarioStat0[[#This Row],[team-2-win]]</f>
        <v>1</v>
      </c>
    </row>
    <row r="284" spans="1:7" x14ac:dyDescent="0.25">
      <c r="A284" t="s">
        <v>48</v>
      </c>
      <c r="B284" t="s">
        <v>33</v>
      </c>
      <c r="C2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4" t="s">
        <v>63</v>
      </c>
      <c r="E284" t="s">
        <v>227</v>
      </c>
      <c r="F2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4">
        <f>ScenarioStat0[[#This Row],[team-1-win]]+ScenarioStat0[[#This Row],[team-2-win]]</f>
        <v>1</v>
      </c>
    </row>
    <row r="285" spans="1:7" x14ac:dyDescent="0.25">
      <c r="A285" t="s">
        <v>48</v>
      </c>
      <c r="B285" t="s">
        <v>33</v>
      </c>
      <c r="C2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5" t="s">
        <v>38</v>
      </c>
      <c r="E285" t="s">
        <v>227</v>
      </c>
      <c r="F2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5">
        <f>ScenarioStat0[[#This Row],[team-1-win]]+ScenarioStat0[[#This Row],[team-2-win]]</f>
        <v>1</v>
      </c>
    </row>
    <row r="286" spans="1:7" x14ac:dyDescent="0.25">
      <c r="A286" t="s">
        <v>48</v>
      </c>
      <c r="B286" t="s">
        <v>43</v>
      </c>
      <c r="C2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6" t="s">
        <v>33</v>
      </c>
      <c r="E286" t="s">
        <v>45</v>
      </c>
      <c r="F2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6">
        <f>ScenarioStat0[[#This Row],[team-1-win]]+ScenarioStat0[[#This Row],[team-2-win]]</f>
        <v>1</v>
      </c>
    </row>
    <row r="287" spans="1:7" x14ac:dyDescent="0.25">
      <c r="A287" t="s">
        <v>48</v>
      </c>
      <c r="B287" t="s">
        <v>43</v>
      </c>
      <c r="C2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87" t="s">
        <v>33</v>
      </c>
      <c r="E287" t="s">
        <v>63</v>
      </c>
      <c r="F2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7">
        <f>ScenarioStat0[[#This Row],[team-1-win]]+ScenarioStat0[[#This Row],[team-2-win]]</f>
        <v>1</v>
      </c>
    </row>
    <row r="288" spans="1:7" x14ac:dyDescent="0.25">
      <c r="A288" t="s">
        <v>48</v>
      </c>
      <c r="B288" t="s">
        <v>43</v>
      </c>
      <c r="C2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8" t="s">
        <v>33</v>
      </c>
      <c r="E288" t="s">
        <v>38</v>
      </c>
      <c r="F2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8">
        <f>ScenarioStat0[[#This Row],[team-1-win]]+ScenarioStat0[[#This Row],[team-2-win]]</f>
        <v>1</v>
      </c>
    </row>
    <row r="289" spans="1:7" x14ac:dyDescent="0.25">
      <c r="A289" t="s">
        <v>48</v>
      </c>
      <c r="B289" t="s">
        <v>43</v>
      </c>
      <c r="C2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9" t="s">
        <v>33</v>
      </c>
      <c r="E289" t="s">
        <v>227</v>
      </c>
      <c r="F2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9">
        <f>ScenarioStat0[[#This Row],[team-1-win]]+ScenarioStat0[[#This Row],[team-2-win]]</f>
        <v>1</v>
      </c>
    </row>
    <row r="290" spans="1:7" x14ac:dyDescent="0.25">
      <c r="A290" t="s">
        <v>48</v>
      </c>
      <c r="B290" t="s">
        <v>43</v>
      </c>
      <c r="C29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0" t="s">
        <v>45</v>
      </c>
      <c r="E290" t="s">
        <v>63</v>
      </c>
      <c r="F2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0">
        <f>ScenarioStat0[[#This Row],[team-1-win]]+ScenarioStat0[[#This Row],[team-2-win]]</f>
        <v>1</v>
      </c>
    </row>
    <row r="291" spans="1:7" x14ac:dyDescent="0.25">
      <c r="A291" t="s">
        <v>48</v>
      </c>
      <c r="B291" t="s">
        <v>43</v>
      </c>
      <c r="C2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1" t="s">
        <v>45</v>
      </c>
      <c r="E291" t="s">
        <v>38</v>
      </c>
      <c r="F2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1">
        <f>ScenarioStat0[[#This Row],[team-1-win]]+ScenarioStat0[[#This Row],[team-2-win]]</f>
        <v>1</v>
      </c>
    </row>
    <row r="292" spans="1:7" x14ac:dyDescent="0.25">
      <c r="A292" t="s">
        <v>48</v>
      </c>
      <c r="B292" t="s">
        <v>43</v>
      </c>
      <c r="C2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2" t="s">
        <v>45</v>
      </c>
      <c r="E292" t="s">
        <v>227</v>
      </c>
      <c r="F2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2">
        <f>ScenarioStat0[[#This Row],[team-1-win]]+ScenarioStat0[[#This Row],[team-2-win]]</f>
        <v>1</v>
      </c>
    </row>
    <row r="293" spans="1:7" x14ac:dyDescent="0.25">
      <c r="A293" t="s">
        <v>48</v>
      </c>
      <c r="B293" t="s">
        <v>43</v>
      </c>
      <c r="C2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3" t="s">
        <v>63</v>
      </c>
      <c r="E293" t="s">
        <v>38</v>
      </c>
      <c r="F2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3">
        <f>ScenarioStat0[[#This Row],[team-1-win]]+ScenarioStat0[[#This Row],[team-2-win]]</f>
        <v>1</v>
      </c>
    </row>
    <row r="294" spans="1:7" x14ac:dyDescent="0.25">
      <c r="A294" t="s">
        <v>48</v>
      </c>
      <c r="B294" t="s">
        <v>43</v>
      </c>
      <c r="C2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4" t="s">
        <v>63</v>
      </c>
      <c r="E294" t="s">
        <v>227</v>
      </c>
      <c r="F2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4">
        <f>ScenarioStat0[[#This Row],[team-1-win]]+ScenarioStat0[[#This Row],[team-2-win]]</f>
        <v>1</v>
      </c>
    </row>
    <row r="295" spans="1:7" x14ac:dyDescent="0.25">
      <c r="A295" t="s">
        <v>48</v>
      </c>
      <c r="B295" t="s">
        <v>43</v>
      </c>
      <c r="C2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5" t="s">
        <v>38</v>
      </c>
      <c r="E295" t="s">
        <v>227</v>
      </c>
      <c r="F2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5">
        <f>ScenarioStat0[[#This Row],[team-1-win]]+ScenarioStat0[[#This Row],[team-2-win]]</f>
        <v>1</v>
      </c>
    </row>
    <row r="296" spans="1:7" x14ac:dyDescent="0.25">
      <c r="A296" t="s">
        <v>48</v>
      </c>
      <c r="B296" t="s">
        <v>45</v>
      </c>
      <c r="C2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6" t="s">
        <v>33</v>
      </c>
      <c r="E296" t="s">
        <v>43</v>
      </c>
      <c r="F29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6">
        <f>ScenarioStat0[[#This Row],[team-1-win]]+ScenarioStat0[[#This Row],[team-2-win]]</f>
        <v>1</v>
      </c>
    </row>
    <row r="297" spans="1:7" x14ac:dyDescent="0.25">
      <c r="A297" t="s">
        <v>48</v>
      </c>
      <c r="B297" t="s">
        <v>45</v>
      </c>
      <c r="C2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7" t="s">
        <v>33</v>
      </c>
      <c r="E297" t="s">
        <v>63</v>
      </c>
      <c r="F2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7">
        <f>ScenarioStat0[[#This Row],[team-1-win]]+ScenarioStat0[[#This Row],[team-2-win]]</f>
        <v>1</v>
      </c>
    </row>
    <row r="298" spans="1:7" x14ac:dyDescent="0.25">
      <c r="A298" t="s">
        <v>48</v>
      </c>
      <c r="B298" t="s">
        <v>45</v>
      </c>
      <c r="C2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8" t="s">
        <v>33</v>
      </c>
      <c r="E298" t="s">
        <v>38</v>
      </c>
      <c r="F2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8">
        <f>ScenarioStat0[[#This Row],[team-1-win]]+ScenarioStat0[[#This Row],[team-2-win]]</f>
        <v>1</v>
      </c>
    </row>
    <row r="299" spans="1:7" x14ac:dyDescent="0.25">
      <c r="A299" t="s">
        <v>48</v>
      </c>
      <c r="B299" t="s">
        <v>45</v>
      </c>
      <c r="C2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99" t="s">
        <v>33</v>
      </c>
      <c r="E299" t="s">
        <v>227</v>
      </c>
      <c r="F2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9">
        <f>ScenarioStat0[[#This Row],[team-1-win]]+ScenarioStat0[[#This Row],[team-2-win]]</f>
        <v>1</v>
      </c>
    </row>
    <row r="300" spans="1:7" x14ac:dyDescent="0.25">
      <c r="A300" t="s">
        <v>48</v>
      </c>
      <c r="B300" t="s">
        <v>45</v>
      </c>
      <c r="C3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0" t="s">
        <v>43</v>
      </c>
      <c r="E300" t="s">
        <v>63</v>
      </c>
      <c r="F3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0">
        <f>ScenarioStat0[[#This Row],[team-1-win]]+ScenarioStat0[[#This Row],[team-2-win]]</f>
        <v>1</v>
      </c>
    </row>
    <row r="301" spans="1:7" x14ac:dyDescent="0.25">
      <c r="A301" t="s">
        <v>48</v>
      </c>
      <c r="B301" t="s">
        <v>45</v>
      </c>
      <c r="C3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1" t="s">
        <v>43</v>
      </c>
      <c r="E301" t="s">
        <v>38</v>
      </c>
      <c r="F3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1">
        <f>ScenarioStat0[[#This Row],[team-1-win]]+ScenarioStat0[[#This Row],[team-2-win]]</f>
        <v>1</v>
      </c>
    </row>
    <row r="302" spans="1:7" x14ac:dyDescent="0.25">
      <c r="A302" t="s">
        <v>48</v>
      </c>
      <c r="B302" t="s">
        <v>45</v>
      </c>
      <c r="C3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2" t="s">
        <v>43</v>
      </c>
      <c r="E302" t="s">
        <v>227</v>
      </c>
      <c r="F3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2">
        <f>ScenarioStat0[[#This Row],[team-1-win]]+ScenarioStat0[[#This Row],[team-2-win]]</f>
        <v>1</v>
      </c>
    </row>
    <row r="303" spans="1:7" x14ac:dyDescent="0.25">
      <c r="A303" t="s">
        <v>48</v>
      </c>
      <c r="B303" t="s">
        <v>45</v>
      </c>
      <c r="C3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3" t="s">
        <v>63</v>
      </c>
      <c r="E303" t="s">
        <v>38</v>
      </c>
      <c r="F3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3">
        <f>ScenarioStat0[[#This Row],[team-1-win]]+ScenarioStat0[[#This Row],[team-2-win]]</f>
        <v>1</v>
      </c>
    </row>
    <row r="304" spans="1:7" x14ac:dyDescent="0.25">
      <c r="A304" t="s">
        <v>48</v>
      </c>
      <c r="B304" t="s">
        <v>45</v>
      </c>
      <c r="C3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4" t="s">
        <v>63</v>
      </c>
      <c r="E304" t="s">
        <v>227</v>
      </c>
      <c r="F3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4">
        <f>ScenarioStat0[[#This Row],[team-1-win]]+ScenarioStat0[[#This Row],[team-2-win]]</f>
        <v>1</v>
      </c>
    </row>
    <row r="305" spans="1:7" x14ac:dyDescent="0.25">
      <c r="A305" t="s">
        <v>48</v>
      </c>
      <c r="B305" t="s">
        <v>45</v>
      </c>
      <c r="C3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5" t="s">
        <v>38</v>
      </c>
      <c r="E305" t="s">
        <v>227</v>
      </c>
      <c r="F3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5">
        <f>ScenarioStat0[[#This Row],[team-1-win]]+ScenarioStat0[[#This Row],[team-2-win]]</f>
        <v>1</v>
      </c>
    </row>
    <row r="306" spans="1:7" x14ac:dyDescent="0.25">
      <c r="A306" t="s">
        <v>48</v>
      </c>
      <c r="B306" t="s">
        <v>63</v>
      </c>
      <c r="C3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6" t="s">
        <v>33</v>
      </c>
      <c r="E306" t="s">
        <v>43</v>
      </c>
      <c r="F3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6">
        <f>ScenarioStat0[[#This Row],[team-1-win]]+ScenarioStat0[[#This Row],[team-2-win]]</f>
        <v>1</v>
      </c>
    </row>
    <row r="307" spans="1:7" x14ac:dyDescent="0.25">
      <c r="A307" t="s">
        <v>48</v>
      </c>
      <c r="B307" t="s">
        <v>63</v>
      </c>
      <c r="C3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7" t="s">
        <v>33</v>
      </c>
      <c r="E307" t="s">
        <v>45</v>
      </c>
      <c r="F3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7">
        <f>ScenarioStat0[[#This Row],[team-1-win]]+ScenarioStat0[[#This Row],[team-2-win]]</f>
        <v>1</v>
      </c>
    </row>
    <row r="308" spans="1:7" x14ac:dyDescent="0.25">
      <c r="A308" t="s">
        <v>48</v>
      </c>
      <c r="B308" t="s">
        <v>63</v>
      </c>
      <c r="C3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8" t="s">
        <v>33</v>
      </c>
      <c r="E308" t="s">
        <v>38</v>
      </c>
      <c r="F3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8">
        <f>ScenarioStat0[[#This Row],[team-1-win]]+ScenarioStat0[[#This Row],[team-2-win]]</f>
        <v>1</v>
      </c>
    </row>
    <row r="309" spans="1:7" x14ac:dyDescent="0.25">
      <c r="A309" t="s">
        <v>48</v>
      </c>
      <c r="B309" t="s">
        <v>63</v>
      </c>
      <c r="C3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9" t="s">
        <v>33</v>
      </c>
      <c r="E309" t="s">
        <v>227</v>
      </c>
      <c r="F3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9">
        <f>ScenarioStat0[[#This Row],[team-1-win]]+ScenarioStat0[[#This Row],[team-2-win]]</f>
        <v>1</v>
      </c>
    </row>
    <row r="310" spans="1:7" x14ac:dyDescent="0.25">
      <c r="A310" t="s">
        <v>48</v>
      </c>
      <c r="B310" t="s">
        <v>63</v>
      </c>
      <c r="C3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0" t="s">
        <v>43</v>
      </c>
      <c r="E310" t="s">
        <v>45</v>
      </c>
      <c r="F3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0">
        <f>ScenarioStat0[[#This Row],[team-1-win]]+ScenarioStat0[[#This Row],[team-2-win]]</f>
        <v>1</v>
      </c>
    </row>
    <row r="311" spans="1:7" x14ac:dyDescent="0.25">
      <c r="A311" t="s">
        <v>48</v>
      </c>
      <c r="B311" t="s">
        <v>63</v>
      </c>
      <c r="C3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1" t="s">
        <v>43</v>
      </c>
      <c r="E311" t="s">
        <v>38</v>
      </c>
      <c r="F3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1">
        <f>ScenarioStat0[[#This Row],[team-1-win]]+ScenarioStat0[[#This Row],[team-2-win]]</f>
        <v>1</v>
      </c>
    </row>
    <row r="312" spans="1:7" x14ac:dyDescent="0.25">
      <c r="A312" t="s">
        <v>48</v>
      </c>
      <c r="B312" t="s">
        <v>63</v>
      </c>
      <c r="C3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2" t="s">
        <v>43</v>
      </c>
      <c r="E312" t="s">
        <v>227</v>
      </c>
      <c r="F3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2">
        <f>ScenarioStat0[[#This Row],[team-1-win]]+ScenarioStat0[[#This Row],[team-2-win]]</f>
        <v>1</v>
      </c>
    </row>
    <row r="313" spans="1:7" x14ac:dyDescent="0.25">
      <c r="A313" t="s">
        <v>48</v>
      </c>
      <c r="B313" t="s">
        <v>63</v>
      </c>
      <c r="C3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3" t="s">
        <v>45</v>
      </c>
      <c r="E313" t="s">
        <v>38</v>
      </c>
      <c r="F3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3">
        <f>ScenarioStat0[[#This Row],[team-1-win]]+ScenarioStat0[[#This Row],[team-2-win]]</f>
        <v>1</v>
      </c>
    </row>
    <row r="314" spans="1:7" x14ac:dyDescent="0.25">
      <c r="A314" t="s">
        <v>48</v>
      </c>
      <c r="B314" t="s">
        <v>63</v>
      </c>
      <c r="C3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4" t="s">
        <v>45</v>
      </c>
      <c r="E314" t="s">
        <v>227</v>
      </c>
      <c r="F3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4">
        <f>ScenarioStat0[[#This Row],[team-1-win]]+ScenarioStat0[[#This Row],[team-2-win]]</f>
        <v>1</v>
      </c>
    </row>
    <row r="315" spans="1:7" x14ac:dyDescent="0.25">
      <c r="A315" t="s">
        <v>48</v>
      </c>
      <c r="B315" t="s">
        <v>63</v>
      </c>
      <c r="C3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5" t="s">
        <v>38</v>
      </c>
      <c r="E315" t="s">
        <v>227</v>
      </c>
      <c r="F3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5">
        <f>ScenarioStat0[[#This Row],[team-1-win]]+ScenarioStat0[[#This Row],[team-2-win]]</f>
        <v>1</v>
      </c>
    </row>
    <row r="316" spans="1:7" x14ac:dyDescent="0.25">
      <c r="A316" t="s">
        <v>48</v>
      </c>
      <c r="B316" t="s">
        <v>38</v>
      </c>
      <c r="C3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6" t="s">
        <v>33</v>
      </c>
      <c r="E316" t="s">
        <v>43</v>
      </c>
      <c r="F3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6">
        <f>ScenarioStat0[[#This Row],[team-1-win]]+ScenarioStat0[[#This Row],[team-2-win]]</f>
        <v>1</v>
      </c>
    </row>
    <row r="317" spans="1:7" x14ac:dyDescent="0.25">
      <c r="A317" t="s">
        <v>48</v>
      </c>
      <c r="B317" t="s">
        <v>38</v>
      </c>
      <c r="C3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7" t="s">
        <v>33</v>
      </c>
      <c r="E317" t="s">
        <v>45</v>
      </c>
      <c r="F3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7">
        <f>ScenarioStat0[[#This Row],[team-1-win]]+ScenarioStat0[[#This Row],[team-2-win]]</f>
        <v>1</v>
      </c>
    </row>
    <row r="318" spans="1:7" x14ac:dyDescent="0.25">
      <c r="A318" t="s">
        <v>48</v>
      </c>
      <c r="B318" t="s">
        <v>38</v>
      </c>
      <c r="C3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8" t="s">
        <v>33</v>
      </c>
      <c r="E318" t="s">
        <v>63</v>
      </c>
      <c r="F3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8">
        <f>ScenarioStat0[[#This Row],[team-1-win]]+ScenarioStat0[[#This Row],[team-2-win]]</f>
        <v>1</v>
      </c>
    </row>
    <row r="319" spans="1:7" x14ac:dyDescent="0.25">
      <c r="A319" t="s">
        <v>48</v>
      </c>
      <c r="B319" t="s">
        <v>38</v>
      </c>
      <c r="C3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9" t="s">
        <v>33</v>
      </c>
      <c r="E319" t="s">
        <v>227</v>
      </c>
      <c r="F3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9">
        <f>ScenarioStat0[[#This Row],[team-1-win]]+ScenarioStat0[[#This Row],[team-2-win]]</f>
        <v>1</v>
      </c>
    </row>
    <row r="320" spans="1:7" x14ac:dyDescent="0.25">
      <c r="A320" t="s">
        <v>48</v>
      </c>
      <c r="B320" t="s">
        <v>38</v>
      </c>
      <c r="C3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0" t="s">
        <v>43</v>
      </c>
      <c r="E320" t="s">
        <v>45</v>
      </c>
      <c r="F3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0">
        <f>ScenarioStat0[[#This Row],[team-1-win]]+ScenarioStat0[[#This Row],[team-2-win]]</f>
        <v>1</v>
      </c>
    </row>
    <row r="321" spans="1:7" x14ac:dyDescent="0.25">
      <c r="A321" t="s">
        <v>48</v>
      </c>
      <c r="B321" t="s">
        <v>38</v>
      </c>
      <c r="C3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1" t="s">
        <v>43</v>
      </c>
      <c r="E321" t="s">
        <v>63</v>
      </c>
      <c r="F3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1">
        <f>ScenarioStat0[[#This Row],[team-1-win]]+ScenarioStat0[[#This Row],[team-2-win]]</f>
        <v>1</v>
      </c>
    </row>
    <row r="322" spans="1:7" x14ac:dyDescent="0.25">
      <c r="A322" t="s">
        <v>48</v>
      </c>
      <c r="B322" t="s">
        <v>38</v>
      </c>
      <c r="C3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2" t="s">
        <v>43</v>
      </c>
      <c r="E322" t="s">
        <v>227</v>
      </c>
      <c r="F3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2">
        <f>ScenarioStat0[[#This Row],[team-1-win]]+ScenarioStat0[[#This Row],[team-2-win]]</f>
        <v>1</v>
      </c>
    </row>
    <row r="323" spans="1:7" x14ac:dyDescent="0.25">
      <c r="A323" t="s">
        <v>48</v>
      </c>
      <c r="B323" t="s">
        <v>38</v>
      </c>
      <c r="C3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3" t="s">
        <v>45</v>
      </c>
      <c r="E323" t="s">
        <v>63</v>
      </c>
      <c r="F3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3">
        <f>ScenarioStat0[[#This Row],[team-1-win]]+ScenarioStat0[[#This Row],[team-2-win]]</f>
        <v>1</v>
      </c>
    </row>
    <row r="324" spans="1:7" x14ac:dyDescent="0.25">
      <c r="A324" t="s">
        <v>48</v>
      </c>
      <c r="B324" t="s">
        <v>38</v>
      </c>
      <c r="C32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4" t="s">
        <v>45</v>
      </c>
      <c r="E324" t="s">
        <v>227</v>
      </c>
      <c r="F3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4">
        <f>ScenarioStat0[[#This Row],[team-1-win]]+ScenarioStat0[[#This Row],[team-2-win]]</f>
        <v>1</v>
      </c>
    </row>
    <row r="325" spans="1:7" x14ac:dyDescent="0.25">
      <c r="A325" t="s">
        <v>48</v>
      </c>
      <c r="B325" t="s">
        <v>38</v>
      </c>
      <c r="C3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5" t="s">
        <v>63</v>
      </c>
      <c r="E325" t="s">
        <v>227</v>
      </c>
      <c r="F3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5">
        <f>ScenarioStat0[[#This Row],[team-1-win]]+ScenarioStat0[[#This Row],[team-2-win]]</f>
        <v>1</v>
      </c>
    </row>
    <row r="326" spans="1:7" x14ac:dyDescent="0.25">
      <c r="A326" t="s">
        <v>48</v>
      </c>
      <c r="B326" t="s">
        <v>227</v>
      </c>
      <c r="C3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6" t="s">
        <v>33</v>
      </c>
      <c r="E326" t="s">
        <v>43</v>
      </c>
      <c r="F3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6">
        <f>ScenarioStat0[[#This Row],[team-1-win]]+ScenarioStat0[[#This Row],[team-2-win]]</f>
        <v>1</v>
      </c>
    </row>
    <row r="327" spans="1:7" x14ac:dyDescent="0.25">
      <c r="A327" t="s">
        <v>48</v>
      </c>
      <c r="B327" t="s">
        <v>227</v>
      </c>
      <c r="C3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7" t="s">
        <v>33</v>
      </c>
      <c r="E327" t="s">
        <v>45</v>
      </c>
      <c r="F3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7">
        <f>ScenarioStat0[[#This Row],[team-1-win]]+ScenarioStat0[[#This Row],[team-2-win]]</f>
        <v>1</v>
      </c>
    </row>
    <row r="328" spans="1:7" x14ac:dyDescent="0.25">
      <c r="A328" t="s">
        <v>48</v>
      </c>
      <c r="B328" t="s">
        <v>227</v>
      </c>
      <c r="C32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8" t="s">
        <v>33</v>
      </c>
      <c r="E328" t="s">
        <v>63</v>
      </c>
      <c r="F3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8">
        <f>ScenarioStat0[[#This Row],[team-1-win]]+ScenarioStat0[[#This Row],[team-2-win]]</f>
        <v>1</v>
      </c>
    </row>
    <row r="329" spans="1:7" x14ac:dyDescent="0.25">
      <c r="A329" t="s">
        <v>48</v>
      </c>
      <c r="B329" t="s">
        <v>227</v>
      </c>
      <c r="C3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9" t="s">
        <v>33</v>
      </c>
      <c r="E329" t="s">
        <v>38</v>
      </c>
      <c r="F3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9">
        <f>ScenarioStat0[[#This Row],[team-1-win]]+ScenarioStat0[[#This Row],[team-2-win]]</f>
        <v>1</v>
      </c>
    </row>
    <row r="330" spans="1:7" x14ac:dyDescent="0.25">
      <c r="A330" t="s">
        <v>48</v>
      </c>
      <c r="B330" t="s">
        <v>227</v>
      </c>
      <c r="C3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0" t="s">
        <v>43</v>
      </c>
      <c r="E330" t="s">
        <v>45</v>
      </c>
      <c r="F3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0">
        <f>ScenarioStat0[[#This Row],[team-1-win]]+ScenarioStat0[[#This Row],[team-2-win]]</f>
        <v>1</v>
      </c>
    </row>
    <row r="331" spans="1:7" x14ac:dyDescent="0.25">
      <c r="A331" t="s">
        <v>48</v>
      </c>
      <c r="B331" t="s">
        <v>227</v>
      </c>
      <c r="C3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1" t="s">
        <v>43</v>
      </c>
      <c r="E331" t="s">
        <v>63</v>
      </c>
      <c r="F3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1">
        <f>ScenarioStat0[[#This Row],[team-1-win]]+ScenarioStat0[[#This Row],[team-2-win]]</f>
        <v>1</v>
      </c>
    </row>
    <row r="332" spans="1:7" x14ac:dyDescent="0.25">
      <c r="A332" t="s">
        <v>48</v>
      </c>
      <c r="B332" t="s">
        <v>227</v>
      </c>
      <c r="C3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2" t="s">
        <v>43</v>
      </c>
      <c r="E332" t="s">
        <v>38</v>
      </c>
      <c r="F3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2">
        <f>ScenarioStat0[[#This Row],[team-1-win]]+ScenarioStat0[[#This Row],[team-2-win]]</f>
        <v>1</v>
      </c>
    </row>
    <row r="333" spans="1:7" x14ac:dyDescent="0.25">
      <c r="A333" t="s">
        <v>48</v>
      </c>
      <c r="B333" t="s">
        <v>227</v>
      </c>
      <c r="C3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3" t="s">
        <v>45</v>
      </c>
      <c r="E333" t="s">
        <v>63</v>
      </c>
      <c r="F3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3">
        <f>ScenarioStat0[[#This Row],[team-1-win]]+ScenarioStat0[[#This Row],[team-2-win]]</f>
        <v>1</v>
      </c>
    </row>
    <row r="334" spans="1:7" x14ac:dyDescent="0.25">
      <c r="A334" t="s">
        <v>48</v>
      </c>
      <c r="B334" t="s">
        <v>227</v>
      </c>
      <c r="C3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4" t="s">
        <v>45</v>
      </c>
      <c r="E334" t="s">
        <v>38</v>
      </c>
      <c r="F3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4">
        <f>ScenarioStat0[[#This Row],[team-1-win]]+ScenarioStat0[[#This Row],[team-2-win]]</f>
        <v>1</v>
      </c>
    </row>
    <row r="335" spans="1:7" x14ac:dyDescent="0.25">
      <c r="A335" t="s">
        <v>48</v>
      </c>
      <c r="B335" t="s">
        <v>227</v>
      </c>
      <c r="C3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5" t="s">
        <v>63</v>
      </c>
      <c r="E335" t="s">
        <v>38</v>
      </c>
      <c r="F3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5">
        <f>ScenarioStat0[[#This Row],[team-1-win]]+ScenarioStat0[[#This Row],[team-2-win]]</f>
        <v>1</v>
      </c>
    </row>
    <row r="336" spans="1:7" x14ac:dyDescent="0.25">
      <c r="A336" t="s">
        <v>33</v>
      </c>
      <c r="B336" t="s">
        <v>43</v>
      </c>
      <c r="C3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6" t="s">
        <v>45</v>
      </c>
      <c r="E336" t="s">
        <v>63</v>
      </c>
      <c r="F3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6">
        <f>ScenarioStat0[[#This Row],[team-1-win]]+ScenarioStat0[[#This Row],[team-2-win]]</f>
        <v>1</v>
      </c>
    </row>
    <row r="337" spans="1:7" x14ac:dyDescent="0.25">
      <c r="A337" t="s">
        <v>33</v>
      </c>
      <c r="B337" t="s">
        <v>43</v>
      </c>
      <c r="C3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7" t="s">
        <v>45</v>
      </c>
      <c r="E337" t="s">
        <v>38</v>
      </c>
      <c r="F3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7">
        <f>ScenarioStat0[[#This Row],[team-1-win]]+ScenarioStat0[[#This Row],[team-2-win]]</f>
        <v>1</v>
      </c>
    </row>
    <row r="338" spans="1:7" x14ac:dyDescent="0.25">
      <c r="A338" t="s">
        <v>33</v>
      </c>
      <c r="B338" t="s">
        <v>43</v>
      </c>
      <c r="C3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8" t="s">
        <v>45</v>
      </c>
      <c r="E338" t="s">
        <v>227</v>
      </c>
      <c r="F3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8">
        <f>ScenarioStat0[[#This Row],[team-1-win]]+ScenarioStat0[[#This Row],[team-2-win]]</f>
        <v>1</v>
      </c>
    </row>
    <row r="339" spans="1:7" x14ac:dyDescent="0.25">
      <c r="A339" t="s">
        <v>33</v>
      </c>
      <c r="B339" t="s">
        <v>43</v>
      </c>
      <c r="C3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9" t="s">
        <v>63</v>
      </c>
      <c r="E339" t="s">
        <v>38</v>
      </c>
      <c r="F3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9">
        <f>ScenarioStat0[[#This Row],[team-1-win]]+ScenarioStat0[[#This Row],[team-2-win]]</f>
        <v>1</v>
      </c>
    </row>
    <row r="340" spans="1:7" x14ac:dyDescent="0.25">
      <c r="A340" t="s">
        <v>33</v>
      </c>
      <c r="B340" t="s">
        <v>43</v>
      </c>
      <c r="C3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0" t="s">
        <v>63</v>
      </c>
      <c r="E340" t="s">
        <v>227</v>
      </c>
      <c r="F3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0">
        <f>ScenarioStat0[[#This Row],[team-1-win]]+ScenarioStat0[[#This Row],[team-2-win]]</f>
        <v>1</v>
      </c>
    </row>
    <row r="341" spans="1:7" x14ac:dyDescent="0.25">
      <c r="A341" t="s">
        <v>33</v>
      </c>
      <c r="B341" t="s">
        <v>43</v>
      </c>
      <c r="C3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1" t="s">
        <v>38</v>
      </c>
      <c r="E341" t="s">
        <v>227</v>
      </c>
      <c r="F3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1">
        <f>ScenarioStat0[[#This Row],[team-1-win]]+ScenarioStat0[[#This Row],[team-2-win]]</f>
        <v>1</v>
      </c>
    </row>
    <row r="342" spans="1:7" x14ac:dyDescent="0.25">
      <c r="A342" t="s">
        <v>33</v>
      </c>
      <c r="B342" t="s">
        <v>45</v>
      </c>
      <c r="C3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2" t="s">
        <v>43</v>
      </c>
      <c r="E342" t="s">
        <v>63</v>
      </c>
      <c r="F3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2">
        <f>ScenarioStat0[[#This Row],[team-1-win]]+ScenarioStat0[[#This Row],[team-2-win]]</f>
        <v>1</v>
      </c>
    </row>
    <row r="343" spans="1:7" x14ac:dyDescent="0.25">
      <c r="A343" t="s">
        <v>33</v>
      </c>
      <c r="B343" t="s">
        <v>45</v>
      </c>
      <c r="C3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3" t="s">
        <v>43</v>
      </c>
      <c r="E343" t="s">
        <v>38</v>
      </c>
      <c r="F3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3">
        <f>ScenarioStat0[[#This Row],[team-1-win]]+ScenarioStat0[[#This Row],[team-2-win]]</f>
        <v>1</v>
      </c>
    </row>
    <row r="344" spans="1:7" x14ac:dyDescent="0.25">
      <c r="A344" t="s">
        <v>33</v>
      </c>
      <c r="B344" t="s">
        <v>45</v>
      </c>
      <c r="C3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4" t="s">
        <v>43</v>
      </c>
      <c r="E344" t="s">
        <v>227</v>
      </c>
      <c r="F3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4">
        <f>ScenarioStat0[[#This Row],[team-1-win]]+ScenarioStat0[[#This Row],[team-2-win]]</f>
        <v>1</v>
      </c>
    </row>
    <row r="345" spans="1:7" x14ac:dyDescent="0.25">
      <c r="A345" t="s">
        <v>33</v>
      </c>
      <c r="B345" t="s">
        <v>45</v>
      </c>
      <c r="C3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5" t="s">
        <v>63</v>
      </c>
      <c r="E345" t="s">
        <v>38</v>
      </c>
      <c r="F3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5">
        <f>ScenarioStat0[[#This Row],[team-1-win]]+ScenarioStat0[[#This Row],[team-2-win]]</f>
        <v>1</v>
      </c>
    </row>
    <row r="346" spans="1:7" x14ac:dyDescent="0.25">
      <c r="A346" t="s">
        <v>33</v>
      </c>
      <c r="B346" t="s">
        <v>45</v>
      </c>
      <c r="C3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6" t="s">
        <v>63</v>
      </c>
      <c r="E346" t="s">
        <v>227</v>
      </c>
      <c r="F3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6">
        <f>ScenarioStat0[[#This Row],[team-1-win]]+ScenarioStat0[[#This Row],[team-2-win]]</f>
        <v>1</v>
      </c>
    </row>
    <row r="347" spans="1:7" x14ac:dyDescent="0.25">
      <c r="A347" t="s">
        <v>33</v>
      </c>
      <c r="B347" t="s">
        <v>45</v>
      </c>
      <c r="C3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7" t="s">
        <v>38</v>
      </c>
      <c r="E347" t="s">
        <v>227</v>
      </c>
      <c r="F3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7">
        <f>ScenarioStat0[[#This Row],[team-1-win]]+ScenarioStat0[[#This Row],[team-2-win]]</f>
        <v>1</v>
      </c>
    </row>
    <row r="348" spans="1:7" x14ac:dyDescent="0.25">
      <c r="A348" t="s">
        <v>33</v>
      </c>
      <c r="B348" t="s">
        <v>63</v>
      </c>
      <c r="C3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8" t="s">
        <v>43</v>
      </c>
      <c r="E348" t="s">
        <v>45</v>
      </c>
      <c r="F3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8">
        <f>ScenarioStat0[[#This Row],[team-1-win]]+ScenarioStat0[[#This Row],[team-2-win]]</f>
        <v>1</v>
      </c>
    </row>
    <row r="349" spans="1:7" x14ac:dyDescent="0.25">
      <c r="A349" t="s">
        <v>33</v>
      </c>
      <c r="B349" t="s">
        <v>63</v>
      </c>
      <c r="C3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49" t="s">
        <v>43</v>
      </c>
      <c r="E349" t="s">
        <v>38</v>
      </c>
      <c r="F3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9">
        <f>ScenarioStat0[[#This Row],[team-1-win]]+ScenarioStat0[[#This Row],[team-2-win]]</f>
        <v>1</v>
      </c>
    </row>
    <row r="350" spans="1:7" x14ac:dyDescent="0.25">
      <c r="A350" t="s">
        <v>33</v>
      </c>
      <c r="B350" t="s">
        <v>63</v>
      </c>
      <c r="C3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0" t="s">
        <v>43</v>
      </c>
      <c r="E350" t="s">
        <v>227</v>
      </c>
      <c r="F3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0">
        <f>ScenarioStat0[[#This Row],[team-1-win]]+ScenarioStat0[[#This Row],[team-2-win]]</f>
        <v>1</v>
      </c>
    </row>
    <row r="351" spans="1:7" x14ac:dyDescent="0.25">
      <c r="A351" t="s">
        <v>33</v>
      </c>
      <c r="B351" t="s">
        <v>63</v>
      </c>
      <c r="C3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1" t="s">
        <v>45</v>
      </c>
      <c r="E351" t="s">
        <v>38</v>
      </c>
      <c r="F3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1">
        <f>ScenarioStat0[[#This Row],[team-1-win]]+ScenarioStat0[[#This Row],[team-2-win]]</f>
        <v>1</v>
      </c>
    </row>
    <row r="352" spans="1:7" x14ac:dyDescent="0.25">
      <c r="A352" t="s">
        <v>33</v>
      </c>
      <c r="B352" t="s">
        <v>63</v>
      </c>
      <c r="C3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2" t="s">
        <v>45</v>
      </c>
      <c r="E352" t="s">
        <v>227</v>
      </c>
      <c r="F3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2">
        <f>ScenarioStat0[[#This Row],[team-1-win]]+ScenarioStat0[[#This Row],[team-2-win]]</f>
        <v>1</v>
      </c>
    </row>
    <row r="353" spans="1:7" x14ac:dyDescent="0.25">
      <c r="A353" t="s">
        <v>33</v>
      </c>
      <c r="B353" t="s">
        <v>63</v>
      </c>
      <c r="C3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3" t="s">
        <v>38</v>
      </c>
      <c r="E353" t="s">
        <v>227</v>
      </c>
      <c r="F3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3">
        <f>ScenarioStat0[[#This Row],[team-1-win]]+ScenarioStat0[[#This Row],[team-2-win]]</f>
        <v>1</v>
      </c>
    </row>
    <row r="354" spans="1:7" x14ac:dyDescent="0.25">
      <c r="A354" t="s">
        <v>33</v>
      </c>
      <c r="B354" t="s">
        <v>38</v>
      </c>
      <c r="C3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4" t="s">
        <v>43</v>
      </c>
      <c r="E354" t="s">
        <v>45</v>
      </c>
      <c r="F3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4">
        <f>ScenarioStat0[[#This Row],[team-1-win]]+ScenarioStat0[[#This Row],[team-2-win]]</f>
        <v>1</v>
      </c>
    </row>
    <row r="355" spans="1:7" x14ac:dyDescent="0.25">
      <c r="A355" t="s">
        <v>33</v>
      </c>
      <c r="B355" t="s">
        <v>38</v>
      </c>
      <c r="C3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5" t="s">
        <v>43</v>
      </c>
      <c r="E355" t="s">
        <v>63</v>
      </c>
      <c r="F3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5">
        <f>ScenarioStat0[[#This Row],[team-1-win]]+ScenarioStat0[[#This Row],[team-2-win]]</f>
        <v>1</v>
      </c>
    </row>
    <row r="356" spans="1:7" x14ac:dyDescent="0.25">
      <c r="A356" t="s">
        <v>33</v>
      </c>
      <c r="B356" t="s">
        <v>38</v>
      </c>
      <c r="C3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6" t="s">
        <v>43</v>
      </c>
      <c r="E356" t="s">
        <v>227</v>
      </c>
      <c r="F3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6">
        <f>ScenarioStat0[[#This Row],[team-1-win]]+ScenarioStat0[[#This Row],[team-2-win]]</f>
        <v>1</v>
      </c>
    </row>
    <row r="357" spans="1:7" x14ac:dyDescent="0.25">
      <c r="A357" t="s">
        <v>33</v>
      </c>
      <c r="B357" t="s">
        <v>38</v>
      </c>
      <c r="C3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7" t="s">
        <v>45</v>
      </c>
      <c r="E357" t="s">
        <v>63</v>
      </c>
      <c r="F3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7">
        <f>ScenarioStat0[[#This Row],[team-1-win]]+ScenarioStat0[[#This Row],[team-2-win]]</f>
        <v>1</v>
      </c>
    </row>
    <row r="358" spans="1:7" x14ac:dyDescent="0.25">
      <c r="A358" t="s">
        <v>33</v>
      </c>
      <c r="B358" t="s">
        <v>38</v>
      </c>
      <c r="C3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8" t="s">
        <v>45</v>
      </c>
      <c r="E358" t="s">
        <v>227</v>
      </c>
      <c r="F3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8">
        <f>ScenarioStat0[[#This Row],[team-1-win]]+ScenarioStat0[[#This Row],[team-2-win]]</f>
        <v>1</v>
      </c>
    </row>
    <row r="359" spans="1:7" x14ac:dyDescent="0.25">
      <c r="A359" t="s">
        <v>33</v>
      </c>
      <c r="B359" t="s">
        <v>38</v>
      </c>
      <c r="C3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9" t="s">
        <v>63</v>
      </c>
      <c r="E359" t="s">
        <v>227</v>
      </c>
      <c r="F3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9">
        <f>ScenarioStat0[[#This Row],[team-1-win]]+ScenarioStat0[[#This Row],[team-2-win]]</f>
        <v>1</v>
      </c>
    </row>
    <row r="360" spans="1:7" x14ac:dyDescent="0.25">
      <c r="A360" t="s">
        <v>33</v>
      </c>
      <c r="B360" t="s">
        <v>227</v>
      </c>
      <c r="C3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0" t="s">
        <v>43</v>
      </c>
      <c r="E360" t="s">
        <v>45</v>
      </c>
      <c r="F3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0">
        <f>ScenarioStat0[[#This Row],[team-1-win]]+ScenarioStat0[[#This Row],[team-2-win]]</f>
        <v>1</v>
      </c>
    </row>
    <row r="361" spans="1:7" x14ac:dyDescent="0.25">
      <c r="A361" t="s">
        <v>33</v>
      </c>
      <c r="B361" t="s">
        <v>227</v>
      </c>
      <c r="C3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1" t="s">
        <v>43</v>
      </c>
      <c r="E361" t="s">
        <v>63</v>
      </c>
      <c r="F3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1">
        <f>ScenarioStat0[[#This Row],[team-1-win]]+ScenarioStat0[[#This Row],[team-2-win]]</f>
        <v>1</v>
      </c>
    </row>
    <row r="362" spans="1:7" x14ac:dyDescent="0.25">
      <c r="A362" t="s">
        <v>33</v>
      </c>
      <c r="B362" t="s">
        <v>227</v>
      </c>
      <c r="C3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2" t="s">
        <v>43</v>
      </c>
      <c r="E362" t="s">
        <v>38</v>
      </c>
      <c r="F3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2">
        <f>ScenarioStat0[[#This Row],[team-1-win]]+ScenarioStat0[[#This Row],[team-2-win]]</f>
        <v>1</v>
      </c>
    </row>
    <row r="363" spans="1:7" x14ac:dyDescent="0.25">
      <c r="A363" t="s">
        <v>33</v>
      </c>
      <c r="B363" t="s">
        <v>227</v>
      </c>
      <c r="C3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3" t="s">
        <v>45</v>
      </c>
      <c r="E363" t="s">
        <v>63</v>
      </c>
      <c r="F3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3">
        <f>ScenarioStat0[[#This Row],[team-1-win]]+ScenarioStat0[[#This Row],[team-2-win]]</f>
        <v>1</v>
      </c>
    </row>
    <row r="364" spans="1:7" x14ac:dyDescent="0.25">
      <c r="A364" t="s">
        <v>33</v>
      </c>
      <c r="B364" t="s">
        <v>227</v>
      </c>
      <c r="C3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4" t="s">
        <v>45</v>
      </c>
      <c r="E364" t="s">
        <v>38</v>
      </c>
      <c r="F3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4">
        <f>ScenarioStat0[[#This Row],[team-1-win]]+ScenarioStat0[[#This Row],[team-2-win]]</f>
        <v>1</v>
      </c>
    </row>
    <row r="365" spans="1:7" x14ac:dyDescent="0.25">
      <c r="A365" t="s">
        <v>33</v>
      </c>
      <c r="B365" t="s">
        <v>227</v>
      </c>
      <c r="C3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5" t="s">
        <v>63</v>
      </c>
      <c r="E365" t="s">
        <v>38</v>
      </c>
      <c r="F3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5">
        <f>ScenarioStat0[[#This Row],[team-1-win]]+ScenarioStat0[[#This Row],[team-2-win]]</f>
        <v>1</v>
      </c>
    </row>
    <row r="366" spans="1:7" x14ac:dyDescent="0.25">
      <c r="A366" t="s">
        <v>43</v>
      </c>
      <c r="B366" t="s">
        <v>45</v>
      </c>
      <c r="C3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6" t="s">
        <v>63</v>
      </c>
      <c r="E366" t="s">
        <v>38</v>
      </c>
      <c r="F3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6">
        <f>ScenarioStat0[[#This Row],[team-1-win]]+ScenarioStat0[[#This Row],[team-2-win]]</f>
        <v>1</v>
      </c>
    </row>
    <row r="367" spans="1:7" x14ac:dyDescent="0.25">
      <c r="A367" t="s">
        <v>43</v>
      </c>
      <c r="B367" t="s">
        <v>45</v>
      </c>
      <c r="C3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7" t="s">
        <v>63</v>
      </c>
      <c r="E367" t="s">
        <v>227</v>
      </c>
      <c r="F3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7">
        <f>ScenarioStat0[[#This Row],[team-1-win]]+ScenarioStat0[[#This Row],[team-2-win]]</f>
        <v>1</v>
      </c>
    </row>
    <row r="368" spans="1:7" x14ac:dyDescent="0.25">
      <c r="A368" t="s">
        <v>43</v>
      </c>
      <c r="B368" t="s">
        <v>45</v>
      </c>
      <c r="C3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8" t="s">
        <v>38</v>
      </c>
      <c r="E368" t="s">
        <v>227</v>
      </c>
      <c r="F3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8">
        <f>ScenarioStat0[[#This Row],[team-1-win]]+ScenarioStat0[[#This Row],[team-2-win]]</f>
        <v>1</v>
      </c>
    </row>
    <row r="369" spans="1:7" x14ac:dyDescent="0.25">
      <c r="A369" t="s">
        <v>43</v>
      </c>
      <c r="B369" t="s">
        <v>63</v>
      </c>
      <c r="C3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9" t="s">
        <v>45</v>
      </c>
      <c r="E369" t="s">
        <v>38</v>
      </c>
      <c r="F3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9">
        <f>ScenarioStat0[[#This Row],[team-1-win]]+ScenarioStat0[[#This Row],[team-2-win]]</f>
        <v>1</v>
      </c>
    </row>
    <row r="370" spans="1:7" x14ac:dyDescent="0.25">
      <c r="A370" t="s">
        <v>43</v>
      </c>
      <c r="B370" t="s">
        <v>63</v>
      </c>
      <c r="C3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0" t="s">
        <v>45</v>
      </c>
      <c r="E370" t="s">
        <v>227</v>
      </c>
      <c r="F3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0">
        <f>ScenarioStat0[[#This Row],[team-1-win]]+ScenarioStat0[[#This Row],[team-2-win]]</f>
        <v>1</v>
      </c>
    </row>
    <row r="371" spans="1:7" x14ac:dyDescent="0.25">
      <c r="A371" t="s">
        <v>43</v>
      </c>
      <c r="B371" t="s">
        <v>63</v>
      </c>
      <c r="C3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1" t="s">
        <v>38</v>
      </c>
      <c r="E371" t="s">
        <v>227</v>
      </c>
      <c r="F3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1">
        <f>ScenarioStat0[[#This Row],[team-1-win]]+ScenarioStat0[[#This Row],[team-2-win]]</f>
        <v>1</v>
      </c>
    </row>
    <row r="372" spans="1:7" x14ac:dyDescent="0.25">
      <c r="A372" t="s">
        <v>43</v>
      </c>
      <c r="B372" t="s">
        <v>38</v>
      </c>
      <c r="C3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2" t="s">
        <v>45</v>
      </c>
      <c r="E372" t="s">
        <v>63</v>
      </c>
      <c r="F3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2">
        <f>ScenarioStat0[[#This Row],[team-1-win]]+ScenarioStat0[[#This Row],[team-2-win]]</f>
        <v>1</v>
      </c>
    </row>
    <row r="373" spans="1:7" x14ac:dyDescent="0.25">
      <c r="A373" t="s">
        <v>43</v>
      </c>
      <c r="B373" t="s">
        <v>38</v>
      </c>
      <c r="C3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3" t="s">
        <v>45</v>
      </c>
      <c r="E373" t="s">
        <v>227</v>
      </c>
      <c r="F3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3">
        <f>ScenarioStat0[[#This Row],[team-1-win]]+ScenarioStat0[[#This Row],[team-2-win]]</f>
        <v>1</v>
      </c>
    </row>
    <row r="374" spans="1:7" x14ac:dyDescent="0.25">
      <c r="A374" t="s">
        <v>43</v>
      </c>
      <c r="B374" t="s">
        <v>38</v>
      </c>
      <c r="C3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4" t="s">
        <v>63</v>
      </c>
      <c r="E374" t="s">
        <v>227</v>
      </c>
      <c r="F3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4">
        <f>ScenarioStat0[[#This Row],[team-1-win]]+ScenarioStat0[[#This Row],[team-2-win]]</f>
        <v>1</v>
      </c>
    </row>
    <row r="375" spans="1:7" x14ac:dyDescent="0.25">
      <c r="A375" t="s">
        <v>43</v>
      </c>
      <c r="B375" t="s">
        <v>227</v>
      </c>
      <c r="C3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5" t="s">
        <v>45</v>
      </c>
      <c r="E375" t="s">
        <v>63</v>
      </c>
      <c r="F3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5">
        <f>ScenarioStat0[[#This Row],[team-1-win]]+ScenarioStat0[[#This Row],[team-2-win]]</f>
        <v>1</v>
      </c>
    </row>
    <row r="376" spans="1:7" x14ac:dyDescent="0.25">
      <c r="A376" t="s">
        <v>43</v>
      </c>
      <c r="B376" t="s">
        <v>227</v>
      </c>
      <c r="C3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6" t="s">
        <v>45</v>
      </c>
      <c r="E376" t="s">
        <v>38</v>
      </c>
      <c r="F3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6">
        <f>ScenarioStat0[[#This Row],[team-1-win]]+ScenarioStat0[[#This Row],[team-2-win]]</f>
        <v>1</v>
      </c>
    </row>
    <row r="377" spans="1:7" x14ac:dyDescent="0.25">
      <c r="A377" t="s">
        <v>43</v>
      </c>
      <c r="B377" t="s">
        <v>227</v>
      </c>
      <c r="C3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7" t="s">
        <v>63</v>
      </c>
      <c r="E377" t="s">
        <v>38</v>
      </c>
      <c r="F3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7">
        <f>ScenarioStat0[[#This Row],[team-1-win]]+ScenarioStat0[[#This Row],[team-2-win]]</f>
        <v>1</v>
      </c>
    </row>
    <row r="378" spans="1:7" x14ac:dyDescent="0.25">
      <c r="A378" t="s">
        <v>45</v>
      </c>
      <c r="B378" t="s">
        <v>63</v>
      </c>
      <c r="C3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8" t="s">
        <v>38</v>
      </c>
      <c r="E378" t="s">
        <v>227</v>
      </c>
      <c r="F3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8">
        <f>ScenarioStat0[[#This Row],[team-1-win]]+ScenarioStat0[[#This Row],[team-2-win]]</f>
        <v>1</v>
      </c>
    </row>
    <row r="379" spans="1:7" x14ac:dyDescent="0.25">
      <c r="A379" t="s">
        <v>45</v>
      </c>
      <c r="B379" t="s">
        <v>38</v>
      </c>
      <c r="C3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9" t="s">
        <v>63</v>
      </c>
      <c r="E379" t="s">
        <v>227</v>
      </c>
      <c r="F3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9">
        <f>ScenarioStat0[[#This Row],[team-1-win]]+ScenarioStat0[[#This Row],[team-2-win]]</f>
        <v>1</v>
      </c>
    </row>
    <row r="380" spans="1:7" x14ac:dyDescent="0.25">
      <c r="A380" t="s">
        <v>45</v>
      </c>
      <c r="B380" t="s">
        <v>227</v>
      </c>
      <c r="C3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0" t="s">
        <v>63</v>
      </c>
      <c r="E380" t="s">
        <v>38</v>
      </c>
      <c r="F3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0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7">
    <cfRule type="colorScale" priority="286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E29" sqref="E29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0.23178807947019867</v>
      </c>
    </row>
    <row r="3" spans="1:22" x14ac:dyDescent="0.25">
      <c r="A3" t="s">
        <v>72</v>
      </c>
      <c r="B3">
        <f>L3+L24+L45+L66+L87+L108</f>
        <v>138</v>
      </c>
      <c r="C3">
        <f>M3+M24+M45+M66+M87+M108</f>
        <v>33</v>
      </c>
      <c r="D3" s="3">
        <f>IF(SUM(LightbringerAbilities1[[#This Row],[takes]]) &gt; 0,LightbringerAbilities1[[#This Row],[takes]]/SUM(LightbringerAbilities1[takes]),0)</f>
        <v>0.22847682119205298</v>
      </c>
      <c r="E3" s="3">
        <f>IF(LightbringerAbilities1[[#This Row],[takes]]&gt;0,LightbringerAbilities1[[#This Row],[wins]]/LightbringerAbilities1[[#This Row],[takes]],0)</f>
        <v>0.2391304347826087</v>
      </c>
      <c r="G3">
        <v>1</v>
      </c>
      <c r="H3">
        <f>R3+R24+R45+R66+R87+R108</f>
        <v>289</v>
      </c>
      <c r="I3" s="18">
        <f>S3+S24+S45+S66+S87+S108</f>
        <v>407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43</v>
      </c>
      <c r="M3">
        <f>COUNTIF(Scenario0[winner1-ability1],LightbringerAbilities1Scenario0[[#This Row],[ability]])+COUNTIF(Scenario0[winner2-ability1],LightbringerAbilities1Scenario0[[#This Row],[ability]])</f>
        <v>9</v>
      </c>
      <c r="N3" s="3">
        <f>IF(SUM(LightbringerAbilities1Scenario0[[#This Row],[takes]]) &gt; 0,LightbringerAbilities1Scenario0[[#This Row],[takes]]/SUM(LightbringerAbilities1Scenario0[takes]),0)</f>
        <v>0.25595238095238093</v>
      </c>
      <c r="O3" s="3">
        <f>IF(LightbringerAbilities1Scenario0[[#This Row],[takes]]&gt;0,LightbringerAbilities1Scenario0[[#This Row],[wins]]/LightbringerAbilities1Scenario0[[#This Row],[takes]],0)</f>
        <v>0.20930232558139536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133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160</v>
      </c>
      <c r="U3" t="s">
        <v>204</v>
      </c>
      <c r="V3" s="16">
        <f>H5/SUM(LightbringerEquip[hammer])</f>
        <v>0.28973509933774833</v>
      </c>
    </row>
    <row r="4" spans="1:22" x14ac:dyDescent="0.25">
      <c r="A4" t="s">
        <v>145</v>
      </c>
      <c r="B4">
        <f t="shared" ref="B4:B5" si="0">L4+L25+L46+L67+L88+L109</f>
        <v>174</v>
      </c>
      <c r="C4">
        <f t="shared" ref="C4:C5" si="1">M4+M25+M46+M67+M88+M109</f>
        <v>86</v>
      </c>
      <c r="D4" s="3">
        <f>IF(SUM(LightbringerAbilities1[[#This Row],[takes]]) &gt; 0,LightbringerAbilities1[[#This Row],[takes]]/SUM(LightbringerAbilities1[takes]),0)</f>
        <v>0.28807947019867547</v>
      </c>
      <c r="E4" s="3">
        <f>IF(LightbringerAbilities1[[#This Row],[takes]]&gt;0,LightbringerAbilities1[[#This Row],[wins]]/LightbringerAbilities1[[#This Row],[takes]],0)</f>
        <v>0.4942528735632184</v>
      </c>
      <c r="G4">
        <v>2</v>
      </c>
      <c r="H4">
        <f t="shared" ref="H4:H5" si="2">R4+R25+R46+R67+R88+R109</f>
        <v>140</v>
      </c>
      <c r="I4" s="18">
        <f t="shared" ref="I4:I5" si="3">S4+S25+S46+S67+S88+S109</f>
        <v>67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</v>
      </c>
      <c r="M4">
        <f>COUNTIF(Scenario0[winner1-ability1],LightbringerAbilities1Scenario0[[#This Row],[ability]])+COUNTIF(Scenario0[winner2-ability1],LightbringerAbilities1Scenario0[[#This Row],[ability]])</f>
        <v>4</v>
      </c>
      <c r="N4" s="3">
        <f>IF(SUM(LightbringerAbilities1Scenario0[[#This Row],[takes]]) &gt; 0,LightbringerAbilities1Scenario0[[#This Row],[takes]]/SUM(LightbringerAbilities1Scenario0[takes]),0)</f>
        <v>2.976190476190476E-2</v>
      </c>
      <c r="O4" s="3">
        <f>IF(LightbringerAbilities1Scenario0[[#This Row],[takes]]&gt;0,LightbringerAbilities1Scenario0[[#This Row],[wins]]/LightbringerAbilities1Scenario0[[#This Row],[takes]],0)</f>
        <v>0.8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31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8</v>
      </c>
      <c r="U4" t="s">
        <v>179</v>
      </c>
      <c r="V4" s="3">
        <f>LightbringerEquip[[#This Row],[chestpiece]]/SUM(LightbringerEquip[chestpiece])</f>
        <v>0.11092715231788079</v>
      </c>
    </row>
    <row r="5" spans="1:22" x14ac:dyDescent="0.25">
      <c r="A5" t="s">
        <v>103</v>
      </c>
      <c r="B5">
        <f t="shared" si="0"/>
        <v>292</v>
      </c>
      <c r="C5">
        <f t="shared" si="1"/>
        <v>143</v>
      </c>
      <c r="D5" s="3">
        <f>IF(SUM(LightbringerAbilities1[[#This Row],[takes]]) &gt; 0,LightbringerAbilities1[[#This Row],[takes]]/SUM(LightbringerAbilities1[takes]),0)</f>
        <v>0.48344370860927155</v>
      </c>
      <c r="E5" s="3">
        <f>IF(LightbringerAbilities1[[#This Row],[takes]]&gt;0,LightbringerAbilities1[[#This Row],[wins]]/LightbringerAbilities1[[#This Row],[takes]],0)</f>
        <v>0.48972602739726029</v>
      </c>
      <c r="G5">
        <v>3</v>
      </c>
      <c r="H5">
        <f t="shared" si="2"/>
        <v>175</v>
      </c>
      <c r="I5" s="18">
        <f t="shared" si="3"/>
        <v>130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120</v>
      </c>
      <c r="M5">
        <f>COUNTIF(Scenario0[winner1-ability1],LightbringerAbilities1Scenario0[[#This Row],[ability]])+COUNTIF(Scenario0[winner2-ability1],LightbringerAbilities1Scenario0[[#This Row],[ability]])</f>
        <v>57</v>
      </c>
      <c r="N5" s="3">
        <f>IF(SUM(LightbringerAbilities1Scenario0[[#This Row],[takes]]) &gt; 0,LightbringerAbilities1Scenario0[[#This Row],[takes]]/SUM(LightbringerAbilities1Scenario0[takes]),0)</f>
        <v>0.7142857142857143</v>
      </c>
      <c r="O5" s="3">
        <f>IF(LightbringerAbilities1Scenario0[[#This Row],[takes]]&gt;0,LightbringerAbilities1Scenario0[[#This Row],[wins]]/LightbringerAbilities1Scenario0[[#This Row],[takes]],0)</f>
        <v>0.47499999999999998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4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0.21523178807947019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0.85596026490066224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0.54470198675496684</v>
      </c>
    </row>
    <row r="8" spans="1:22" x14ac:dyDescent="0.25">
      <c r="A8" s="2" t="s">
        <v>95</v>
      </c>
      <c r="B8" s="2">
        <f>L8+L29+L50+L71+L92+L113</f>
        <v>113</v>
      </c>
      <c r="C8" s="2">
        <f>M8+M29+M50+M71+M92+M113</f>
        <v>65</v>
      </c>
      <c r="D8" s="12">
        <f>IF(SUM(LightbringerAbilities2[[#This Row],[takes]]) &gt; 0,LightbringerAbilities2[[#This Row],[takes]]/SUM(LightbringerAbilities2[takes]),0)</f>
        <v>0.21856866537717601</v>
      </c>
      <c r="E8" s="12">
        <f>IF(LightbringerAbilities2[[#This Row],[takes]]&gt;0,LightbringerAbilities2[[#This Row],[wins]]/LightbringerAbilities2[[#This Row],[takes]],0)</f>
        <v>0.5752212389380531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33</v>
      </c>
      <c r="M8" s="2">
        <f>COUNTIF(Scenario0[winner1-ability2],LightbringerAbilities2Scenario0[[#This Row],[ability]])+COUNTIF(Scenario0[winner2-ability2],LightbringerAbilities2Scenario0[[#This Row],[ability]])</f>
        <v>23</v>
      </c>
      <c r="N8" s="12">
        <f>IF(SUM(LightbringerAbilities2Scenario0[[#This Row],[takes]]) &gt; 0,LightbringerAbilities2Scenario0[[#This Row],[takes]]/SUM(LightbringerAbilities2Scenario0[takes]),0)</f>
        <v>0.33673469387755101</v>
      </c>
      <c r="O8" s="12">
        <f>IF(LightbringerAbilities2Scenario0[[#This Row],[takes]]&gt;0,LightbringerAbilities2Scenario0[[#This Row],[wins]]/LightbringerAbilities2Scenario0[[#This Row],[takes]],0)</f>
        <v>0.69696969696969702</v>
      </c>
      <c r="S8" s="18"/>
      <c r="U8" t="s">
        <v>178</v>
      </c>
      <c r="V8" s="16">
        <f>SUM(LightbringerAbilities4[takes])/SUM(LightbringerAbilities1[takes])</f>
        <v>0.35430463576158938</v>
      </c>
    </row>
    <row r="9" spans="1:22" x14ac:dyDescent="0.25">
      <c r="A9" t="s">
        <v>146</v>
      </c>
      <c r="B9" s="2">
        <f t="shared" ref="B9:B10" si="4">L9+L30+L51+L72+L93+L114</f>
        <v>132</v>
      </c>
      <c r="C9" s="2">
        <f t="shared" ref="C9:C10" si="5">M9+M30+M51+M72+M93+M114</f>
        <v>69</v>
      </c>
      <c r="D9" s="3">
        <f>IF(SUM(LightbringerAbilities2[[#This Row],[takes]]) &gt; 0,LightbringerAbilities2[[#This Row],[takes]]/SUM(LightbringerAbilities2[takes]),0)</f>
        <v>0.25531914893617019</v>
      </c>
      <c r="E9" s="3">
        <f>IF(LightbringerAbilities2[[#This Row],[takes]]&gt;0,LightbringerAbilities2[[#This Row],[wins]]/LightbringerAbilities2[[#This Row],[takes]],0)</f>
        <v>0.52272727272727271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</v>
      </c>
      <c r="M9" s="2">
        <f>COUNTIF(Scenario0[winner1-ability2],LightbringerAbilities2Scenario0[[#This Row],[ability]])+COUNTIF(Scenario0[winner2-ability2],LightbringerAbilities2Scenario0[[#This Row],[ability]])</f>
        <v>2</v>
      </c>
      <c r="N9" s="3">
        <f>IF(SUM(LightbringerAbilities2Scenario0[[#This Row],[takes]]) &gt; 0,LightbringerAbilities2Scenario0[[#This Row],[takes]]/SUM(LightbringerAbilities2Scenario0[takes]),0)</f>
        <v>3.0612244897959183E-2</v>
      </c>
      <c r="O9" s="3">
        <f>IF(LightbringerAbilities2Scenario0[[#This Row],[takes]]&gt;0,LightbringerAbilities2Scenario0[[#This Row],[wins]]/LightbringerAbilities2Scenario0[[#This Row],[takes]],0)</f>
        <v>0.66666666666666663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2.6026490066225167</v>
      </c>
    </row>
    <row r="10" spans="1:22" x14ac:dyDescent="0.25">
      <c r="A10" s="10" t="s">
        <v>91</v>
      </c>
      <c r="B10" s="2">
        <f t="shared" si="4"/>
        <v>272</v>
      </c>
      <c r="C10" s="2">
        <f t="shared" si="5"/>
        <v>104</v>
      </c>
      <c r="D10" s="13">
        <f>IF(SUM(LightbringerAbilities2[[#This Row],[takes]]) &gt; 0,LightbringerAbilities2[[#This Row],[takes]]/SUM(LightbringerAbilities2[takes]),0)</f>
        <v>0.52611218568665374</v>
      </c>
      <c r="E10" s="13">
        <f>IF(LightbringerAbilities2[[#This Row],[takes]]&gt;0,LightbringerAbilities2[[#This Row],[wins]]/LightbringerAbilities2[[#This Row],[takes]],0)</f>
        <v>0.38235294117647056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62</v>
      </c>
      <c r="M10" s="2">
        <f>COUNTIF(Scenario0[winner1-ability2],LightbringerAbilities2Scenario0[[#This Row],[ability]])+COUNTIF(Scenario0[winner2-ability2],LightbringerAbilities2Scenario0[[#This Row],[ability]])</f>
        <v>25</v>
      </c>
      <c r="N10" s="13">
        <f>IF(SUM(LightbringerAbilities2Scenario0[[#This Row],[takes]]) &gt; 0,LightbringerAbilities2Scenario0[[#This Row],[takes]]/SUM(LightbringerAbilities2Scenario0[takes]),0)</f>
        <v>0.63265306122448983</v>
      </c>
      <c r="O10" s="13">
        <f>IF(LightbringerAbilities2Scenario0[[#This Row],[takes]]&gt;0,LightbringerAbilities2Scenario0[[#This Row],[wins]]/LightbringerAbilities2Scenario0[[#This Row],[takes]],0)</f>
        <v>0.40322580645161288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56</v>
      </c>
      <c r="C13" s="1">
        <f>M13+M34+M55+M76+M97+M118</f>
        <v>29</v>
      </c>
      <c r="D13" s="14">
        <f>IF(SUM(LightbringerAbilities3[[#This Row],[takes]]) &gt; 0,LightbringerAbilities3[[#This Row],[takes]]/SUM(LightbringerAbilities3[takes]),0)</f>
        <v>0.1702127659574468</v>
      </c>
      <c r="E13" s="14">
        <f>IF(LightbringerAbilities3[[#This Row],[takes]]&gt;0,LightbringerAbilities3[[#This Row],[wins]]/LightbringerAbilities3[[#This Row],[takes]],0)</f>
        <v>0.5178571428571429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3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0.21428571428571427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118</v>
      </c>
      <c r="C14" s="2">
        <f t="shared" ref="C14:C15" si="7">M14+M35+M56+M77+M98+M119</f>
        <v>61</v>
      </c>
      <c r="D14" s="12">
        <f>IF(SUM(LightbringerAbilities3[[#This Row],[takes]]) &gt; 0,LightbringerAbilities3[[#This Row],[takes]]/SUM(LightbringerAbilities3[takes]),0)</f>
        <v>0.35866261398176291</v>
      </c>
      <c r="E14" s="12">
        <f>IF(LightbringerAbilities3[[#This Row],[takes]]&gt;0,LightbringerAbilities3[[#This Row],[wins]]/LightbringerAbilities3[[#This Row],[takes]],0)</f>
        <v>0.51694915254237284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9</v>
      </c>
      <c r="M14" s="2">
        <f>COUNTIF(Scenario0[winner1-ability3],LightbringerAbilities3Scenario0[[#This Row],[ability]])+COUNTIF(Scenario0[winner2-ability3],LightbringerAbilities3Scenario0[[#This Row],[ability]])</f>
        <v>7</v>
      </c>
      <c r="N14" s="12">
        <f>IF(SUM(LightbringerAbilities3Scenario0[[#This Row],[takes]]) &gt; 0,LightbringerAbilities3Scenario0[[#This Row],[takes]]/SUM(LightbringerAbilities3Scenario0[takes]),0)</f>
        <v>0.6428571428571429</v>
      </c>
      <c r="O14" s="12">
        <f>IF(LightbringerAbilities3Scenario0[[#This Row],[takes]]&gt;0,LightbringerAbilities3Scenario0[[#This Row],[wins]]/LightbringerAbilities3Scenario0[[#This Row],[takes]],0)</f>
        <v>0.77777777777777779</v>
      </c>
      <c r="S14" s="18"/>
    </row>
    <row r="15" spans="1:22" x14ac:dyDescent="0.25">
      <c r="A15" s="11" t="s">
        <v>148</v>
      </c>
      <c r="B15" s="1">
        <f t="shared" si="6"/>
        <v>155</v>
      </c>
      <c r="C15" s="1">
        <f t="shared" si="7"/>
        <v>69</v>
      </c>
      <c r="D15" s="15">
        <f>IF(SUM(LightbringerAbilities3[[#This Row],[takes]]) &gt; 0,LightbringerAbilities3[[#This Row],[takes]]/SUM(LightbringerAbilities3[takes]),0)</f>
        <v>0.47112462006079026</v>
      </c>
      <c r="E15" s="15">
        <f>IF(LightbringerAbilities3[[#This Row],[takes]]&gt;0,LightbringerAbilities3[[#This Row],[wins]]/LightbringerAbilities3[[#This Row],[takes]],0)</f>
        <v>0.44516129032258067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2</v>
      </c>
      <c r="M15" s="1">
        <f>COUNTIF(Scenario0[winner1-ability3],LightbringerAbilities3Scenario0[[#This Row],[ability]])+COUNTIF(Scenario0[winner2-ability3],LightbringerAbilities3Scenario0[[#This Row],[ability]])</f>
        <v>1</v>
      </c>
      <c r="N15" s="15">
        <f>IF(SUM(LightbringerAbilities3Scenario0[[#This Row],[takes]]) &gt; 0,LightbringerAbilities3Scenario0[[#This Row],[takes]]/SUM(LightbringerAbilities3Scenario0[takes]),0)</f>
        <v>0.14285714285714285</v>
      </c>
      <c r="O15" s="15">
        <f>IF(LightbringerAbilities3Scenario0[[#This Row],[takes]]&gt;0,LightbringerAbilities3Scenario0[[#This Row],[wins]]/LightbringerAbilities3Scenario0[[#This Row],[takes]],0)</f>
        <v>0.5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30</v>
      </c>
      <c r="C18" s="2">
        <f>M18+M39+M60+M81+M102+M123</f>
        <v>24</v>
      </c>
      <c r="D18" s="12">
        <f>IF(SUM(LightbringerAbilities4[[#This Row],[takes]]) &gt; 0,LightbringerAbilities4[[#This Row],[takes]]/SUM(LightbringerAbilities4[takes]),0)</f>
        <v>0.14018691588785046</v>
      </c>
      <c r="E18" s="12">
        <f>IF(LightbringerAbilities4[[#This Row],[takes]]&gt;0,LightbringerAbilities4[[#This Row],[wins]]/LightbringerAbilities4[[#This Row],[takes]],0)</f>
        <v>0.8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0.33333333333333331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55</v>
      </c>
      <c r="C19" s="2">
        <f t="shared" ref="C19:C20" si="9">M19+M40+M61+M82+M103+M124</f>
        <v>38</v>
      </c>
      <c r="D19" s="12">
        <f>IF(SUM(LightbringerAbilities4[[#This Row],[takes]]) &gt; 0,LightbringerAbilities4[[#This Row],[takes]]/SUM(LightbringerAbilities4[takes]),0)</f>
        <v>0.2570093457943925</v>
      </c>
      <c r="E19" s="12">
        <f>IF(LightbringerAbilities4[[#This Row],[takes]]&gt;0,LightbringerAbilities4[[#This Row],[wins]]/LightbringerAbilities4[[#This Row],[takes]],0)</f>
        <v>0.69090909090909092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129</v>
      </c>
      <c r="C20" s="2">
        <f t="shared" si="9"/>
        <v>55</v>
      </c>
      <c r="D20" s="26">
        <f>IF(SUM(LightbringerAbilities4[[#This Row],[takes]]) &gt; 0,LightbringerAbilities4[[#This Row],[takes]]/SUM(LightbringerAbilities4[takes]),0)</f>
        <v>0.60280373831775702</v>
      </c>
      <c r="E20" s="26">
        <f>IF(LightbringerAbilities4[[#This Row],[takes]]&gt;0,LightbringerAbilities4[[#This Row],[wins]]/LightbringerAbilities4[[#This Row],[takes]],0)</f>
        <v>0.4263565891472868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2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0.66666666666666663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90</v>
      </c>
      <c r="M24">
        <f>COUNTIF(Scenario1[winner1-ability1],LightbringerAbilities1Scenario1[[#This Row],[ability]])+COUNTIF(Scenario1[winner2-ability1],LightbringerAbilities1Scenario1[[#This Row],[ability]])</f>
        <v>21</v>
      </c>
      <c r="N24" s="3">
        <f>IF(SUM(LightbringerAbilities1Scenario1[[#This Row],[takes]]) &gt; 0,LightbringerAbilities1Scenario1[[#This Row],[takes]]/SUM(LightbringerAbilities1Scenario1[takes]),0)</f>
        <v>0.5357142857142857</v>
      </c>
      <c r="O24" s="3">
        <f>IF(LightbringerAbilities1Scenario1[[#This Row],[takes]]&gt;0,LightbringerAbilities1Scenario1[[#This Row],[wins]]/LightbringerAbilities1Scenario1[[#This Row],[takes]],0)</f>
        <v>0.23333333333333334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83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152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4</v>
      </c>
      <c r="M25">
        <f>COUNTIF(Scenario1[winner1-ability1],LightbringerAbilities1Scenario1[[#This Row],[ability]])+COUNTIF(Scenario1[winner2-ability1],LightbringerAbilities1Scenario1[[#This Row],[ability]])</f>
        <v>3</v>
      </c>
      <c r="N25" s="3">
        <f>IF(SUM(LightbringerAbilities1Scenario1[[#This Row],[takes]]) &gt; 0,LightbringerAbilities1Scenario1[[#This Row],[takes]]/SUM(LightbringerAbilities1Scenario1[takes]),0)</f>
        <v>2.3809523809523808E-2</v>
      </c>
      <c r="O25" s="3">
        <f>IF(LightbringerAbilities1Scenario1[[#This Row],[takes]]&gt;0,LightbringerAbilities1Scenario1[[#This Row],[wins]]/LightbringerAbilities1Scenario1[[#This Row],[takes]],0)</f>
        <v>0.75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55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12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74</v>
      </c>
      <c r="M26">
        <f>COUNTIF(Scenario1[winner1-ability1],LightbringerAbilities1Scenario1[[#This Row],[ability]])+COUNTIF(Scenario1[winner2-ability1],LightbringerAbilities1Scenario1[[#This Row],[ability]])</f>
        <v>32</v>
      </c>
      <c r="N26" s="3">
        <f>IF(SUM(LightbringerAbilities1Scenario1[[#This Row],[takes]]) &gt; 0,LightbringerAbilities1Scenario1[[#This Row],[takes]]/SUM(LightbringerAbilities1Scenario1[takes]),0)</f>
        <v>0.44047619047619047</v>
      </c>
      <c r="O26" s="3">
        <f>IF(LightbringerAbilities1Scenario1[[#This Row],[takes]]&gt;0,LightbringerAbilities1Scenario1[[#This Row],[wins]]/LightbringerAbilities1Scenario1[[#This Row],[takes]],0)</f>
        <v>0.43243243243243246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60</v>
      </c>
      <c r="M29" s="2">
        <f>COUNTIF(Scenario1[winner1-ability2],LightbringerAbilities2Scenario1[[#This Row],[ability]])+COUNTIF(Scenario1[winner2-ability2],LightbringerAbilities2Scenario1[[#This Row],[ability]])</f>
        <v>25</v>
      </c>
      <c r="N29" s="12">
        <f>IF(SUM(LightbringerAbilities2Scenario1[[#This Row],[takes]]) &gt; 0,LightbringerAbilities2Scenario1[[#This Row],[takes]]/SUM(LightbringerAbilities2Scenario1[takes]),0)</f>
        <v>0.39735099337748342</v>
      </c>
      <c r="O29" s="12">
        <f>IF(LightbringerAbilities2Scenario1[[#This Row],[takes]]&gt;0,LightbringerAbilities2Scenario1[[#This Row],[wins]]/LightbringerAbilities2Scenario1[[#This Row],[takes]],0)</f>
        <v>0.41666666666666669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14</v>
      </c>
      <c r="M30" s="2">
        <f>COUNTIF(Scenario1[winner1-ability2],LightbringerAbilities2Scenario1[[#This Row],[ability]])+COUNTIF(Scenario1[winner2-ability2],LightbringerAbilities2Scenario1[[#This Row],[ability]])</f>
        <v>5</v>
      </c>
      <c r="N30" s="3">
        <f>IF(SUM(LightbringerAbilities2Scenario1[[#This Row],[takes]]) &gt; 0,LightbringerAbilities2Scenario1[[#This Row],[takes]]/SUM(LightbringerAbilities2Scenario1[takes]),0)</f>
        <v>9.2715231788079472E-2</v>
      </c>
      <c r="O30" s="3">
        <f>IF(LightbringerAbilities2Scenario1[[#This Row],[takes]]&gt;0,LightbringerAbilities2Scenario1[[#This Row],[wins]]/LightbringerAbilities2Scenario1[[#This Row],[takes]],0)</f>
        <v>0.35714285714285715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77</v>
      </c>
      <c r="M31" s="2">
        <f>COUNTIF(Scenario1[winner1-ability2],LightbringerAbilities2Scenario1[[#This Row],[ability]])+COUNTIF(Scenario1[winner2-ability2],LightbringerAbilities2Scenario1[[#This Row],[ability]])</f>
        <v>22</v>
      </c>
      <c r="N31" s="13">
        <f>IF(SUM(LightbringerAbilities2Scenario1[[#This Row],[takes]]) &gt; 0,LightbringerAbilities2Scenario1[[#This Row],[takes]]/SUM(LightbringerAbilities2Scenario1[takes]),0)</f>
        <v>0.50993377483443714</v>
      </c>
      <c r="O31" s="13">
        <f>IF(LightbringerAbilities2Scenario1[[#This Row],[takes]]&gt;0,LightbringerAbilities2Scenario1[[#This Row],[wins]]/LightbringerAbilities2Scenario1[[#This Row],[takes]],0)</f>
        <v>0.2857142857142857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17</v>
      </c>
      <c r="M34" s="1">
        <f>COUNTIF(Scenario1[winner1-ability3],LightbringerAbilities3Scenario1[[#This Row],[ability]])+COUNTIF(Scenario1[winner2-ability3],LightbringerAbilities3Scenario1[[#This Row],[ability]])</f>
        <v>6</v>
      </c>
      <c r="N34" s="14">
        <f>IF(SUM(LightbringerAbilities3Scenario1[[#This Row],[takes]]) &gt; 0,LightbringerAbilities3Scenario1[[#This Row],[takes]]/SUM(LightbringerAbilities3Scenario1[takes]),0)</f>
        <v>0.23287671232876711</v>
      </c>
      <c r="O34" s="14">
        <f>IF(LightbringerAbilities3Scenario1[[#This Row],[takes]]&gt;0,LightbringerAbilities3Scenario1[[#This Row],[wins]]/LightbringerAbilities3Scenario1[[#This Row],[takes]],0)</f>
        <v>0.35294117647058826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47</v>
      </c>
      <c r="M35" s="2">
        <f>COUNTIF(Scenario1[winner1-ability3],LightbringerAbilities3Scenario1[[#This Row],[ability]])+COUNTIF(Scenario1[winner2-ability3],LightbringerAbilities3Scenario1[[#This Row],[ability]])</f>
        <v>13</v>
      </c>
      <c r="N35" s="12">
        <f>IF(SUM(LightbringerAbilities3Scenario1[[#This Row],[takes]]) &gt; 0,LightbringerAbilities3Scenario1[[#This Row],[takes]]/SUM(LightbringerAbilities3Scenario1[takes]),0)</f>
        <v>0.64383561643835618</v>
      </c>
      <c r="O35" s="12">
        <f>IF(LightbringerAbilities3Scenario1[[#This Row],[takes]]&gt;0,LightbringerAbilities3Scenario1[[#This Row],[wins]]/LightbringerAbilities3Scenario1[[#This Row],[takes]],0)</f>
        <v>0.27659574468085107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9</v>
      </c>
      <c r="M36" s="1">
        <f>COUNTIF(Scenario1[winner1-ability3],LightbringerAbilities3Scenario1[[#This Row],[ability]])+COUNTIF(Scenario1[winner2-ability3],LightbringerAbilities3Scenario1[[#This Row],[ability]])</f>
        <v>3</v>
      </c>
      <c r="N36" s="15">
        <f>IF(SUM(LightbringerAbilities3Scenario1[[#This Row],[takes]]) &gt; 0,LightbringerAbilities3Scenario1[[#This Row],[takes]]/SUM(LightbringerAbilities3Scenario1[takes]),0)</f>
        <v>0.12328767123287671</v>
      </c>
      <c r="O36" s="15">
        <f>IF(LightbringerAbilities3Scenario1[[#This Row],[takes]]&gt;0,LightbringerAbilities3Scenario1[[#This Row],[wins]]/LightbringerAbilities3Scenario1[[#This Row],[takes]],0)</f>
        <v>0.33333333333333331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39" s="2">
        <f>COUNTIF(Scenario1[winner1-ability4],LightbringerAbilities4Scenario1[[#This Row],[ability]])+COUNTIF(Scenario1[winner2-ability4],LightbringerAbilities4Scenario1[[#This Row],[ability]])</f>
        <v>1</v>
      </c>
      <c r="N39" s="12">
        <f>IF(SUM(LightbringerAbilities4Scenario1[[#This Row],[takes]]) &gt; 0,LightbringerAbilities4Scenario1[[#This Row],[takes]]/SUM(LightbringerAbilities4Scenario1[takes]),0)</f>
        <v>0.22222222222222221</v>
      </c>
      <c r="O39" s="12">
        <f>IF(LightbringerAbilities4Scenario1[[#This Row],[takes]]&gt;0,LightbringerAbilities4Scenario1[[#This Row],[wins]]/LightbringerAbilities4Scenario1[[#This Row],[takes]],0)</f>
        <v>0.25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3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0.16666666666666666</v>
      </c>
      <c r="O40" s="12">
        <f>IF(LightbringerAbilities4Scenario1[[#This Row],[takes]]&gt;0,LightbringerAbilities4Scenario1[[#This Row],[wins]]/LightbringerAbilities4Scenario1[[#This Row],[takes]],0)</f>
        <v>0.33333333333333331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11</v>
      </c>
      <c r="M41" s="25">
        <f>COUNTIF(Scenario1[winner1-ability4],LightbringerAbilities4Scenario1[[#This Row],[ability]])+COUNTIF(Scenario1[winner2-ability4],LightbringerAbilities4Scenario1[[#This Row],[ability]])</f>
        <v>6</v>
      </c>
      <c r="N41" s="26">
        <f>IF(SUM(LightbringerAbilities4Scenario1[[#This Row],[takes]]) &gt; 0,LightbringerAbilities4Scenario1[[#This Row],[takes]]/SUM(LightbringerAbilities4Scenario1[takes]),0)</f>
        <v>0.61111111111111116</v>
      </c>
      <c r="O41" s="26">
        <f>IF(LightbringerAbilities4Scenario1[[#This Row],[takes]]&gt;0,LightbringerAbilities4Scenario1[[#This Row],[wins]]/LightbringerAbilities4Scenario1[[#This Row],[takes]],0)</f>
        <v>0.54545454545454541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0</v>
      </c>
      <c r="M45">
        <f>COUNTIF(Scenario2[winner1-ability1],LightbringerAbilities1Scenario2[[#This Row],[ability]])</f>
        <v>0</v>
      </c>
      <c r="N45" s="3">
        <f>IF(SUM(LightbringerAbilities1Scenario2[[#This Row],[takes]]) &gt; 0,LightbringerAbilities1Scenario2[[#This Row],[takes]]/SUM(LightbringerAbilities1Scenario2[takes]),0)</f>
        <v>0</v>
      </c>
      <c r="O45" s="3">
        <f>IF(LightbringerAbilities1Scenario2[[#This Row],[takes]]&gt;0,LightbringerAbilities1Scenario2[[#This Row],[wins]]/LightbringerAbilities1Scenario2[[#This Row],[takes]],0)</f>
        <v>0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9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6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7</v>
      </c>
      <c r="M46">
        <f>COUNTIF(Scenario2[winner1-ability1],LightbringerAbilities1Scenario2[[#This Row],[ability]])</f>
        <v>2</v>
      </c>
      <c r="N46" s="3">
        <f>IF(SUM(LightbringerAbilities1Scenario2[[#This Row],[takes]]) &gt; 0,LightbringerAbilities1Scenario2[[#This Row],[takes]]/SUM(LightbringerAbilities1Scenario2[takes]),0)</f>
        <v>0.4375</v>
      </c>
      <c r="O46" s="3">
        <f>IF(LightbringerAbilities1Scenario2[[#This Row],[takes]]&gt;0,LightbringerAbilities1Scenario2[[#This Row],[wins]]/LightbringerAbilities1Scenario2[[#This Row],[takes]],0)</f>
        <v>0.2857142857142857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9</v>
      </c>
      <c r="M47">
        <f>COUNTIF(Scenario2[winner1-ability1],LightbringerAbilities1Scenario2[[#This Row],[ability]])</f>
        <v>6</v>
      </c>
      <c r="N47" s="3">
        <f>IF(SUM(LightbringerAbilities1Scenario2[[#This Row],[takes]]) &gt; 0,LightbringerAbilities1Scenario2[[#This Row],[takes]]/SUM(LightbringerAbilities1Scenario2[takes]),0)</f>
        <v>0.5625</v>
      </c>
      <c r="O47" s="3">
        <f>IF(LightbringerAbilities1Scenario2[[#This Row],[takes]]&gt;0,LightbringerAbilities1Scenario2[[#This Row],[wins]]/LightbringerAbilities1Scenario2[[#This Row],[takes]],0)</f>
        <v>0.66666666666666663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7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1</v>
      </c>
      <c r="M50" s="2">
        <f>COUNTIF(Scenario2[winner1-ability2],LightbringerAbilities2Scenario2[[#This Row],[ability]])</f>
        <v>1</v>
      </c>
      <c r="N50" s="12">
        <f>IF(SUM(LightbringerAbilities2Scenario2[[#This Row],[takes]]) &gt; 0,LightbringerAbilities2Scenario2[[#This Row],[takes]]/SUM(LightbringerAbilities2Scenario2[takes]),0)</f>
        <v>6.25E-2</v>
      </c>
      <c r="O50" s="12">
        <f>IF(LightbringerAbilities2Scenario2[[#This Row],[takes]]&gt;0,LightbringerAbilities2Scenario2[[#This Row],[wins]]/LightbringerAbilities2Scenario2[[#This Row],[takes]],0)</f>
        <v>1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0.375</v>
      </c>
      <c r="O51" s="3">
        <f>IF(LightbringerAbilities2Scenario2[[#This Row],[takes]]&gt;0,LightbringerAbilities2Scenario2[[#This Row],[wins]]/LightbringerAbilities2Scenario2[[#This Row],[takes]],0)</f>
        <v>0.66666666666666663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9</v>
      </c>
      <c r="M52" s="2">
        <f>COUNTIF(Scenario2[winner1-ability2],LightbringerAbilities2Scenario2[[#This Row],[ability]])</f>
        <v>3</v>
      </c>
      <c r="N52" s="13">
        <f>IF(SUM(LightbringerAbilities2Scenario2[[#This Row],[takes]]) &gt; 0,LightbringerAbilities2Scenario2[[#This Row],[takes]]/SUM(LightbringerAbilities2Scenario2[takes]),0)</f>
        <v>0.5625</v>
      </c>
      <c r="O52" s="13">
        <f>IF(LightbringerAbilities2Scenario2[[#This Row],[takes]]&gt;0,LightbringerAbilities2Scenario2[[#This Row],[wins]]/LightbringerAbilities2Scenario2[[#This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7</v>
      </c>
      <c r="M55" s="1">
        <f>COUNTIF(Scenario2[winner1-ability3],LightbringerAbilities3Scenario2[[#This Row],[ability]])</f>
        <v>4</v>
      </c>
      <c r="N55" s="14">
        <f>IF(SUM(LightbringerAbilities3Scenario2[[#This Row],[takes]]) &gt; 0,LightbringerAbilities3Scenario2[[#This Row],[takes]]/SUM(LightbringerAbilities3Scenario2[takes]),0)</f>
        <v>0.4375</v>
      </c>
      <c r="O55" s="14">
        <f>IF(LightbringerAbilities3Scenario2[[#This Row],[takes]]&gt;0,LightbringerAbilities3Scenario2[[#This Row],[wins]]/LightbringerAbilities3Scenario2[[#This Row],[takes]],0)</f>
        <v>0.5714285714285714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2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0.125</v>
      </c>
      <c r="O56" s="12">
        <f>IF(LightbringerAbilities3Scenario2[[#This Row],[takes]]&gt;0,LightbringerAbilities3Scenario2[[#This Row],[wins]]/LightbringerAbilities3Scenario2[[#This Row],[takes]],0)</f>
        <v>1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7</v>
      </c>
      <c r="M57" s="1">
        <f>COUNTIF(Scenario2[winner1-ability3],LightbringerAbilities3Scenario2[[#This Row],[ability]])</f>
        <v>2</v>
      </c>
      <c r="N57" s="15">
        <f>IF(SUM(LightbringerAbilities3Scenario2[[#This Row],[takes]]) &gt; 0,LightbringerAbilities3Scenario2[[#This Row],[takes]]/SUM(LightbringerAbilities3Scenario2[takes]),0)</f>
        <v>0.4375</v>
      </c>
      <c r="O57" s="15">
        <f>IF(LightbringerAbilities3Scenario2[[#This Row],[takes]]&gt;0,LightbringerAbilities3Scenario2[[#This Row],[wins]]/LightbringerAbilities3Scenario2[[#This Row],[takes]],0)</f>
        <v>0.2857142857142857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2</v>
      </c>
      <c r="M60" s="2">
        <f>COUNTIF(Scenario2[winner1-ability4],LightbringerAbilities4Scenario2[[#This Row],[ability]])</f>
        <v>2</v>
      </c>
      <c r="N60" s="12">
        <f>IF(SUM(LightbringerAbilities4Scenario2[[#This Row],[takes]]) &gt; 0,LightbringerAbilities4Scenario2[[#This Row],[takes]]/SUM(LightbringerAbilities4Scenario2[takes]),0)</f>
        <v>0.2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0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8</v>
      </c>
      <c r="M62" s="25">
        <f>COUNTIF(Scenario2[winner1-ability4],LightbringerAbilities4Scenario2[[#This Row],[ability]])</f>
        <v>4</v>
      </c>
      <c r="N62" s="26">
        <f>IF(SUM(LightbringerAbilities4Scenario2[[#This Row],[takes]]) &gt; 0,LightbringerAbilities4Scenario2[[#This Row],[takes]]/SUM(LightbringerAbilities4Scenario2[takes]),0)</f>
        <v>0.8</v>
      </c>
      <c r="O62" s="26">
        <f>IF(LightbringerAbilities4Scenario2[[#This Row],[takes]]&gt;0,LightbringerAbilities4Scenario2[[#This Row],[wins]]/LightbringerAbilities4Scenario2[[#This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</v>
      </c>
      <c r="M66">
        <f>COUNTIF(Scenario3[winner1-ability1],LightbringerAbilities1Scenario3[[#This Row],[ability]])</f>
        <v>1</v>
      </c>
      <c r="N66" s="3">
        <f>IF(SUM(LightbringerAbilities1Scenario3[[#This Row],[takes]]) &gt; 0,LightbringerAbilities1Scenario3[[#This Row],[takes]]/SUM(LightbringerAbilities1Scenario3[takes]),0)</f>
        <v>3.5714285714285712E-2</v>
      </c>
      <c r="O66" s="3">
        <f>IF(LightbringerAbilities1Scenario3[[#This Row],[takes]]&gt;0,LightbringerAbilities1Scenario3[[#This Row],[wins]]/LightbringerAbilities1Scenario3[[#This Row],[takes]],0)</f>
        <v>1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8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6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17</v>
      </c>
      <c r="M67">
        <f>COUNTIF(Scenario3[winner1-ability1],LightbringerAbilities1Scenario3[[#This Row],[ability]])</f>
        <v>5</v>
      </c>
      <c r="N67" s="3">
        <f>IF(SUM(LightbringerAbilities1Scenario3[[#This Row],[takes]]) &gt; 0,LightbringerAbilities1Scenario3[[#This Row],[takes]]/SUM(LightbringerAbilities1Scenario3[takes]),0)</f>
        <v>0.6071428571428571</v>
      </c>
      <c r="O67" s="3">
        <f>IF(LightbringerAbilities1Scenario3[[#This Row],[takes]]&gt;0,LightbringerAbilities1Scenario3[[#This Row],[wins]]/LightbringerAbilities1Scenario3[[#This Row],[takes]],0)</f>
        <v>0.29411764705882354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10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0.35714285714285715</v>
      </c>
      <c r="O68" s="3">
        <f>IF(LightbringerAbilities1Scenario3[[#This Row],[takes]]&gt;0,LightbringerAbilities1Scenario3[[#This Row],[wins]]/LightbringerAbilities1Scenario3[[#This Row],[takes]],0)</f>
        <v>0.2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17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18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</v>
      </c>
      <c r="M71" s="2">
        <f>COUNTIF(Scenario3[winner1-ability2],LightbringerAbilities2Scenario3[[#This Row],[ability]])</f>
        <v>1</v>
      </c>
      <c r="N71" s="12">
        <f>IF(SUM(LightbringerAbilities2Scenario3[[#This Row],[takes]]) &gt; 0,LightbringerAbilities2Scenario3[[#This Row],[takes]]/SUM(LightbringerAbilities2Scenario3[takes]),0)</f>
        <v>3.5714285714285712E-2</v>
      </c>
      <c r="O71" s="12">
        <f>IF(LightbringerAbilities2Scenario3[[#This Row],[takes]]&gt;0,LightbringerAbilities2Scenario3[[#This Row],[wins]]/LightbringerAbilities2Scenario3[[#This Row],[takes]],0)</f>
        <v>1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13</v>
      </c>
      <c r="M72" s="2">
        <f>COUNTIF(Scenario3[winner1-ability2],LightbringerAbilities2Scenario3[[#This Row],[ability]])</f>
        <v>6</v>
      </c>
      <c r="N72" s="3">
        <f>IF(SUM(LightbringerAbilities2Scenario3[[#This Row],[takes]]) &gt; 0,LightbringerAbilities2Scenario3[[#This Row],[takes]]/SUM(LightbringerAbilities2Scenario3[takes]),0)</f>
        <v>0.4642857142857143</v>
      </c>
      <c r="O72" s="3">
        <f>IF(LightbringerAbilities2Scenario3[[#This Row],[takes]]&gt;0,LightbringerAbilities2Scenario3[[#This Row],[wins]]/LightbringerAbilities2Scenario3[[#This Row],[takes]],0)</f>
        <v>0.46153846153846156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14</v>
      </c>
      <c r="M73" s="2">
        <f>COUNTIF(Scenario3[winner1-ability2],LightbringerAbilities2Scenario3[[#This Row],[ability]])</f>
        <v>1</v>
      </c>
      <c r="N73" s="13">
        <f>IF(SUM(LightbringerAbilities2Scenario3[[#This Row],[takes]]) &gt; 0,LightbringerAbilities2Scenario3[[#This Row],[takes]]/SUM(LightbringerAbilities2Scenario3[takes]),0)</f>
        <v>0.5</v>
      </c>
      <c r="O73" s="13">
        <f>IF(LightbringerAbilities2Scenario3[[#This Row],[takes]]&gt;0,LightbringerAbilities2Scenario3[[#This Row],[wins]]/LightbringerAbilities2Scenario3[[#This Row],[takes]],0)</f>
        <v>7.1428571428571425E-2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6" s="1">
        <f>COUNTIF(Scenario3[winner1-ability3],LightbringerAbilities3Scenario3[[#This Row],[ability]])</f>
        <v>2</v>
      </c>
      <c r="N76" s="14">
        <f>IF(SUM(LightbringerAbilities3Scenario3[[#This Row],[takes]]) &gt; 0,LightbringerAbilities3Scenario3[[#This Row],[takes]]/SUM(LightbringerAbilities3Scenario3[takes]),0)</f>
        <v>0.16</v>
      </c>
      <c r="O76" s="14">
        <f>IF(LightbringerAbilities3Scenario3[[#This Row],[takes]]&gt;0,LightbringerAbilities3Scenario3[[#This Row],[wins]]/LightbringerAbilities3Scenario3[[#This Row],[takes]],0)</f>
        <v>0.5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0.04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20</v>
      </c>
      <c r="M78" s="1">
        <f>COUNTIF(Scenario3[winner1-ability3],LightbringerAbilities3Scenario3[[#This Row],[ability]])</f>
        <v>5</v>
      </c>
      <c r="N78" s="15">
        <f>IF(SUM(LightbringerAbilities3Scenario3[[#This Row],[takes]]) &gt; 0,LightbringerAbilities3Scenario3[[#This Row],[takes]]/SUM(LightbringerAbilities3Scenario3[takes]),0)</f>
        <v>0.8</v>
      </c>
      <c r="O78" s="15">
        <f>IF(LightbringerAbilities3Scenario3[[#This Row],[takes]]&gt;0,LightbringerAbilities3Scenario3[[#This Row],[wins]]/LightbringerAbilities3Scenario3[[#This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2</v>
      </c>
      <c r="M81" s="2">
        <f>COUNTIF(Scenario3[winner1-ability4],LightbringerAbilities4Scenario3[[#This Row],[ability]])</f>
        <v>2</v>
      </c>
      <c r="N81" s="12">
        <f>IF(SUM(LightbringerAbilities4Scenario3[[#This Row],[takes]]) &gt; 0,LightbringerAbilities4Scenario3[[#This Row],[takes]]/SUM(LightbringerAbilities4Scenario3[takes]),0)</f>
        <v>9.0909090909090912E-2</v>
      </c>
      <c r="O81" s="12">
        <f>IF(LightbringerAbilities4Scenario3[[#This Row],[takes]]&gt;0,LightbringerAbilities4Scenario3[[#This Row],[wins]]/LightbringerAbilities4Scenario3[[#This Row],[takes]],0)</f>
        <v>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2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9.0909090909090912E-2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18</v>
      </c>
      <c r="M83" s="2">
        <f>COUNTIF(Scenario3[winner1-ability4],LightbringerAbilities4Scenario3[[#This Row],[ability]])</f>
        <v>4</v>
      </c>
      <c r="N83" s="26">
        <f>IF(SUM(LightbringerAbilities4Scenario3[[#This Row],[takes]]) &gt; 0,LightbringerAbilities4Scenario3[[#This Row],[takes]]/SUM(LightbringerAbilities4Scenario3[takes]),0)</f>
        <v>0.81818181818181823</v>
      </c>
      <c r="O83" s="26">
        <f>IF(LightbringerAbilities4Scenario3[[#This Row],[takes]]&gt;0,LightbringerAbilities4Scenario3[[#This Row],[wins]]/LightbringerAbilities4Scenario3[[#This Row],[takes]],0)</f>
        <v>0.22222222222222221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6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5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41</v>
      </c>
      <c r="M88">
        <f>COUNTIF(Scenario4[winner1-ability1],LightbringerAbilities1Scenario4[[#This Row],[ability]])</f>
        <v>13</v>
      </c>
      <c r="N88" s="3">
        <f>IF(SUM(LightbringerAbilities1Scenario4[[#This Row],[takes]]) &gt; 0,LightbringerAbilities1Scenario4[[#This Row],[takes]]/SUM(LightbringerAbilities1Scenario4[takes]),0)</f>
        <v>0.7321428571428571</v>
      </c>
      <c r="O88" s="3">
        <f>IF(LightbringerAbilities1Scenario4[[#This Row],[takes]]&gt;0,LightbringerAbilities1Scenario4[[#This Row],[wins]]/LightbringerAbilities1Scenario4[[#This Row],[takes]],0)</f>
        <v>0.31707317073170732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5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15</v>
      </c>
      <c r="M89">
        <f>COUNTIF(Scenario4[winner1-ability1],LightbringerAbilities1Scenario4[[#This Row],[ability]])</f>
        <v>5</v>
      </c>
      <c r="N89" s="3">
        <f>IF(SUM(LightbringerAbilities1Scenario4[[#This Row],[takes]]) &gt; 0,LightbringerAbilities1Scenario4[[#This Row],[takes]]/SUM(LightbringerAbilities1Scenario4[takes]),0)</f>
        <v>0.26785714285714285</v>
      </c>
      <c r="O89" s="3">
        <f>IF(LightbringerAbilities1Scenario4[[#This Row],[takes]]&gt;0,LightbringerAbilities1Scenario4[[#This Row],[wins]]/LightbringerAbilities1Scenario4[[#This Row],[takes]],0)</f>
        <v>0.33333333333333331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47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46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26</v>
      </c>
      <c r="M93" s="2">
        <f>COUNTIF(Scenario4[winner1-ability2],LightbringerAbilities2Scenario4[[#This Row],[ability]])</f>
        <v>11</v>
      </c>
      <c r="N93" s="3">
        <f>IF(SUM(LightbringerAbilities2Scenario4[[#This Row],[takes]]) &gt; 0,LightbringerAbilities2Scenario4[[#This Row],[takes]]/SUM(LightbringerAbilities2Scenario4[takes]),0)</f>
        <v>0.4642857142857143</v>
      </c>
      <c r="O93" s="3">
        <f>IF(LightbringerAbilities2Scenario4[[#This Row],[takes]]&gt;0,LightbringerAbilities2Scenario4[[#This Row],[wins]]/LightbringerAbilities2Scenario4[[#This Row],[takes]],0)</f>
        <v>0.42307692307692307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30</v>
      </c>
      <c r="M94" s="2">
        <f>COUNTIF(Scenario4[winner1-ability2],LightbringerAbilities2Scenario4[[#This Row],[ability]])</f>
        <v>7</v>
      </c>
      <c r="N94" s="13">
        <f>IF(SUM(LightbringerAbilities2Scenario4[[#This Row],[takes]]) &gt; 0,LightbringerAbilities2Scenario4[[#This Row],[takes]]/SUM(LightbringerAbilities2Scenario4[takes]),0)</f>
        <v>0.5357142857142857</v>
      </c>
      <c r="O94" s="13">
        <f>IF(LightbringerAbilities2Scenario4[[#This Row],[takes]]&gt;0,LightbringerAbilities2Scenario4[[#This Row],[wins]]/LightbringerAbilities2Scenario4[[#This Row],[takes]],0)</f>
        <v>0.23333333333333334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3</v>
      </c>
      <c r="M97" s="1">
        <f>COUNTIF(Scenario4[winner1-ability3],LightbringerAbilities3Scenario4[[#This Row],[ability]])</f>
        <v>2</v>
      </c>
      <c r="N97" s="14">
        <f>IF(SUM(LightbringerAbilities3Scenario4[[#This Row],[takes]]) &gt; 0,LightbringerAbilities3Scenario4[[#This Row],[takes]]/SUM(LightbringerAbilities3Scenario4[takes]),0)</f>
        <v>5.4545454545454543E-2</v>
      </c>
      <c r="O97" s="14">
        <f>IF(LightbringerAbilities3Scenario4[[#This Row],[takes]]&gt;0,LightbringerAbilities3Scenario4[[#This Row],[wins]]/LightbringerAbilities3Scenario4[[#This Row],[takes]],0)</f>
        <v>0.66666666666666663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4</v>
      </c>
      <c r="M98" s="2">
        <f>COUNTIF(Scenario4[winner1-ability3],LightbringerAbilities3Scenario4[[#This Row],[ability]])</f>
        <v>1</v>
      </c>
      <c r="N98" s="12">
        <f>IF(SUM(LightbringerAbilities3Scenario4[[#This Row],[takes]]) &gt; 0,LightbringerAbilities3Scenario4[[#This Row],[takes]]/SUM(LightbringerAbilities3Scenario4[takes]),0)</f>
        <v>7.2727272727272724E-2</v>
      </c>
      <c r="O98" s="12">
        <f>IF(LightbringerAbilities3Scenario4[[#This Row],[takes]]&gt;0,LightbringerAbilities3Scenario4[[#This Row],[wins]]/LightbringerAbilities3Scenario4[[#This Row],[takes]],0)</f>
        <v>0.25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48</v>
      </c>
      <c r="M99" s="1">
        <f>COUNTIF(Scenario4[winner1-ability3],LightbringerAbilities3Scenario4[[#This Row],[ability]])</f>
        <v>15</v>
      </c>
      <c r="N99" s="15">
        <f>IF(SUM(LightbringerAbilities3Scenario4[[#This Row],[takes]]) &gt; 0,LightbringerAbilities3Scenario4[[#This Row],[takes]]/SUM(LightbringerAbilities3Scenario4[takes]),0)</f>
        <v>0.87272727272727268</v>
      </c>
      <c r="O99" s="15">
        <f>IF(LightbringerAbilities3Scenario4[[#This Row],[takes]]&gt;0,LightbringerAbilities3Scenario4[[#This Row],[wins]]/LightbringerAbilities3Scenario4[[#This Row],[takes]],0)</f>
        <v>0.3125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4</v>
      </c>
      <c r="M102" s="2">
        <f>COUNTIF(Scenario4[winner1-ability4],LightbringerAbilities4Scenario4[[#This Row],[ability]])</f>
        <v>3</v>
      </c>
      <c r="N102" s="12">
        <f>IF(SUM(LightbringerAbilities4Scenario4[[#This Row],[takes]]) &gt; 0,LightbringerAbilities4Scenario4[[#This Row],[takes]]/SUM(LightbringerAbilities4Scenario4[takes]),0)</f>
        <v>7.2727272727272724E-2</v>
      </c>
      <c r="O102" s="12">
        <f>IF(LightbringerAbilities4Scenario4[[#This Row],[takes]]&gt;0,LightbringerAbilities4Scenario4[[#This Row],[wins]]/LightbringerAbilities4Scenario4[[#This Row],[takes]],0)</f>
        <v>0.75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10</v>
      </c>
      <c r="M103" s="2">
        <f>COUNTIF(Scenario4[winner1-ability4],LightbringerAbilities4Scenario4[[#This Row],[ability]])</f>
        <v>6</v>
      </c>
      <c r="N103" s="12">
        <f>IF(SUM(LightbringerAbilities4Scenario4[[#This Row],[takes]]) &gt; 0,LightbringerAbilities4Scenario4[[#This Row],[takes]]/SUM(LightbringerAbilities4Scenario4[takes]),0)</f>
        <v>0.18181818181818182</v>
      </c>
      <c r="O103" s="12">
        <f>IF(LightbringerAbilities4Scenario4[[#This Row],[takes]]&gt;0,LightbringerAbilities4Scenario4[[#This Row],[wins]]/LightbringerAbilities4Scenario4[[#This Row],[takes]],0)</f>
        <v>0.6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41</v>
      </c>
      <c r="M104" s="2">
        <f>COUNTIF(Scenario4[winner1-ability4],LightbringerAbilities4Scenario4[[#This Row],[ability]])</f>
        <v>9</v>
      </c>
      <c r="N104" s="26">
        <f>IF(SUM(LightbringerAbilities4Scenario4[[#This Row],[takes]]) &gt; 0,LightbringerAbilities4Scenario4[[#This Row],[takes]]/SUM(LightbringerAbilities4Scenario4[takes]),0)</f>
        <v>0.74545454545454548</v>
      </c>
      <c r="O104" s="26">
        <f>IF(LightbringerAbilities4Scenario4[[#This Row],[takes]]&gt;0,LightbringerAbilities4Scenario4[[#This Row],[wins]]/LightbringerAbilities4Scenario4[[#This Row],[takes]],0)</f>
        <v>0.21951219512195122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</v>
      </c>
      <c r="M108">
        <f>COUNTIF(Scenario5[winner1-ability1],LightbringerAbilities1Scenario5[[#This Row],[ability]])+COUNTIF(Scenario5[winner2-ability1],LightbringerAbilities1Scenario5[[#This Row],[ability]])</f>
        <v>2</v>
      </c>
      <c r="N108" s="3">
        <f>IF(SUM(LightbringerAbilities1Scenario5[[#This Row],[takes]]) &gt; 0,LightbringerAbilities1Scenario5[[#This Row],[takes]]/SUM(LightbringerAbilities1Scenario5[takes]),0)</f>
        <v>2.3809523809523808E-2</v>
      </c>
      <c r="O108" s="3">
        <f>IF(LightbringerAbilities1Scenario5[[#This Row],[takes]]&gt;0,LightbringerAbilities1Scenario5[[#This Row],[wins]]/LightbringerAbilities1Scenario5[[#This Row],[takes]],0)</f>
        <v>0.5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50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78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100</v>
      </c>
      <c r="M109">
        <f>COUNTIF(Scenario5[winner1-ability1],LightbringerAbilities1Scenario5[[#This Row],[ability]])+COUNTIF(Scenario5[winner2-ability1],LightbringerAbilities1Scenario5[[#This Row],[ability]])</f>
        <v>59</v>
      </c>
      <c r="N109" s="3">
        <f>IF(SUM(LightbringerAbilities1Scenario5[[#This Row],[takes]]) &gt; 0,LightbringerAbilities1Scenario5[[#This Row],[takes]]/SUM(LightbringerAbilities1Scenario5[takes]),0)</f>
        <v>0.59523809523809523</v>
      </c>
      <c r="O109" s="3">
        <f>IF(LightbringerAbilities1Scenario5[[#This Row],[takes]]&gt;0,LightbringerAbilities1Scenario5[[#This Row],[wins]]/LightbringerAbilities1Scenario5[[#This Row],[takes]],0)</f>
        <v>0.59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45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35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64</v>
      </c>
      <c r="M110">
        <f>COUNTIF(Scenario5[winner1-ability1],LightbringerAbilities1Scenario5[[#This Row],[ability]])+COUNTIF(Scenario5[winner2-ability1],LightbringerAbilities1Scenario5[[#This Row],[ability]])</f>
        <v>41</v>
      </c>
      <c r="N110" s="3">
        <f>IF(SUM(LightbringerAbilities1Scenario5[[#This Row],[takes]]) &gt; 0,LightbringerAbilities1Scenario5[[#This Row],[takes]]/SUM(LightbringerAbilities1Scenario5[takes]),0)</f>
        <v>0.38095238095238093</v>
      </c>
      <c r="O110" s="3">
        <f>IF(LightbringerAbilities1Scenario5[[#This Row],[takes]]&gt;0,LightbringerAbilities1Scenario5[[#This Row],[wins]]/LightbringerAbilities1Scenario5[[#This Row],[takes]],0)</f>
        <v>0.640625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73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55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18</v>
      </c>
      <c r="M113" s="2">
        <f>COUNTIF(Scenario5[winner1-ability2],LightbringerAbilities2Scenario5[[#This Row],[ability]])+COUNTIF(Scenario5[winner2-ability2],LightbringerAbilities2Scenario5[[#This Row],[ability]])</f>
        <v>15</v>
      </c>
      <c r="N113" s="12">
        <f>IF(SUM(LightbringerAbilities2Scenario5[[#This Row],[takes]]) &gt; 0,LightbringerAbilities2Scenario5[[#This Row],[takes]]/SUM(LightbringerAbilities2Scenario5[takes]),0)</f>
        <v>0.10714285714285714</v>
      </c>
      <c r="O113" s="12">
        <f>IF(LightbringerAbilities2Scenario5[[#This Row],[takes]]&gt;0,LightbringerAbilities2Scenario5[[#This Row],[wins]]/LightbringerAbilities2Scenario5[[#This Row],[takes]],0)</f>
        <v>0.83333333333333337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70</v>
      </c>
      <c r="M114" s="2">
        <f>COUNTIF(Scenario5[winner1-ability2],LightbringerAbilities2Scenario5[[#This Row],[ability]])+COUNTIF(Scenario5[winner2-ability2],LightbringerAbilities2Scenario5[[#This Row],[ability]])</f>
        <v>41</v>
      </c>
      <c r="N114" s="3">
        <f>IF(SUM(LightbringerAbilities2Scenario5[[#This Row],[takes]]) &gt; 0,LightbringerAbilities2Scenario5[[#This Row],[takes]]/SUM(LightbringerAbilities2Scenario5[takes]),0)</f>
        <v>0.41666666666666669</v>
      </c>
      <c r="O114" s="3">
        <f>IF(LightbringerAbilities2Scenario5[[#This Row],[takes]]&gt;0,LightbringerAbilities2Scenario5[[#This Row],[wins]]/LightbringerAbilities2Scenario5[[#This Row],[takes]],0)</f>
        <v>0.58571428571428574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80</v>
      </c>
      <c r="M115" s="2">
        <f>COUNTIF(Scenario5[winner1-ability2],LightbringerAbilities2Scenario5[[#This Row],[ability]])+COUNTIF(Scenario5[winner2-ability2],LightbringerAbilities2Scenario5[[#This Row],[ability]])</f>
        <v>46</v>
      </c>
      <c r="N115" s="13">
        <f>IF(SUM(LightbringerAbilities2Scenario5[[#This Row],[takes]]) &gt; 0,LightbringerAbilities2Scenario5[[#This Row],[takes]]/SUM(LightbringerAbilities2Scenario5[takes]),0)</f>
        <v>0.47619047619047616</v>
      </c>
      <c r="O115" s="13">
        <f>IF(LightbringerAbilities2Scenario5[[#This Row],[takes]]&gt;0,LightbringerAbilities2Scenario5[[#This Row],[wins]]/LightbringerAbilities2Scenario5[[#This Row],[takes]],0)</f>
        <v>0.57499999999999996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22</v>
      </c>
      <c r="M118" s="1">
        <f>COUNTIF(Scenario5[winner1-ability3],LightbringerAbilities3Scenario5[[#This Row],[ability]])+COUNTIF(Scenario5[winner2-ability3],LightbringerAbilities3Scenario5[[#This Row],[ability]])</f>
        <v>15</v>
      </c>
      <c r="N118" s="14">
        <f>IF(SUM(LightbringerAbilities3Scenario5[[#This Row],[takes]]) &gt; 0,LightbringerAbilities3Scenario5[[#This Row],[takes]]/SUM(LightbringerAbilities3Scenario5[takes]),0)</f>
        <v>0.15068493150684931</v>
      </c>
      <c r="O118" s="14">
        <f>IF(LightbringerAbilities3Scenario5[[#This Row],[takes]]&gt;0,LightbringerAbilities3Scenario5[[#This Row],[wins]]/LightbringerAbilities3Scenario5[[#This Row],[takes]],0)</f>
        <v>0.68181818181818177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55</v>
      </c>
      <c r="M119" s="2">
        <f>COUNTIF(Scenario5[winner1-ability3],LightbringerAbilities3Scenario5[[#This Row],[ability]])+COUNTIF(Scenario5[winner2-ability3],LightbringerAbilities3Scenario5[[#This Row],[ability]])</f>
        <v>38</v>
      </c>
      <c r="N119" s="12">
        <f>IF(SUM(LightbringerAbilities3Scenario5[[#This Row],[takes]]) &gt; 0,LightbringerAbilities3Scenario5[[#This Row],[takes]]/SUM(LightbringerAbilities3Scenario5[takes]),0)</f>
        <v>0.37671232876712329</v>
      </c>
      <c r="O119" s="12">
        <f>IF(LightbringerAbilities3Scenario5[[#This Row],[takes]]&gt;0,LightbringerAbilities3Scenario5[[#This Row],[wins]]/LightbringerAbilities3Scenario5[[#This Row],[takes]],0)</f>
        <v>0.69090909090909092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69</v>
      </c>
      <c r="M120" s="1">
        <f>COUNTIF(Scenario5[winner1-ability3],LightbringerAbilities3Scenario5[[#This Row],[ability]])+COUNTIF(Scenario5[winner2-ability3],LightbringerAbilities3Scenario5[[#This Row],[ability]])</f>
        <v>43</v>
      </c>
      <c r="N120" s="15">
        <f>IF(SUM(LightbringerAbilities3Scenario5[[#This Row],[takes]]) &gt; 0,LightbringerAbilities3Scenario5[[#This Row],[takes]]/SUM(LightbringerAbilities3Scenario5[takes]),0)</f>
        <v>0.4726027397260274</v>
      </c>
      <c r="O120" s="15">
        <f>IF(LightbringerAbilities3Scenario5[[#This Row],[takes]]&gt;0,LightbringerAbilities3Scenario5[[#This Row],[wins]]/LightbringerAbilities3Scenario5[[#This Row],[takes]],0)</f>
        <v>0.62318840579710144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17</v>
      </c>
      <c r="M123" s="2">
        <f>COUNTIF(Scenario5[winner1-ability4],LightbringerAbilities4Scenario5[[#This Row],[ability]])+COUNTIF(Scenario5[winner2-ability4],LightbringerAbilities4Scenario5[[#This Row],[ability]])</f>
        <v>16</v>
      </c>
      <c r="N123" s="12">
        <f>IF(SUM(LightbringerAbilities4Scenario5[[#This Row],[takes]]) &gt; 0,LightbringerAbilities4Scenario5[[#This Row],[takes]]/SUM(LightbringerAbilities4Scenario5[takes]),0)</f>
        <v>0.16037735849056603</v>
      </c>
      <c r="O123" s="12">
        <f>IF(LightbringerAbilities4Scenario5[[#This Row],[takes]]&gt;0,LightbringerAbilities4Scenario5[[#This Row],[wins]]/LightbringerAbilities4Scenario5[[#This Row],[takes]],0)</f>
        <v>0.94117647058823528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40</v>
      </c>
      <c r="M124" s="2">
        <f>COUNTIF(Scenario5[winner1-ability4],LightbringerAbilities4Scenario5[[#This Row],[ability]])+COUNTIF(Scenario5[winner2-ability4],LightbringerAbilities4Scenario5[[#This Row],[ability]])</f>
        <v>31</v>
      </c>
      <c r="N124" s="12">
        <f>IF(SUM(LightbringerAbilities4Scenario5[[#This Row],[takes]]) &gt; 0,LightbringerAbilities4Scenario5[[#This Row],[takes]]/SUM(LightbringerAbilities4Scenario5[takes]),0)</f>
        <v>0.37735849056603776</v>
      </c>
      <c r="O124" s="12">
        <f>IF(LightbringerAbilities4Scenario5[[#This Row],[takes]]&gt;0,LightbringerAbilities4Scenario5[[#This Row],[wins]]/LightbringerAbilities4Scenario5[[#This Row],[takes]],0)</f>
        <v>0.77500000000000002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49</v>
      </c>
      <c r="M125" s="2">
        <f>COUNTIF(Scenario5[winner1-ability4],LightbringerAbilities4Scenario5[[#This Row],[ability]])+COUNTIF(Scenario5[winner2-ability4],LightbringerAbilities4Scenario5[[#This Row],[ability]])</f>
        <v>32</v>
      </c>
      <c r="N125" s="26">
        <f>IF(SUM(LightbringerAbilities4Scenario5[[#This Row],[takes]]) &gt; 0,LightbringerAbilities4Scenario5[[#This Row],[takes]]/SUM(LightbringerAbilities4Scenario5[takes]),0)</f>
        <v>0.46226415094339623</v>
      </c>
      <c r="O125" s="26">
        <f>IF(LightbringerAbilities4Scenario5[[#This Row],[takes]]&gt;0,LightbringerAbilities4Scenario5[[#This Row],[wins]]/LightbringerAbilities4Scenario5[[#This Row],[takes]],0)</f>
        <v>0.65306122448979587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I3" sqref="I3:I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0.12582781456953643</v>
      </c>
    </row>
    <row r="3" spans="1:24" x14ac:dyDescent="0.25">
      <c r="A3" t="s">
        <v>67</v>
      </c>
      <c r="B3">
        <f>M3+M24+M45+M66+M87+M108</f>
        <v>157</v>
      </c>
      <c r="C3">
        <f>N3+N24+N45+N66+N87+N108</f>
        <v>101</v>
      </c>
      <c r="D3" s="3">
        <f>IF(SUM(AvengerAbilities1[[#This Row],[takes]]) &gt; 0,AvengerAbilities1[[#This Row],[takes]]/SUM(AvengerAbilities1[takes]),0)</f>
        <v>0.25993377483443708</v>
      </c>
      <c r="E3" s="3">
        <f>IF(AvengerAbilities1[[#This Row],[takes]]&gt;0,AvengerAbilities1[[#This Row],[wins]]/AvengerAbilities1[[#This Row],[takes]],0)</f>
        <v>0.64331210191082799</v>
      </c>
      <c r="G3">
        <v>1</v>
      </c>
      <c r="H3">
        <f>S3+S24+S45+S66+S87+S108</f>
        <v>365</v>
      </c>
      <c r="I3">
        <f>T3+T24+T45+T66+T87+T108</f>
        <v>438</v>
      </c>
      <c r="J3" s="18">
        <f>U3+U24+U45+U66+U87+U108</f>
        <v>187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52</v>
      </c>
      <c r="N3">
        <f>COUNTIF(Scenario0[winner1-ability1],AvengerAbilities1Scenario0[[#This Row],[ability]])+COUNTIF(Scenario0[winner2-ability1],AvengerAbilities1Scenario0[[#This Row],[ability]])</f>
        <v>33</v>
      </c>
      <c r="O3" s="3">
        <f>IF(SUM(AvengerAbilities1Scenario0[[#This Row],[takes]]) &gt; 0,AvengerAbilities1Scenario0[[#This Row],[takes]]/SUM(AvengerAbilities1Scenario0[takes]),0)</f>
        <v>0.30952380952380953</v>
      </c>
      <c r="P3" s="3">
        <f>IF(AvengerAbilities1Scenario0[[#This Row],[takes]]&gt;0,AvengerAbilities1Scenario0[[#This Row],[wins]]/AvengerAbilities1Scenario0[[#This Row],[takes]],0)</f>
        <v>0.63461538461538458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142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149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89</v>
      </c>
      <c r="W3" t="s">
        <v>206</v>
      </c>
      <c r="X3" s="16">
        <f>H5/SUM(AvengerEquip[sabre])</f>
        <v>0.26986754966887416</v>
      </c>
    </row>
    <row r="4" spans="1:24" x14ac:dyDescent="0.25">
      <c r="A4" t="s">
        <v>152</v>
      </c>
      <c r="B4">
        <f t="shared" ref="B4:B5" si="0">M4+M25+M46+M67+M88+M109</f>
        <v>208</v>
      </c>
      <c r="C4">
        <f t="shared" ref="C4:C5" si="1">N4+N25+N46+N67+N88+N109</f>
        <v>130</v>
      </c>
      <c r="D4" s="3">
        <f>IF(SUM(AvengerAbilities1[[#This Row],[takes]]) &gt; 0,AvengerAbilities1[[#This Row],[takes]]/SUM(AvengerAbilities1[takes]),0)</f>
        <v>0.3443708609271523</v>
      </c>
      <c r="E4" s="3">
        <f>IF(AvengerAbilities1[[#This Row],[takes]]&gt;0,AvengerAbilities1[[#This Row],[wins]]/AvengerAbilities1[[#This Row],[takes]],0)</f>
        <v>0.625</v>
      </c>
      <c r="G4">
        <v>2</v>
      </c>
      <c r="H4">
        <f t="shared" ref="H4:H5" si="2">S4+S25+S46+S67+S88+S109</f>
        <v>76</v>
      </c>
      <c r="I4">
        <f t="shared" ref="I4:I5" si="3">T4+T25+T46+T67+T88+T109</f>
        <v>69</v>
      </c>
      <c r="J4" s="18">
        <f t="shared" ref="J4:J5" si="4">U4+U25+U46+U67+U88+U109</f>
        <v>256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115</v>
      </c>
      <c r="N4">
        <f>COUNTIF(Scenario0[winner1-ability1],AvengerAbilities1Scenario0[[#This Row],[ability]])+COUNTIF(Scenario0[winner2-ability1],AvengerAbilities1Scenario0[[#This Row],[ability]])</f>
        <v>70</v>
      </c>
      <c r="O4" s="3">
        <f>IF(SUM(AvengerAbilities1Scenario0[[#This Row],[takes]]) &gt; 0,AvengerAbilities1Scenario0[[#This Row],[takes]]/SUM(AvengerAbilities1Scenario0[takes]),0)</f>
        <v>0.68452380952380953</v>
      </c>
      <c r="P4" s="3">
        <f>IF(AvengerAbilities1Scenario0[[#This Row],[takes]]&gt;0,AvengerAbilities1Scenario0[[#This Row],[wins]]/AvengerAbilities1Scenario0[[#This Row],[takes]],0)</f>
        <v>0.60869565217391308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16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18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67</v>
      </c>
      <c r="W4" t="s">
        <v>207</v>
      </c>
      <c r="X4" s="3">
        <f>AvengerEquip[[#This Row],[blade]]/SUM(AvengerEquip[blade])</f>
        <v>0.11423841059602649</v>
      </c>
    </row>
    <row r="5" spans="1:24" x14ac:dyDescent="0.25">
      <c r="A5" t="s">
        <v>39</v>
      </c>
      <c r="B5">
        <f t="shared" si="0"/>
        <v>239</v>
      </c>
      <c r="C5">
        <f t="shared" si="1"/>
        <v>101</v>
      </c>
      <c r="D5" s="3">
        <f>IF(SUM(AvengerAbilities1[[#This Row],[takes]]) &gt; 0,AvengerAbilities1[[#This Row],[takes]]/SUM(AvengerAbilities1[takes]),0)</f>
        <v>0.39569536423841062</v>
      </c>
      <c r="E5" s="3">
        <f>IF(AvengerAbilities1[[#This Row],[takes]]&gt;0,AvengerAbilities1[[#This Row],[wins]]/AvengerAbilities1[[#This Row],[takes]],0)</f>
        <v>0.42259414225941422</v>
      </c>
      <c r="G5">
        <v>3</v>
      </c>
      <c r="H5">
        <f t="shared" si="2"/>
        <v>163</v>
      </c>
      <c r="I5">
        <f t="shared" si="3"/>
        <v>97</v>
      </c>
      <c r="J5" s="18">
        <f t="shared" si="4"/>
        <v>161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5.9523809523809521E-3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10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12</v>
      </c>
      <c r="W5" t="s">
        <v>208</v>
      </c>
      <c r="X5" s="16">
        <f>AvengerEquip[[#This Row],[blade]]/SUM(AvengerEquip[blade])</f>
        <v>0.16059602649006621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0.42384105960264901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0.26655629139072845</v>
      </c>
    </row>
    <row r="8" spans="1:24" x14ac:dyDescent="0.25">
      <c r="A8" s="2" t="s">
        <v>40</v>
      </c>
      <c r="B8" s="2">
        <f>M8+M29+M50+M71+M92+M113</f>
        <v>149</v>
      </c>
      <c r="C8" s="2">
        <f>N8+N29+N50+N71+N92+N113</f>
        <v>49</v>
      </c>
      <c r="D8" s="12">
        <f>IF(SUM(AvengerAbilities2[[#This Row],[takes]]) &gt; 0,AvengerAbilities2[[#This Row],[takes]]/SUM(AvengerAbilities2[takes]),0)</f>
        <v>0.31106471816283926</v>
      </c>
      <c r="E8" s="12">
        <f>IF(AvengerAbilities2[[#This Row],[takes]]&gt;0,AvengerAbilities2[[#This Row],[wins]]/AvengerAbilities2[[#This Row],[takes]],0)</f>
        <v>0.32885906040268459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9</v>
      </c>
      <c r="N8" s="2">
        <f>COUNTIF(Scenario0[winner1-ability2],AvengerAbilities2Scenario0[[#This Row],[ability]])+COUNTIF(Scenario0[winner2-ability2],AvengerAbilities2Scenario0[[#This Row],[ability]])</f>
        <v>5</v>
      </c>
      <c r="O8" s="12">
        <f>IF(SUM(AvengerAbilities2Scenario0[[#This Row],[takes]]) &gt; 0,AvengerAbilities2Scenario0[[#This Row],[takes]]/SUM(AvengerAbilities2Scenario0[takes]),0)</f>
        <v>9.4736842105263161E-2</v>
      </c>
      <c r="P8" s="12">
        <f>IF(AvengerAbilities2Scenario0[[#This Row],[takes]]&gt;0,AvengerAbilities2Scenario0[[#This Row],[wins]]/AvengerAbilities2Scenario0[[#This Row],[takes]],0)</f>
        <v>0.55555555555555558</v>
      </c>
      <c r="U8" s="18"/>
      <c r="W8" t="s">
        <v>176</v>
      </c>
      <c r="X8" s="3">
        <f>SUM(AvengerAbilities2[takes])/SUM(AvengerAbilities1[takes])</f>
        <v>0.79304635761589404</v>
      </c>
    </row>
    <row r="9" spans="1:24" x14ac:dyDescent="0.25">
      <c r="A9" t="s">
        <v>70</v>
      </c>
      <c r="B9" s="2">
        <f t="shared" ref="B9:B10" si="5">M9+M30+M51+M72+M93+M114</f>
        <v>210</v>
      </c>
      <c r="C9" s="2">
        <f t="shared" ref="C9:C10" si="6">N9+N30+N51+N72+N93+N114</f>
        <v>178</v>
      </c>
      <c r="D9" s="3">
        <f>IF(SUM(AvengerAbilities2[[#This Row],[takes]]) &gt; 0,AvengerAbilities2[[#This Row],[takes]]/SUM(AvengerAbilities2[takes]),0)</f>
        <v>0.43841336116910229</v>
      </c>
      <c r="E9" s="3">
        <f>IF(AvengerAbilities2[[#This Row],[takes]]&gt;0,AvengerAbilities2[[#This Row],[wins]]/AvengerAbilities2[[#This Row],[takes]],0)</f>
        <v>0.84761904761904761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79</v>
      </c>
      <c r="N9" s="2">
        <f>COUNTIF(Scenario0[winner1-ability2],AvengerAbilities2Scenario0[[#This Row],[ability]])+COUNTIF(Scenario0[winner2-ability2],AvengerAbilities2Scenario0[[#This Row],[ability]])</f>
        <v>69</v>
      </c>
      <c r="O9" s="3">
        <f>IF(SUM(AvengerAbilities2Scenario0[[#This Row],[takes]]) &gt; 0,AvengerAbilities2Scenario0[[#This Row],[takes]]/SUM(AvengerAbilities2Scenario0[takes]),0)</f>
        <v>0.83157894736842108</v>
      </c>
      <c r="P9" s="3">
        <f>IF(AvengerAbilities2Scenario0[[#This Row],[takes]]&gt;0,AvengerAbilities2Scenario0[[#This Row],[wins]]/AvengerAbilities2Scenario0[[#This Row],[takes]],0)</f>
        <v>0.87341772151898733</v>
      </c>
      <c r="U9" s="18"/>
      <c r="W9" t="s">
        <v>177</v>
      </c>
      <c r="X9" s="3">
        <f>SUM(AvengerAbilities3[takes])/SUM(AvengerAbilities1[takes])</f>
        <v>0.47019867549668876</v>
      </c>
    </row>
    <row r="10" spans="1:24" x14ac:dyDescent="0.25">
      <c r="A10" s="10" t="s">
        <v>96</v>
      </c>
      <c r="B10" s="2">
        <f t="shared" si="5"/>
        <v>120</v>
      </c>
      <c r="C10" s="2">
        <f t="shared" si="6"/>
        <v>53</v>
      </c>
      <c r="D10" s="13">
        <f>IF(SUM(AvengerAbilities2[[#This Row],[takes]]) &gt; 0,AvengerAbilities2[[#This Row],[takes]]/SUM(AvengerAbilities2[takes]),0)</f>
        <v>0.25052192066805845</v>
      </c>
      <c r="E10" s="13">
        <f>IF(AvengerAbilities2[[#This Row],[takes]]&gt;0,AvengerAbilities2[[#This Row],[wins]]/AvengerAbilities2[[#This Row],[takes]],0)</f>
        <v>0.44166666666666665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7</v>
      </c>
      <c r="N10" s="2">
        <f>COUNTIF(Scenario0[winner1-ability2],AvengerAbilities2Scenario0[[#This Row],[ability]])+COUNTIF(Scenario0[winner2-ability2],AvengerAbilities2Scenario0[[#This Row],[ability]])</f>
        <v>3</v>
      </c>
      <c r="O10" s="13">
        <f>IF(SUM(AvengerAbilities2Scenario0[[#This Row],[takes]]) &gt; 0,AvengerAbilities2Scenario0[[#This Row],[takes]]/SUM(AvengerAbilities2Scenario0[takes]),0)</f>
        <v>7.3684210526315783E-2</v>
      </c>
      <c r="P10" s="13">
        <f>IF(AvengerAbilities2Scenario0[[#This Row],[takes]]&gt;0,AvengerAbilities2Scenario0[[#This Row],[wins]]/AvengerAbilities2Scenario0[[#This Row],[takes]],0)</f>
        <v>0.42857142857142855</v>
      </c>
      <c r="U10" s="18"/>
      <c r="W10" t="s">
        <v>178</v>
      </c>
      <c r="X10" s="16">
        <f>SUM(AvengerAbilities4[takes])/SUM(AvengerAbilities1[takes])</f>
        <v>0.33774834437086093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2.9619205298013247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85</v>
      </c>
      <c r="C13" s="1">
        <f>N13+N34+N55+N76+N97+N118</f>
        <v>52</v>
      </c>
      <c r="D13" s="14">
        <f>IF(SUM(AvengerAbilities3[[#This Row],[takes]]) &gt; 0,AvengerAbilities3[[#This Row],[takes]]/SUM(AvengerAbilities3[takes]),0)</f>
        <v>0.29929577464788731</v>
      </c>
      <c r="E13" s="14">
        <f>IF(AvengerAbilities3[[#This Row],[takes]]&gt;0,AvengerAbilities3[[#This Row],[wins]]/AvengerAbilities3[[#This Row],[takes]],0)</f>
        <v>0.61176470588235299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10</v>
      </c>
      <c r="N13" s="1">
        <f>COUNTIF(Scenario0[winner1-ability3],AvengerAbilities3Scenario0[[#This Row],[ability]])+COUNTIF(Scenario0[winner2-ability3],AvengerAbilities3Scenario0[[#This Row],[ability]])</f>
        <v>7</v>
      </c>
      <c r="O13" s="14">
        <f>IF(SUM(AvengerAbilities3Scenario0[[#This Row],[takes]]) &gt; 0,AvengerAbilities3Scenario0[[#This Row],[takes]]/SUM(AvengerAbilities3Scenario0[takes]),0)</f>
        <v>0.5</v>
      </c>
      <c r="P13" s="14">
        <f>IF(AvengerAbilities3Scenario0[[#This Row],[takes]]&gt;0,AvengerAbilities3Scenario0[[#This Row],[wins]]/AvengerAbilities3Scenario0[[#This Row],[takes]],0)</f>
        <v>0.7</v>
      </c>
      <c r="U13" s="18"/>
    </row>
    <row r="14" spans="1:24" x14ac:dyDescent="0.25">
      <c r="A14" s="2" t="s">
        <v>153</v>
      </c>
      <c r="B14" s="2">
        <f t="shared" ref="B14:B15" si="7">M14+M35+M56+M77+M98+M119</f>
        <v>130</v>
      </c>
      <c r="C14" s="2">
        <f t="shared" ref="C14:C15" si="8">N14+N35+N56+N77+N98+N119</f>
        <v>48</v>
      </c>
      <c r="D14" s="12">
        <f>IF(SUM(AvengerAbilities3[[#This Row],[takes]]) &gt; 0,AvengerAbilities3[[#This Row],[takes]]/SUM(AvengerAbilities3[takes]),0)</f>
        <v>0.45774647887323944</v>
      </c>
      <c r="E14" s="12">
        <f>IF(AvengerAbilities3[[#This Row],[takes]]&gt;0,AvengerAbilities3[[#This Row],[wins]]/AvengerAbilities3[[#This Row],[takes]],0)</f>
        <v>0.36923076923076925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4</v>
      </c>
      <c r="N14" s="2">
        <f>COUNTIF(Scenario0[winner1-ability3],AvengerAbilities3Scenario0[[#This Row],[ability]])+COUNTIF(Scenario0[winner2-ability3],AvengerAbilities3Scenario0[[#This Row],[ability]])</f>
        <v>3</v>
      </c>
      <c r="O14" s="12">
        <f>IF(SUM(AvengerAbilities3Scenario0[[#This Row],[takes]]) &gt; 0,AvengerAbilities3Scenario0[[#This Row],[takes]]/SUM(AvengerAbilities3Scenario0[takes]),0)</f>
        <v>0.2</v>
      </c>
      <c r="P14" s="12">
        <f>IF(AvengerAbilities3Scenario0[[#This Row],[takes]]&gt;0,AvengerAbilities3Scenario0[[#This Row],[wins]]/AvengerAbilities3Scenario0[[#This Row],[takes]],0)</f>
        <v>0.75</v>
      </c>
      <c r="U14" s="18"/>
    </row>
    <row r="15" spans="1:24" x14ac:dyDescent="0.25">
      <c r="A15" s="11" t="s">
        <v>154</v>
      </c>
      <c r="B15" s="1">
        <f t="shared" si="7"/>
        <v>69</v>
      </c>
      <c r="C15" s="1">
        <f t="shared" si="8"/>
        <v>44</v>
      </c>
      <c r="D15" s="15">
        <f>IF(SUM(AvengerAbilities3[[#This Row],[takes]]) &gt; 0,AvengerAbilities3[[#This Row],[takes]]/SUM(AvengerAbilities3[takes]),0)</f>
        <v>0.24295774647887325</v>
      </c>
      <c r="E15" s="15">
        <f>IF(AvengerAbilities3[[#This Row],[takes]]&gt;0,AvengerAbilities3[[#This Row],[wins]]/AvengerAbilities3[[#This Row],[takes]],0)</f>
        <v>0.6376811594202898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6</v>
      </c>
      <c r="N15" s="1">
        <f>COUNTIF(Scenario0[winner1-ability3],AvengerAbilities3Scenario0[[#This Row],[ability]])+COUNTIF(Scenario0[winner2-ability3],AvengerAbilities3Scenario0[[#This Row],[ability]])</f>
        <v>5</v>
      </c>
      <c r="O15" s="15">
        <f>IF(SUM(AvengerAbilities3Scenario0[[#This Row],[takes]]) &gt; 0,AvengerAbilities3Scenario0[[#This Row],[takes]]/SUM(AvengerAbilities3Scenario0[takes]),0)</f>
        <v>0.3</v>
      </c>
      <c r="P15" s="15">
        <f>IF(AvengerAbilities3Scenario0[[#This Row],[takes]]&gt;0,AvengerAbilities3Scenario0[[#This Row],[wins]]/AvengerAbilities3Scenario0[[#This Row],[takes]],0)</f>
        <v>0.83333333333333337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20</v>
      </c>
      <c r="C18" s="2">
        <f>N18+N39+N60+N81+N102+N123</f>
        <v>15</v>
      </c>
      <c r="D18" s="12">
        <f>IF(SUM(AvengerAbilities4[[#This Row],[takes]]) &gt; 0,AvengerAbilities4[[#This Row],[takes]]/SUM(AvengerAbilities4[takes]),0)</f>
        <v>9.8039215686274508E-2</v>
      </c>
      <c r="E18" s="12">
        <f>IF(AvengerAbilities4[[#This Row],[takes]]&gt;0,AvengerAbilities4[[#This Row],[wins]]/AvengerAbilities4[[#This Row],[takes]],0)</f>
        <v>0.75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8" s="2">
        <f>COUNTIF(Scenario0[winner1-ability4],AvengerAbilities4Scenario0[[#This Row],[ability]])+COUNTIF(Scenario0[winner2-ability4],AvengerAbilities4Scenario0[[#This Row],[ability]])</f>
        <v>1</v>
      </c>
      <c r="O18" s="12">
        <f>IF(SUM(AvengerAbilities4Scenario0[[#This Row],[takes]]) &gt; 0,AvengerAbilities4Scenario0[[#This Row],[takes]]/SUM(AvengerAbilities4Scenario0[takes]),0)</f>
        <v>0.1</v>
      </c>
      <c r="P18" s="12">
        <f>IF(AvengerAbilities4Scenario0[[#This Row],[takes]]&gt;0,AvengerAbilities4Scenario0[[#This Row],[wins]]/AvengerAbilities4Scenario0[[#This Row],[takes]],0)</f>
        <v>1</v>
      </c>
      <c r="U18" s="18"/>
    </row>
    <row r="19" spans="1:21" x14ac:dyDescent="0.25">
      <c r="A19" s="2" t="s">
        <v>156</v>
      </c>
      <c r="B19" s="2">
        <f t="shared" ref="B19:B20" si="9">M19+M40+M61+M82+M103+M124</f>
        <v>66</v>
      </c>
      <c r="C19" s="2">
        <f t="shared" ref="C19:C20" si="10">N19+N40+N61+N82+N103+N124</f>
        <v>25</v>
      </c>
      <c r="D19" s="12">
        <f>IF(SUM(AvengerAbilities4[[#This Row],[takes]]) &gt; 0,AvengerAbilities4[[#This Row],[takes]]/SUM(AvengerAbilities4[takes]),0)</f>
        <v>0.3235294117647059</v>
      </c>
      <c r="E19" s="12">
        <f>IF(AvengerAbilities4[[#This Row],[takes]]&gt;0,AvengerAbilities4[[#This Row],[wins]]/AvengerAbilities4[[#This Row],[takes]],0)</f>
        <v>0.37878787878787878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118</v>
      </c>
      <c r="C20" s="2">
        <f t="shared" si="10"/>
        <v>57</v>
      </c>
      <c r="D20" s="26">
        <f>IF(SUM(AvengerAbilities4[[#This Row],[takes]]) &gt; 0,AvengerAbilities4[[#This Row],[takes]]/SUM(AvengerAbilities4[takes]),0)</f>
        <v>0.57843137254901966</v>
      </c>
      <c r="E20" s="26">
        <f>IF(AvengerAbilities4[[#This Row],[takes]]&gt;0,AvengerAbilities4[[#This Row],[wins]]/AvengerAbilities4[[#This Row],[takes]],0)</f>
        <v>0.48305084745762711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9</v>
      </c>
      <c r="N20" s="25">
        <f>COUNTIF(Scenario0[winner1-ability4],AvengerAbilities4Scenario0[[#This Row],[ability]])+COUNTIF(Scenario0[winner2-ability4],AvengerAbilities4Scenario0[[#This Row],[ability]])</f>
        <v>6</v>
      </c>
      <c r="O20" s="26">
        <f>IF(SUM(AvengerAbilities4Scenario0[[#This Row],[takes]]) &gt; 0,AvengerAbilities4Scenario0[[#This Row],[takes]]/SUM(AvengerAbilities4Scenario0[takes]),0)</f>
        <v>0.9</v>
      </c>
      <c r="P20" s="26">
        <f>IF(AvengerAbilities4Scenario0[[#This Row],[takes]]&gt;0,AvengerAbilities4Scenario0[[#This Row],[wins]]/AvengerAbilities4Scenario0[[#This Row],[takes]],0)</f>
        <v>0.66666666666666663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70</v>
      </c>
      <c r="N24">
        <f>COUNTIF(Scenario1[winner1-ability1],AvengerAbilities1Scenario1[[#This Row],[ability]])+COUNTIF(Scenario1[winner2-ability1],AvengerAbilities1Scenario1[[#This Row],[ability]])</f>
        <v>45</v>
      </c>
      <c r="O24" s="3">
        <f>IF(SUM(AvengerAbilities1Scenario1[[#This Row],[takes]]) &gt; 0,AvengerAbilities1Scenario1[[#This Row],[takes]]/SUM(AvengerAbilities1Scenario1[takes]),0)</f>
        <v>0.41666666666666669</v>
      </c>
      <c r="P24" s="3">
        <f>IF(AvengerAbilities1Scenario1[[#This Row],[takes]]&gt;0,AvengerAbilities1Scenario1[[#This Row],[wins]]/AvengerAbilities1Scenario1[[#This Row],[takes]],0)</f>
        <v>0.6428571428571429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121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153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78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81</v>
      </c>
      <c r="N25">
        <f>COUNTIF(Scenario1[winner1-ability1],AvengerAbilities1Scenario1[[#This Row],[ability]])+COUNTIF(Scenario1[winner2-ability1],AvengerAbilities1Scenario1[[#This Row],[ability]])</f>
        <v>57</v>
      </c>
      <c r="O25" s="3">
        <f>IF(SUM(AvengerAbilities1Scenario1[[#This Row],[takes]]) &gt; 0,AvengerAbilities1Scenario1[[#This Row],[takes]]/SUM(AvengerAbilities1Scenario1[takes]),0)</f>
        <v>0.48214285714285715</v>
      </c>
      <c r="P25" s="3">
        <f>IF(AvengerAbilities1Scenario1[[#This Row],[takes]]&gt;0,AvengerAbilities1Scenario1[[#This Row],[wins]]/AvengerAbilities1Scenario1[[#This Row],[takes]],0)</f>
        <v>0.70370370370370372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25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13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76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17</v>
      </c>
      <c r="N26">
        <f>COUNTIF(Scenario1[winner1-ability1],AvengerAbilities1Scenario1[[#This Row],[ability]])+COUNTIF(Scenario1[winner2-ability1],AvengerAbilities1Scenario1[[#This Row],[ability]])</f>
        <v>12</v>
      </c>
      <c r="O26" s="3">
        <f>IF(SUM(AvengerAbilities1Scenario1[[#This Row],[takes]]) &gt; 0,AvengerAbilities1Scenario1[[#This Row],[takes]]/SUM(AvengerAbilities1Scenario1[takes]),0)</f>
        <v>0.10119047619047619</v>
      </c>
      <c r="P26" s="3">
        <f>IF(AvengerAbilities1Scenario1[[#This Row],[takes]]&gt;0,AvengerAbilities1Scenario1[[#This Row],[wins]]/AvengerAbilities1Scenario1[[#This Row],[takes]],0)</f>
        <v>0.70588235294117652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22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2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13</v>
      </c>
      <c r="N29" s="2">
        <f>COUNTIF(Scenario1[winner1-ability2],AvengerAbilities2Scenario1[[#This Row],[ability]])+COUNTIF(Scenario1[winner2-ability2],AvengerAbilities2Scenario1[[#This Row],[ability]])</f>
        <v>3</v>
      </c>
      <c r="O29" s="12">
        <f>IF(SUM(AvengerAbilities2Scenario1[[#This Row],[takes]]) &gt; 0,AvengerAbilities2Scenario1[[#This Row],[takes]]/SUM(AvengerAbilities2Scenario1[takes]),0)</f>
        <v>0.10569105691056911</v>
      </c>
      <c r="P29" s="12">
        <f>IF(AvengerAbilities2Scenario1[[#This Row],[takes]]&gt;0,AvengerAbilities2Scenario1[[#This Row],[wins]]/AvengerAbilities2Scenario1[[#This Row],[takes]],0)</f>
        <v>0.23076923076923078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98</v>
      </c>
      <c r="N30" s="2">
        <f>COUNTIF(Scenario1[winner1-ability2],AvengerAbilities2Scenario1[[#This Row],[ability]])+COUNTIF(Scenario1[winner2-ability2],AvengerAbilities2Scenario1[[#This Row],[ability]])</f>
        <v>83</v>
      </c>
      <c r="O30" s="3">
        <f>IF(SUM(AvengerAbilities2Scenario1[[#This Row],[takes]]) &gt; 0,AvengerAbilities2Scenario1[[#This Row],[takes]]/SUM(AvengerAbilities2Scenario1[takes]),0)</f>
        <v>0.7967479674796748</v>
      </c>
      <c r="P30" s="3">
        <f>IF(AvengerAbilities2Scenario1[[#This Row],[takes]]&gt;0,AvengerAbilities2Scenario1[[#This Row],[wins]]/AvengerAbilities2Scenario1[[#This Row],[takes]],0)</f>
        <v>0.84693877551020413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12</v>
      </c>
      <c r="N31" s="2">
        <f>COUNTIF(Scenario1[winner1-ability2],AvengerAbilities2Scenario1[[#This Row],[ability]])+COUNTIF(Scenario1[winner2-ability2],AvengerAbilities2Scenario1[[#This Row],[ability]])</f>
        <v>4</v>
      </c>
      <c r="O31" s="13">
        <f>IF(SUM(AvengerAbilities2Scenario1[[#This Row],[takes]]) &gt; 0,AvengerAbilities2Scenario1[[#This Row],[takes]]/SUM(AvengerAbilities2Scenario1[takes]),0)</f>
        <v>9.7560975609756101E-2</v>
      </c>
      <c r="P31" s="13">
        <f>IF(AvengerAbilities2Scenario1[[#This Row],[takes]]&gt;0,AvengerAbilities2Scenario1[[#This Row],[wins]]/AvengerAbilities2Scenario1[[#This Row],[takes]],0)</f>
        <v>0.33333333333333331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28</v>
      </c>
      <c r="N34" s="1">
        <f>COUNTIF(Scenario1[winner1-ability3],AvengerAbilities3Scenario1[[#This Row],[ability]])+COUNTIF(Scenario1[winner2-ability3],AvengerAbilities3Scenario1[[#This Row],[ability]])</f>
        <v>21</v>
      </c>
      <c r="O34" s="14">
        <f>IF(SUM(AvengerAbilities3Scenario1[[#This Row],[takes]]) &gt; 0,AvengerAbilities3Scenario1[[#This Row],[takes]]/SUM(AvengerAbilities3Scenario1[takes]),0)</f>
        <v>0.60869565217391308</v>
      </c>
      <c r="P34" s="14">
        <f>IF(AvengerAbilities3Scenario1[[#This Row],[takes]]&gt;0,AvengerAbilities3Scenario1[[#This Row],[wins]]/AvengerAbilities3Scenario1[[#This Row],[takes]],0)</f>
        <v>0.75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9</v>
      </c>
      <c r="N35" s="2">
        <f>COUNTIF(Scenario1[winner1-ability3],AvengerAbilities3Scenario1[[#This Row],[ability]])+COUNTIF(Scenario1[winner2-ability3],AvengerAbilities3Scenario1[[#This Row],[ability]])</f>
        <v>4</v>
      </c>
      <c r="O35" s="12">
        <f>IF(SUM(AvengerAbilities3Scenario1[[#This Row],[takes]]) &gt; 0,AvengerAbilities3Scenario1[[#This Row],[takes]]/SUM(AvengerAbilities3Scenario1[takes]),0)</f>
        <v>0.19565217391304349</v>
      </c>
      <c r="P35" s="12">
        <f>IF(AvengerAbilities3Scenario1[[#This Row],[takes]]&gt;0,AvengerAbilities3Scenario1[[#This Row],[wins]]/AvengerAbilities3Scenario1[[#This Row],[takes]],0)</f>
        <v>0.44444444444444442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9</v>
      </c>
      <c r="N36" s="1">
        <f>COUNTIF(Scenario1[winner1-ability3],AvengerAbilities3Scenario1[[#This Row],[ability]])+COUNTIF(Scenario1[winner2-ability3],AvengerAbilities3Scenario1[[#This Row],[ability]])</f>
        <v>7</v>
      </c>
      <c r="O36" s="15">
        <f>IF(SUM(AvengerAbilities3Scenario1[[#This Row],[takes]]) &gt; 0,AvengerAbilities3Scenario1[[#This Row],[takes]]/SUM(AvengerAbilities3Scenario1[takes]),0)</f>
        <v>0.19565217391304349</v>
      </c>
      <c r="P36" s="15">
        <f>IF(AvengerAbilities3Scenario1[[#This Row],[takes]]&gt;0,AvengerAbilities3Scenario1[[#This Row],[wins]]/AvengerAbilities3Scenario1[[#This Row],[takes]],0)</f>
        <v>0.77777777777777779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3</v>
      </c>
      <c r="N39" s="2">
        <f>COUNTIF(Scenario1[winner1-ability4],AvengerAbilities4Scenario1[[#This Row],[ability]])+COUNTIF(Scenario1[winner2-ability4],AvengerAbilities4Scenario1[[#This Row],[ability]])</f>
        <v>3</v>
      </c>
      <c r="O39" s="12">
        <f>IF(SUM(AvengerAbilities4Scenario1[[#This Row],[takes]]) &gt; 0,AvengerAbilities4Scenario1[[#This Row],[takes]]/SUM(AvengerAbilities4Scenario1[takes]),0)</f>
        <v>0.15</v>
      </c>
      <c r="P39" s="12">
        <f>IF(AvengerAbilities4Scenario1[[#This Row],[takes]]&gt;0,AvengerAbilities4Scenario1[[#This Row],[wins]]/AvengerAbilities4Scenario1[[#This Row],[takes]],0)</f>
        <v>1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0" s="2">
        <f>COUNTIF(Scenario1[winner1-ability4],AvengerAbilities4Scenario1[[#This Row],[ability]])+COUNTIF(Scenario1[winner2-ability4],AvengerAbilities4Scenario1[[#This Row],[ability]])</f>
        <v>1</v>
      </c>
      <c r="O40" s="12">
        <f>IF(SUM(AvengerAbilities4Scenario1[[#This Row],[takes]]) &gt; 0,AvengerAbilities4Scenario1[[#This Row],[takes]]/SUM(AvengerAbilities4Scenario1[takes]),0)</f>
        <v>0.05</v>
      </c>
      <c r="P40" s="12">
        <f>IF(AvengerAbilities4Scenario1[[#This Row],[takes]]&gt;0,AvengerAbilities4Scenario1[[#This Row],[wins]]/AvengerAbilities4Scenario1[[#This Row],[takes]],0)</f>
        <v>1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16</v>
      </c>
      <c r="N41" s="2">
        <f>COUNTIF(Scenario1[winner1-ability4],AvengerAbilities4Scenario1[[#This Row],[ability]])+COUNTIF(Scenario1[winner2-ability4],AvengerAbilities4Scenario1[[#This Row],[ability]])</f>
        <v>9</v>
      </c>
      <c r="O41" s="26">
        <f>IF(SUM(AvengerAbilities4Scenario1[[#This Row],[takes]]) &gt; 0,AvengerAbilities4Scenario1[[#This Row],[takes]]/SUM(AvengerAbilities4Scenario1[takes]),0)</f>
        <v>0.8</v>
      </c>
      <c r="P41" s="26">
        <f>IF(AvengerAbilities4Scenario1[[#This Row],[takes]]&gt;0,AvengerAbilities4Scenario1[[#This Row],[wins]]/AvengerAbilities4Scenario1[[#This Row],[takes]],0)</f>
        <v>0.5625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7</v>
      </c>
      <c r="T45">
        <f>COUNTIFS(Scenario2[winner1],"avenger",Scenario2[winner1-sw],AvengerEquipScenario2[[#This Row],[level]])+COUNTIFS(Scenario2[loser1],"avenger",Scenario2[loser1-sw],AvengerEquipScenario2[[#This Row],[level]])</f>
        <v>10</v>
      </c>
      <c r="U45" s="18">
        <f>COUNTIFS(Scenario2[winner1],"avenger",Scenario2[winner1-cp],AvengerEquipScenario2[[#This Row],[level]])+COUNTIFS(Scenario2[loser1],"avenger",Scenario2[loser1-cp],AvengerEquipScenario2[[#This Row],[level]])</f>
        <v>1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1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6.25E-2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4</v>
      </c>
      <c r="U46" s="18">
        <f>COUNTIFS(Scenario2[winner1],"avenger",Scenario2[winner1-cp],AvengerEquipScenario2[[#This Row],[level]])+COUNTIFS(Scenario2[loser1],"avenger",Scenario2[loser1-cp],AvengerEquipScenario2[[#This Row],[level]])</f>
        <v>10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15</v>
      </c>
      <c r="N47">
        <f>COUNTIF(Scenario2[winner1-ability1],AvengerAbilities1Scenario2[[#This Row],[ability]])</f>
        <v>8</v>
      </c>
      <c r="O47" s="3">
        <f>IF(SUM(AvengerAbilities1Scenario2[[#This Row],[takes]]) &gt; 0,AvengerAbilities1Scenario2[[#This Row],[takes]]/SUM(AvengerAbilities1Scenario2[takes]),0)</f>
        <v>0.9375</v>
      </c>
      <c r="P47" s="3">
        <f>IF(AvengerAbilities1Scenario2[[#This Row],[takes]]&gt;0,AvengerAbilities1Scenario2[[#This Row],[wins]]/AvengerAbilities1Scenario2[[#This Row],[takes]],0)</f>
        <v>0.53333333333333333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2</v>
      </c>
      <c r="U47" s="18">
        <f>COUNTIFS(Scenario2[winner1],"avenger",Scenario2[winner1-cp],AvengerEquipScenario2[[#This Row],[level]])+COUNTIFS(Scenario2[loser1],"avenger",Scenario2[loser1-cp],AvengerEquipScenario2[[#This Row],[level]])</f>
        <v>5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6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0.375</v>
      </c>
      <c r="P50" s="12">
        <f>IF(AvengerAbilities2Scenario2[[#This Row],[takes]]&gt;0,AvengerAbilities2Scenario2[[#This Row],[wins]]/AvengerAbilities2Scenario2[[#This Row],[takes]],0)</f>
        <v>0.16666666666666666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4</v>
      </c>
      <c r="N51" s="2">
        <f>COUNTIF(Scenario2[winner1-ability2],AvengerAbilities2Scenario2[[#This Row],[ability]])</f>
        <v>4</v>
      </c>
      <c r="O51" s="3">
        <f>IF(SUM(AvengerAbilities2Scenario2[[#This Row],[takes]]) &gt; 0,AvengerAbilities2Scenario2[[#This Row],[takes]]/SUM(AvengerAbilities2Scenario2[takes]),0)</f>
        <v>0.25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6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0.375</v>
      </c>
      <c r="P52" s="13">
        <f>IF(AvengerAbilities2Scenario2[[#This Row],[takes]]&gt;0,AvengerAbilities2Scenario2[[#This Row],[wins]]/AvengerAbilities2Scenario2[[#This Row],[takes]],0)</f>
        <v>0.5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4</v>
      </c>
      <c r="N55" s="1">
        <f>COUNTIF(Scenario2[winner1-ability3],AvengerAbilities3Scenario2[[#This Row],[ability]])</f>
        <v>2</v>
      </c>
      <c r="O55" s="14">
        <f>IF(SUM(AvengerAbilities3Scenario2[[#This Row],[takes]]) &gt; 0,AvengerAbilities3Scenario2[[#This Row],[takes]]/SUM(AvengerAbilities3Scenario2[takes]),0)</f>
        <v>0.30769230769230771</v>
      </c>
      <c r="P55" s="14">
        <f>IF(AvengerAbilities3Scenario2[[#This Row],[takes]]&gt;0,AvengerAbilities3Scenario2[[#This Row],[wins]]/AvengerAbilities3Scenario2[[#This Row],[takes]],0)</f>
        <v>0.5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7</v>
      </c>
      <c r="N56" s="2">
        <f>COUNTIF(Scenario2[winner1-ability3],AvengerAbilities3Scenario2[[#This Row],[ability]])</f>
        <v>5</v>
      </c>
      <c r="O56" s="12">
        <f>IF(SUM(AvengerAbilities3Scenario2[[#This Row],[takes]]) &gt; 0,AvengerAbilities3Scenario2[[#This Row],[takes]]/SUM(AvengerAbilities3Scenario2[takes]),0)</f>
        <v>0.53846153846153844</v>
      </c>
      <c r="P56" s="12">
        <f>IF(AvengerAbilities3Scenario2[[#This Row],[takes]]&gt;0,AvengerAbilities3Scenario2[[#This Row],[wins]]/AvengerAbilities3Scenario2[[#This Row],[takes]],0)</f>
        <v>0.7142857142857143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2</v>
      </c>
      <c r="N57" s="1">
        <f>COUNTIF(Scenario2[winner1-ability3],AvengerAbilities3Scenario2[[#This Row],[ability]])</f>
        <v>0</v>
      </c>
      <c r="O57" s="15">
        <f>IF(SUM(AvengerAbilities3Scenario2[[#This Row],[takes]]) &gt; 0,AvengerAbilities3Scenario2[[#This Row],[takes]]/SUM(AvengerAbilities3Scenario2[takes]),0)</f>
        <v>0.15384615384615385</v>
      </c>
      <c r="P57" s="15">
        <f>IF(AvengerAbilities3Scenario2[[#This Row],[takes]]&gt;0,AvengerAbilities3Scenario2[[#This Row],[wins]]/AvengerAbilities3Scenario2[[#This Row],[takes]],0)</f>
        <v>0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1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0.14285714285714285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2</v>
      </c>
      <c r="N61" s="2">
        <f>COUNTIF(Scenario2[winner1-ability4],AvengerAbilities4Scenario2[[#This Row],[ability]])</f>
        <v>2</v>
      </c>
      <c r="O61" s="12">
        <f>IF(SUM(AvengerAbilities4Scenario2[[#This Row],[takes]]) &gt; 0,AvengerAbilities4Scenario2[[#This Row],[takes]]/SUM(AvengerAbilities4Scenario2[takes]),0)</f>
        <v>0.2857142857142857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4</v>
      </c>
      <c r="N62" s="2">
        <f>COUNTIF(Scenario2[winner1-ability4],AvengerAbilities4Scenario2[[#This Row],[ability]])</f>
        <v>2</v>
      </c>
      <c r="O62" s="26">
        <f>IF(SUM(AvengerAbilities4Scenario2[[#This Row],[takes]]) &gt; 0,AvengerAbilities4Scenario2[[#This Row],[takes]]/SUM(AvengerAbilities4Scenario2[takes]),0)</f>
        <v>0.5714285714285714</v>
      </c>
      <c r="P62" s="26">
        <f>IF(AvengerAbilities4Scenario2[[#This Row],[takes]]&gt;0,AvengerAbilities4Scenario2[[#This Row],[wins]]/AvengerAbilities4Scenario2[[#This Row],[takes]],0)</f>
        <v>0.5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11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12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3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3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8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28</v>
      </c>
      <c r="N68">
        <f>COUNTIF(Scenario3[winner1-ability1],AvengerAbilities1Scenario3[[#This Row],[ability]])</f>
        <v>8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0.2857142857142857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14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13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19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17</v>
      </c>
      <c r="N71" s="2">
        <f>COUNTIF(Scenario3[winner1-ability2],AvengerAbilities2Scenario3[[#This Row],[ability]])</f>
        <v>6</v>
      </c>
      <c r="O71" s="12">
        <f>IF(SUM(AvengerAbilities2Scenario3[[#This Row],[takes]]) &gt; 0,AvengerAbilities2Scenario3[[#This Row],[takes]]/SUM(AvengerAbilities2Scenario3[takes]),0)</f>
        <v>0.6071428571428571</v>
      </c>
      <c r="P71" s="12">
        <f>IF(AvengerAbilities2Scenario3[[#This Row],[takes]]&gt;0,AvengerAbilities2Scenario3[[#This Row],[wins]]/AvengerAbilities2Scenario3[[#This Row],[takes]],0)</f>
        <v>0.35294117647058826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11</v>
      </c>
      <c r="N73" s="2">
        <f>COUNTIF(Scenario3[winner1-ability2],AvengerAbilities2Scenario3[[#This Row],[ability]])</f>
        <v>2</v>
      </c>
      <c r="O73" s="13">
        <f>IF(SUM(AvengerAbilities2Scenario3[[#This Row],[takes]]) &gt; 0,AvengerAbilities2Scenario3[[#This Row],[takes]]/SUM(AvengerAbilities2Scenario3[takes]),0)</f>
        <v>0.39285714285714285</v>
      </c>
      <c r="P73" s="13">
        <f>IF(AvengerAbilities2Scenario3[[#This Row],[takes]]&gt;0,AvengerAbilities2Scenario3[[#This Row],[wins]]/AvengerAbilities2Scenario3[[#This Row],[takes]],0)</f>
        <v>0.18181818181818182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6" s="1">
        <f>COUNTIF(Scenario3[winner1-ability3],AvengerAbilities3Scenario3[[#This Row],[ability]])</f>
        <v>2</v>
      </c>
      <c r="O76" s="14">
        <f>IF(SUM(AvengerAbilities3Scenario3[[#This Row],[takes]]) &gt; 0,AvengerAbilities3Scenario3[[#This Row],[takes]]/SUM(AvengerAbilities3Scenario3[takes]),0)</f>
        <v>0.15384615384615385</v>
      </c>
      <c r="P76" s="14">
        <f>IF(AvengerAbilities3Scenario3[[#This Row],[takes]]&gt;0,AvengerAbilities3Scenario3[[#This Row],[wins]]/AvengerAbilities3Scenario3[[#This Row],[takes]],0)</f>
        <v>0.5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18</v>
      </c>
      <c r="N77" s="2">
        <f>COUNTIF(Scenario3[winner1-ability3],AvengerAbilities3Scenario3[[#This Row],[ability]])</f>
        <v>5</v>
      </c>
      <c r="O77" s="12">
        <f>IF(SUM(AvengerAbilities3Scenario3[[#This Row],[takes]]) &gt; 0,AvengerAbilities3Scenario3[[#This Row],[takes]]/SUM(AvengerAbilities3Scenario3[takes]),0)</f>
        <v>0.69230769230769229</v>
      </c>
      <c r="P77" s="12">
        <f>IF(AvengerAbilities3Scenario3[[#This Row],[takes]]&gt;0,AvengerAbilities3Scenario3[[#This Row],[wins]]/AvengerAbilities3Scenario3[[#This Row],[takes]],0)</f>
        <v>0.27777777777777779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8" s="1">
        <f>COUNTIF(Scenario3[winner1-ability3],AvengerAbilities3Scenario3[[#This Row],[ability]])</f>
        <v>1</v>
      </c>
      <c r="O78" s="15">
        <f>IF(SUM(AvengerAbilities3Scenario3[[#This Row],[takes]]) &gt; 0,AvengerAbilities3Scenario3[[#This Row],[takes]]/SUM(AvengerAbilities3Scenario3[takes]),0)</f>
        <v>0.15384615384615385</v>
      </c>
      <c r="P78" s="15">
        <f>IF(AvengerAbilities3Scenario3[[#This Row],[takes]]&gt;0,AvengerAbilities3Scenario3[[#This Row],[wins]]/AvengerAbilities3Scenario3[[#This Row],[takes]],0)</f>
        <v>0.25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3</v>
      </c>
      <c r="N81" s="2">
        <f>COUNTIF(Scenario3[winner1-ability4],AvengerAbilities4Scenario3[[#This Row],[ability]])</f>
        <v>2</v>
      </c>
      <c r="O81" s="12">
        <f>IF(SUM(AvengerAbilities4Scenario3[[#This Row],[takes]]) &gt; 0,AvengerAbilities4Scenario3[[#This Row],[takes]]/SUM(AvengerAbilities4Scenario3[takes]),0)</f>
        <v>0.13636363636363635</v>
      </c>
      <c r="P81" s="12">
        <f>IF(AvengerAbilities4Scenario3[[#This Row],[takes]]&gt;0,AvengerAbilities4Scenario3[[#This Row],[wins]]/AvengerAbilities4Scenario3[[#This Row],[takes]],0)</f>
        <v>0.66666666666666663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13</v>
      </c>
      <c r="N82" s="2">
        <f>COUNTIF(Scenario3[winner1-ability4],AvengerAbilities4Scenario3[[#This Row],[ability]])</f>
        <v>5</v>
      </c>
      <c r="O82" s="12">
        <f>IF(SUM(AvengerAbilities4Scenario3[[#This Row],[takes]]) &gt; 0,AvengerAbilities4Scenario3[[#This Row],[takes]]/SUM(AvengerAbilities4Scenario3[takes]),0)</f>
        <v>0.59090909090909094</v>
      </c>
      <c r="P82" s="12">
        <f>IF(AvengerAbilities4Scenario3[[#This Row],[takes]]&gt;0,AvengerAbilities4Scenario3[[#This Row],[wins]]/AvengerAbilities4Scenario3[[#This Row],[takes]],0)</f>
        <v>0.38461538461538464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6</v>
      </c>
      <c r="N83" s="2">
        <f>COUNTIF(Scenario3[winner1-ability4],AvengerAbilities4Scenario3[[#This Row],[ability]])</f>
        <v>1</v>
      </c>
      <c r="O83" s="26">
        <f>IF(SUM(AvengerAbilities4Scenario3[[#This Row],[takes]]) &gt; 0,AvengerAbilities4Scenario3[[#This Row],[takes]]/SUM(AvengerAbilities4Scenario3[takes]),0)</f>
        <v>0.27272727272727271</v>
      </c>
      <c r="P83" s="26">
        <f>IF(AvengerAbilities4Scenario3[[#This Row],[takes]]&gt;0,AvengerAbilities4Scenario3[[#This Row],[wins]]/AvengerAbilities4Scenario3[[#This Row],[takes]],0)</f>
        <v>0.16666666666666666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1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4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7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8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56</v>
      </c>
      <c r="N89">
        <f>COUNTIF(Scenario4[winner1-ability1],AvengerAbilities1Scenario4[[#This Row],[ability]])</f>
        <v>12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0.21428571428571427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48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44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51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42</v>
      </c>
      <c r="N92" s="2">
        <f>COUNTIF(Scenario4[winner1-ability2],AvengerAbilities2Scenario4[[#This Row],[ability]])</f>
        <v>7</v>
      </c>
      <c r="O92" s="12">
        <f>IF(SUM(AvengerAbilities2Scenario4[[#This Row],[takes]]) &gt; 0,AvengerAbilities2Scenario4[[#This Row],[takes]]/SUM(AvengerAbilities2Scenario4[takes]),0)</f>
        <v>0.75</v>
      </c>
      <c r="P92" s="12">
        <f>IF(AvengerAbilities2Scenario4[[#This Row],[takes]]&gt;0,AvengerAbilities2Scenario4[[#This Row],[wins]]/AvengerAbilities2Scenario4[[#This Row],[takes]],0)</f>
        <v>0.16666666666666666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5.3571428571428568E-2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11</v>
      </c>
      <c r="N94" s="2">
        <f>COUNTIF(Scenario4[winner1-ability2],AvengerAbilities2Scenario4[[#This Row],[ability]])</f>
        <v>5</v>
      </c>
      <c r="O94" s="13">
        <f>IF(SUM(AvengerAbilities2Scenario4[[#This Row],[takes]]) &gt; 0,AvengerAbilities2Scenario4[[#This Row],[takes]]/SUM(AvengerAbilities2Scenario4[takes]),0)</f>
        <v>0.19642857142857142</v>
      </c>
      <c r="P94" s="13">
        <f>IF(AvengerAbilities2Scenario4[[#This Row],[takes]]&gt;0,AvengerAbilities2Scenario4[[#This Row],[wins]]/AvengerAbilities2Scenario4[[#This Row],[takes]],0)</f>
        <v>0.45454545454545453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12</v>
      </c>
      <c r="N97" s="1">
        <f>COUNTIF(Scenario4[winner1-ability3],AvengerAbilities3Scenario4[[#This Row],[ability]])</f>
        <v>5</v>
      </c>
      <c r="O97" s="14">
        <f>IF(SUM(AvengerAbilities3Scenario4[[#This Row],[takes]]) &gt; 0,AvengerAbilities3Scenario4[[#This Row],[takes]]/SUM(AvengerAbilities3Scenario4[takes]),0)</f>
        <v>0.21428571428571427</v>
      </c>
      <c r="P97" s="14">
        <f>IF(AvengerAbilities3Scenario4[[#This Row],[takes]]&gt;0,AvengerAbilities3Scenario4[[#This Row],[wins]]/AvengerAbilities3Scenario4[[#This Row],[takes]],0)</f>
        <v>0.41666666666666669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35</v>
      </c>
      <c r="N98" s="2">
        <f>COUNTIF(Scenario4[winner1-ability3],AvengerAbilities3Scenario4[[#This Row],[ability]])</f>
        <v>5</v>
      </c>
      <c r="O98" s="12">
        <f>IF(SUM(AvengerAbilities3Scenario4[[#This Row],[takes]]) &gt; 0,AvengerAbilities3Scenario4[[#This Row],[takes]]/SUM(AvengerAbilities3Scenario4[takes]),0)</f>
        <v>0.625</v>
      </c>
      <c r="P98" s="12">
        <f>IF(AvengerAbilities3Scenario4[[#This Row],[takes]]&gt;0,AvengerAbilities3Scenario4[[#This Row],[wins]]/AvengerAbilities3Scenario4[[#This Row],[takes]],0)</f>
        <v>0.14285714285714285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9</v>
      </c>
      <c r="N99" s="1">
        <f>COUNTIF(Scenario4[winner1-ability3],AvengerAbilities3Scenario4[[#This Row],[ability]])</f>
        <v>2</v>
      </c>
      <c r="O99" s="15">
        <f>IF(SUM(AvengerAbilities3Scenario4[[#This Row],[takes]]) &gt; 0,AvengerAbilities3Scenario4[[#This Row],[takes]]/SUM(AvengerAbilities3Scenario4[takes]),0)</f>
        <v>0.16071428571428573</v>
      </c>
      <c r="P99" s="15">
        <f>IF(AvengerAbilities3Scenario4[[#This Row],[takes]]&gt;0,AvengerAbilities3Scenario4[[#This Row],[wins]]/AvengerAbilities3Scenario4[[#This Row],[takes]],0)</f>
        <v>0.22222222222222221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</v>
      </c>
      <c r="N102" s="2">
        <f>COUNTIF(Scenario4[winner1-ability4],AvengerAbilities4Scenario4[[#This Row],[ability]])</f>
        <v>1</v>
      </c>
      <c r="O102" s="12">
        <f>IF(SUM(AvengerAbilities4Scenario4[[#This Row],[takes]]) &gt; 0,AvengerAbilities4Scenario4[[#This Row],[takes]]/SUM(AvengerAbilities4Scenario4[takes]),0)</f>
        <v>3.8461538461538464E-2</v>
      </c>
      <c r="P102" s="12">
        <f>IF(AvengerAbilities4Scenario4[[#This Row],[takes]]&gt;0,AvengerAbilities4Scenario4[[#This Row],[wins]]/AvengerAbilities4Scenario4[[#This Row],[takes]],0)</f>
        <v>0.5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41</v>
      </c>
      <c r="N103" s="2">
        <f>COUNTIF(Scenario4[winner1-ability4],AvengerAbilities4Scenario4[[#This Row],[ability]])</f>
        <v>11</v>
      </c>
      <c r="O103" s="12">
        <f>IF(SUM(AvengerAbilities4Scenario4[[#This Row],[takes]]) &gt; 0,AvengerAbilities4Scenario4[[#This Row],[takes]]/SUM(AvengerAbilities4Scenario4[takes]),0)</f>
        <v>0.78846153846153844</v>
      </c>
      <c r="P103" s="12">
        <f>IF(AvengerAbilities4Scenario4[[#This Row],[takes]]&gt;0,AvengerAbilities4Scenario4[[#This Row],[wins]]/AvengerAbilities4Scenario4[[#This Row],[takes]],0)</f>
        <v>0.26829268292682928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9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0.17307692307692307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35</v>
      </c>
      <c r="N108">
        <f>COUNTIF(Scenario5[winner1-ability1],AvengerAbilities1Scenario5[[#This Row],[ability]])+COUNTIF(Scenario5[winner2-ability1],AvengerAbilities1Scenario5[[#This Row],[ability]])</f>
        <v>23</v>
      </c>
      <c r="O108" s="3">
        <f>IF(SUM(AvengerAbilities1Scenario5[[#This Row],[takes]]) &gt; 0,AvengerAbilities1Scenario5[[#This Row],[takes]]/SUM(AvengerAbilities1Scenario5[takes]),0)</f>
        <v>0.20833333333333334</v>
      </c>
      <c r="P108" s="3">
        <f>IF(AvengerAbilities1Scenario5[[#This Row],[takes]]&gt;0,AvengerAbilities1Scenario5[[#This Row],[wins]]/AvengerAbilities1Scenario5[[#This Row],[takes]],0)</f>
        <v>0.65714285714285714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83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110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16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11</v>
      </c>
      <c r="N109">
        <f>COUNTIF(Scenario5[winner1-ability1],AvengerAbilities1Scenario5[[#This Row],[ability]])+COUNTIF(Scenario5[winner2-ability1],AvengerAbilities1Scenario5[[#This Row],[ability]])</f>
        <v>3</v>
      </c>
      <c r="O109" s="3">
        <f>IF(SUM(AvengerAbilities1Scenario5[[#This Row],[takes]]) &gt; 0,AvengerAbilities1Scenario5[[#This Row],[takes]]/SUM(AvengerAbilities1Scenario5[takes]),0)</f>
        <v>6.5476190476190479E-2</v>
      </c>
      <c r="P109" s="3">
        <f>IF(AvengerAbilities1Scenario5[[#This Row],[takes]]&gt;0,AvengerAbilities1Scenario5[[#This Row],[wins]]/AvengerAbilities1Scenario5[[#This Row],[takes]],0)</f>
        <v>0.27272727272727271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22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23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92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122</v>
      </c>
      <c r="N110">
        <f>COUNTIF(Scenario5[winner1-ability1],AvengerAbilities1Scenario5[[#This Row],[ability]])+COUNTIF(Scenario5[winner2-ability1],AvengerAbilities1Scenario5[[#This Row],[ability]])</f>
        <v>61</v>
      </c>
      <c r="O110" s="3">
        <f>IF(SUM(AvengerAbilities1Scenario5[[#This Row],[takes]]) &gt; 0,AvengerAbilities1Scenario5[[#This Row],[takes]]/SUM(AvengerAbilities1Scenario5[takes]),0)</f>
        <v>0.72619047619047616</v>
      </c>
      <c r="P110" s="3">
        <f>IF(AvengerAbilities1Scenario5[[#This Row],[takes]]&gt;0,AvengerAbilities1Scenario5[[#This Row],[wins]]/AvengerAbilities1Scenario5[[#This Row],[takes]],0)</f>
        <v>0.5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63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35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60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62</v>
      </c>
      <c r="N113" s="2">
        <f>COUNTIF(Scenario5[winner1-ability2],AvengerAbilities2Scenario5[[#This Row],[ability]])+COUNTIF(Scenario5[winner2-ability2],AvengerAbilities2Scenario5[[#This Row],[ability]])</f>
        <v>27</v>
      </c>
      <c r="O113" s="12">
        <f>IF(SUM(AvengerAbilities2Scenario5[[#This Row],[takes]]) &gt; 0,AvengerAbilities2Scenario5[[#This Row],[takes]]/SUM(AvengerAbilities2Scenario5[takes]),0)</f>
        <v>0.38509316770186336</v>
      </c>
      <c r="P113" s="12">
        <f>IF(AvengerAbilities2Scenario5[[#This Row],[takes]]&gt;0,AvengerAbilities2Scenario5[[#This Row],[wins]]/AvengerAbilities2Scenario5[[#This Row],[takes]],0)</f>
        <v>0.43548387096774194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26</v>
      </c>
      <c r="N114" s="2">
        <f>COUNTIF(Scenario5[winner1-ability2],AvengerAbilities2Scenario5[[#This Row],[ability]])+COUNTIF(Scenario5[winner2-ability2],AvengerAbilities2Scenario5[[#This Row],[ability]])</f>
        <v>22</v>
      </c>
      <c r="O114" s="3">
        <f>IF(SUM(AvengerAbilities2Scenario5[[#This Row],[takes]]) &gt; 0,AvengerAbilities2Scenario5[[#This Row],[takes]]/SUM(AvengerAbilities2Scenario5[takes]),0)</f>
        <v>0.16149068322981366</v>
      </c>
      <c r="P114" s="3">
        <f>IF(AvengerAbilities2Scenario5[[#This Row],[takes]]&gt;0,AvengerAbilities2Scenario5[[#This Row],[wins]]/AvengerAbilities2Scenario5[[#This Row],[takes]],0)</f>
        <v>0.84615384615384615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73</v>
      </c>
      <c r="N115" s="2">
        <f>COUNTIF(Scenario5[winner1-ability2],AvengerAbilities2Scenario5[[#This Row],[ability]])+COUNTIF(Scenario5[winner2-ability2],AvengerAbilities2Scenario5[[#This Row],[ability]])</f>
        <v>36</v>
      </c>
      <c r="O115" s="13">
        <f>IF(SUM(AvengerAbilities2Scenario5[[#This Row],[takes]]) &gt; 0,AvengerAbilities2Scenario5[[#This Row],[takes]]/SUM(AvengerAbilities2Scenario5[takes]),0)</f>
        <v>0.453416149068323</v>
      </c>
      <c r="P115" s="13">
        <f>IF(AvengerAbilities2Scenario5[[#This Row],[takes]]&gt;0,AvengerAbilities2Scenario5[[#This Row],[wins]]/AvengerAbilities2Scenario5[[#This Row],[takes]],0)</f>
        <v>0.49315068493150682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27</v>
      </c>
      <c r="N118" s="1">
        <f>COUNTIF(Scenario5[winner1-ability3],AvengerAbilities3Scenario5[[#This Row],[ability]])+COUNTIF(Scenario5[winner2-ability3],AvengerAbilities3Scenario5[[#This Row],[ability]])</f>
        <v>15</v>
      </c>
      <c r="O118" s="14">
        <f>IF(SUM(AvengerAbilities3Scenario5[[#This Row],[takes]]) &gt; 0,AvengerAbilities3Scenario5[[#This Row],[takes]]/SUM(AvengerAbilities3Scenario5[takes]),0)</f>
        <v>0.21951219512195122</v>
      </c>
      <c r="P118" s="14">
        <f>IF(AvengerAbilities3Scenario5[[#This Row],[takes]]&gt;0,AvengerAbilities3Scenario5[[#This Row],[wins]]/AvengerAbilities3Scenario5[[#This Row],[takes]],0)</f>
        <v>0.55555555555555558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57</v>
      </c>
      <c r="N119" s="2">
        <f>COUNTIF(Scenario5[winner1-ability3],AvengerAbilities3Scenario5[[#This Row],[ability]])+COUNTIF(Scenario5[winner2-ability3],AvengerAbilities3Scenario5[[#This Row],[ability]])</f>
        <v>26</v>
      </c>
      <c r="O119" s="12">
        <f>IF(SUM(AvengerAbilities3Scenario5[[#This Row],[takes]]) &gt; 0,AvengerAbilities3Scenario5[[#This Row],[takes]]/SUM(AvengerAbilities3Scenario5[takes]),0)</f>
        <v>0.46341463414634149</v>
      </c>
      <c r="P119" s="12">
        <f>IF(AvengerAbilities3Scenario5[[#This Row],[takes]]&gt;0,AvengerAbilities3Scenario5[[#This Row],[wins]]/AvengerAbilities3Scenario5[[#This Row],[takes]],0)</f>
        <v>0.45614035087719296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39</v>
      </c>
      <c r="N120" s="1">
        <f>COUNTIF(Scenario5[winner1-ability3],AvengerAbilities3Scenario5[[#This Row],[ability]])+COUNTIF(Scenario5[winner2-ability3],AvengerAbilities3Scenario5[[#This Row],[ability]])</f>
        <v>29</v>
      </c>
      <c r="O120" s="15">
        <f>IF(SUM(AvengerAbilities3Scenario5[[#This Row],[takes]]) &gt; 0,AvengerAbilities3Scenario5[[#This Row],[takes]]/SUM(AvengerAbilities3Scenario5[takes]),0)</f>
        <v>0.31707317073170732</v>
      </c>
      <c r="P120" s="15">
        <f>IF(AvengerAbilities3Scenario5[[#This Row],[takes]]&gt;0,AvengerAbilities3Scenario5[[#This Row],[wins]]/AvengerAbilities3Scenario5[[#This Row],[takes]],0)</f>
        <v>0.74358974358974361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10</v>
      </c>
      <c r="N123" s="2">
        <f>COUNTIF(Scenario5[winner1-ability4],AvengerAbilities4Scenario5[[#This Row],[ability]])+COUNTIF(Scenario5[winner2-ability4],AvengerAbilities4Scenario5[[#This Row],[ability]])</f>
        <v>7</v>
      </c>
      <c r="O123" s="12">
        <f>IF(SUM(AvengerAbilities4Scenario5[[#This Row],[takes]]) &gt; 0,AvengerAbilities4Scenario5[[#This Row],[takes]]/SUM(AvengerAbilities4Scenario5[takes]),0)</f>
        <v>0.10752688172043011</v>
      </c>
      <c r="P123" s="12">
        <f>IF(AvengerAbilities4Scenario5[[#This Row],[takes]]&gt;0,AvengerAbilities4Scenario5[[#This Row],[wins]]/AvengerAbilities4Scenario5[[#This Row],[takes]],0)</f>
        <v>0.7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9</v>
      </c>
      <c r="N124" s="2">
        <f>COUNTIF(Scenario5[winner1-ability4],AvengerAbilities4Scenario5[[#This Row],[ability]])+COUNTIF(Scenario5[winner2-ability4],AvengerAbilities4Scenario5[[#This Row],[ability]])</f>
        <v>6</v>
      </c>
      <c r="O124" s="12">
        <f>IF(SUM(AvengerAbilities4Scenario5[[#This Row],[takes]]) &gt; 0,AvengerAbilities4Scenario5[[#This Row],[takes]]/SUM(AvengerAbilities4Scenario5[takes]),0)</f>
        <v>9.6774193548387094E-2</v>
      </c>
      <c r="P124" s="12">
        <f>IF(AvengerAbilities4Scenario5[[#This Row],[takes]]&gt;0,AvengerAbilities4Scenario5[[#This Row],[wins]]/AvengerAbilities4Scenario5[[#This Row],[takes]],0)</f>
        <v>0.66666666666666663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74</v>
      </c>
      <c r="N125" s="2">
        <f>COUNTIF(Scenario5[winner1-ability4],AvengerAbilities4Scenario5[[#This Row],[ability]])+COUNTIF(Scenario5[winner2-ability4],AvengerAbilities4Scenario5[[#This Row],[ability]])</f>
        <v>39</v>
      </c>
      <c r="O125" s="26">
        <f>IF(SUM(AvengerAbilities4Scenario5[[#This Row],[takes]]) &gt; 0,AvengerAbilities4Scenario5[[#This Row],[takes]]/SUM(AvengerAbilities4Scenario5[takes]),0)</f>
        <v>0.79569892473118276</v>
      </c>
      <c r="P125" s="26">
        <f>IF(AvengerAbilities4Scenario5[[#This Row],[takes]]&gt;0,AvengerAbilities4Scenario5[[#This Row],[wins]]/AvengerAbilities4Scenario5[[#This Row],[takes]],0)</f>
        <v>0.52702702702702697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A93D-29B9-4152-928C-0BE9A3B90599}">
  <dimension ref="A1:X125"/>
  <sheetViews>
    <sheetView tabSelected="1" workbookViewId="0">
      <selection activeCell="E26" sqref="E26"/>
    </sheetView>
  </sheetViews>
  <sheetFormatPr defaultRowHeight="15" x14ac:dyDescent="0.25"/>
  <cols>
    <col min="1" max="1" width="20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" bestFit="1" customWidth="1"/>
    <col min="9" max="9" width="6.5703125" bestFit="1" customWidth="1"/>
    <col min="10" max="10" width="12.85546875" bestFit="1" customWidth="1"/>
    <col min="11" max="11" width="3.85546875" customWidth="1"/>
    <col min="12" max="12" width="20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" bestFit="1" customWidth="1"/>
    <col min="20" max="20" width="6.5703125" bestFit="1" customWidth="1"/>
    <col min="21" max="21" width="12.85546875" bestFit="1" customWidth="1"/>
    <col min="23" max="23" width="16.85546875" bestFit="1" customWidth="1"/>
    <col min="24" max="24" width="7.85546875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240</v>
      </c>
      <c r="I2" t="s">
        <v>241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240</v>
      </c>
      <c r="T2" t="s">
        <v>241</v>
      </c>
      <c r="U2" s="18" t="s">
        <v>164</v>
      </c>
      <c r="W2" t="s">
        <v>242</v>
      </c>
      <c r="X2" s="3">
        <f>H4/SUM(AvengerEquip313[kopis])</f>
        <v>0.31456953642384106</v>
      </c>
    </row>
    <row r="3" spans="1:24" x14ac:dyDescent="0.25">
      <c r="A3" t="s">
        <v>228</v>
      </c>
      <c r="B3">
        <f>M3+M24+M45+M66+M87+M108</f>
        <v>451</v>
      </c>
      <c r="C3">
        <f>N3+N24+N45+N66+N87+N108</f>
        <v>159</v>
      </c>
      <c r="D3" s="3">
        <f>IF(SUM(AvengerAbilities1309[[#This Row],[takes]]) &gt; 0,AvengerAbilities1309[[#This Row],[takes]]/SUM(AvengerAbilities1309[takes]),0)</f>
        <v>0.74668874172185429</v>
      </c>
      <c r="E3" s="3">
        <f>IF(AvengerAbilities1309[[#This Row],[takes]]&gt;0,AvengerAbilities1309[[#This Row],[wins]]/AvengerAbilities1309[[#This Row],[takes]],0)</f>
        <v>0.35254988913525498</v>
      </c>
      <c r="G3">
        <v>1</v>
      </c>
      <c r="H3">
        <f>S3+S24+S45+S66+S87+S108</f>
        <v>267</v>
      </c>
      <c r="I3">
        <f>T3+T24+T45+T66+T87+T108</f>
        <v>468</v>
      </c>
      <c r="J3" s="18">
        <f>U3+U24+U45+U66+U87+U108</f>
        <v>307</v>
      </c>
      <c r="L3" s="17" t="s">
        <v>228</v>
      </c>
      <c r="M3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168</v>
      </c>
      <c r="N3">
        <f>COUNTIF(Scenario0[winner1-ability1],AvengerAbilities1Scenario0314[[#This Row],[ability]])+COUNTIF(Scenario0[winner2-ability1],AvengerAbilities1Scenario0314[[#This Row],[ability]])</f>
        <v>59</v>
      </c>
      <c r="O3" s="3">
        <f>IF(SUM(AvengerAbilities1Scenario0314[[#This Row],[takes]]) &gt; 0,AvengerAbilities1Scenario0314[[#This Row],[takes]]/SUM(AvengerAbilities1Scenario0314[takes]),0)</f>
        <v>1</v>
      </c>
      <c r="P3" s="3">
        <f>IF(AvengerAbilities1Scenario0314[[#This Row],[takes]]&gt;0,AvengerAbilities1Scenario0314[[#This Row],[wins]]/AvengerAbilities1Scenario0314[[#This Row],[takes]],0)</f>
        <v>0.35119047619047616</v>
      </c>
      <c r="R3">
        <v>1</v>
      </c>
      <c r="S3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120</v>
      </c>
      <c r="T3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165</v>
      </c>
      <c r="U3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138</v>
      </c>
      <c r="W3" t="s">
        <v>243</v>
      </c>
      <c r="X3" s="16">
        <f>H5/SUM(AvengerEquip313[kopis])</f>
        <v>0.2433774834437086</v>
      </c>
    </row>
    <row r="4" spans="1:24" x14ac:dyDescent="0.25">
      <c r="A4" t="s">
        <v>229</v>
      </c>
      <c r="B4">
        <f t="shared" ref="B4:C5" si="0">M4+M25+M46+M67+M88+M109</f>
        <v>151</v>
      </c>
      <c r="C4">
        <f t="shared" si="0"/>
        <v>40</v>
      </c>
      <c r="D4" s="3">
        <f>IF(SUM(AvengerAbilities1309[[#This Row],[takes]]) &gt; 0,AvengerAbilities1309[[#This Row],[takes]]/SUM(AvengerAbilities1309[takes]),0)</f>
        <v>0.25</v>
      </c>
      <c r="E4" s="3">
        <f>IF(AvengerAbilities1309[[#This Row],[takes]]&gt;0,AvengerAbilities1309[[#This Row],[wins]]/AvengerAbilities1309[[#This Row],[takes]],0)</f>
        <v>0.26490066225165565</v>
      </c>
      <c r="G4">
        <v>2</v>
      </c>
      <c r="H4">
        <f t="shared" ref="H4:J5" si="1">S4+S25+S46+S67+S88+S109</f>
        <v>190</v>
      </c>
      <c r="I4">
        <f t="shared" si="1"/>
        <v>41</v>
      </c>
      <c r="J4" s="18">
        <f t="shared" si="1"/>
        <v>106</v>
      </c>
      <c r="L4" s="17" t="s">
        <v>229</v>
      </c>
      <c r="M4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4">
        <f>COUNTIF(Scenario0[winner1-ability1],AvengerAbilities1Scenario0314[[#This Row],[ability]])+COUNTIF(Scenario0[winner2-ability1],AvengerAbilities1Scenario0314[[#This Row],[ability]])</f>
        <v>0</v>
      </c>
      <c r="O4" s="3">
        <f>IF(SUM(AvengerAbilities1Scenario0314[[#This Row],[takes]]) &gt; 0,AvengerAbilities1Scenario0314[[#This Row],[takes]]/SUM(AvengerAbilities1Scenario0314[takes]),0)</f>
        <v>0</v>
      </c>
      <c r="P4" s="3">
        <f>IF(AvengerAbilities1Scenario0314[[#This Row],[takes]]&gt;0,AvengerAbilities1Scenario0314[[#This Row],[wins]]/AvengerAbilities1Scenario0314[[#This Row],[takes]],0)</f>
        <v>0</v>
      </c>
      <c r="R4">
        <v>2</v>
      </c>
      <c r="S4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37</v>
      </c>
      <c r="T4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2</v>
      </c>
      <c r="U4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22</v>
      </c>
      <c r="W4" t="s">
        <v>244</v>
      </c>
      <c r="X4" s="3">
        <f>AvengerEquip313[[#This Row],[gun]]/SUM(AvengerEquip313[gun])</f>
        <v>6.7880794701986755E-2</v>
      </c>
    </row>
    <row r="5" spans="1:24" x14ac:dyDescent="0.25">
      <c r="A5" t="s">
        <v>230</v>
      </c>
      <c r="B5">
        <f t="shared" si="0"/>
        <v>2</v>
      </c>
      <c r="C5">
        <f t="shared" si="0"/>
        <v>1</v>
      </c>
      <c r="D5" s="3">
        <f>IF(SUM(AvengerAbilities1309[[#This Row],[takes]]) &gt; 0,AvengerAbilities1309[[#This Row],[takes]]/SUM(AvengerAbilities1309[takes]),0)</f>
        <v>3.3112582781456954E-3</v>
      </c>
      <c r="E5" s="3">
        <f>IF(AvengerAbilities1309[[#This Row],[takes]]&gt;0,AvengerAbilities1309[[#This Row],[wins]]/AvengerAbilities1309[[#This Row],[takes]],0)</f>
        <v>0.5</v>
      </c>
      <c r="G5">
        <v>3</v>
      </c>
      <c r="H5">
        <f t="shared" si="1"/>
        <v>147</v>
      </c>
      <c r="I5">
        <f t="shared" si="1"/>
        <v>95</v>
      </c>
      <c r="J5" s="18">
        <f t="shared" si="1"/>
        <v>191</v>
      </c>
      <c r="L5" s="17" t="s">
        <v>230</v>
      </c>
      <c r="M5">
        <f>COUNTIF(Scenario0[winner1-ability1],AvengerAbilities1Scenario0314[[#This Row],[ability]])+COUNTIF(Scenario0[winner2-ability1],AvengerAbilities1Scenario0314[[#This Row],[ability]])+COUNTIF(Scenario0[loser1-ability1],AvengerAbilities1Scenario0314[[#This Row],[ability]])+COUNTIF(Scenario0[loser2-ability1],AvengerAbilities1Scenario0314[[#This Row],[ability]])</f>
        <v>0</v>
      </c>
      <c r="N5">
        <f>COUNTIF(Scenario0[winner1-ability1],AvengerAbilities1Scenario0314[[#This Row],[ability]])+COUNTIF(Scenario0[winner2-ability1],AvengerAbilities1Scenario0314[[#This Row],[ability]])</f>
        <v>0</v>
      </c>
      <c r="O5" s="3">
        <f>IF(SUM(AvengerAbilities1Scenario0314[[#This Row],[takes]]) &gt; 0,AvengerAbilities1Scenario0314[[#This Row],[takes]]/SUM(AvengerAbilities1Scenario0314[takes]),0)</f>
        <v>0</v>
      </c>
      <c r="P5" s="3">
        <f>IF(AvengerAbilities1Scenario0314[[#This Row],[takes]]&gt;0,AvengerAbilities1Scenario0314[[#This Row],[wins]]/AvengerAbilities1Scenario0314[[#This Row],[takes]],0)</f>
        <v>0</v>
      </c>
      <c r="R5">
        <v>3</v>
      </c>
      <c r="S5">
        <f>COUNTIFS(Scenario0[winner1],"navarch",Scenario0[winner1-pw],AvengerEquipScenario0318[[#This Row],[level]])+COUNTIFS(Scenario0[winner2],"navarch",Scenario0[winner2-pw],AvengerEquipScenario0318[[#This Row],[level]])+COUNTIFS(Scenario0[loser1],"navarch",Scenario0[loser1-pw],AvengerEquipScenario0318[[#This Row],[level]])+COUNTIFS(Scenario0[loser2],"navarch",Scenario0[loser2-pw],AvengerEquipScenario0318[[#This Row],[level]])</f>
        <v>11</v>
      </c>
      <c r="T5">
        <f>COUNTIFS(Scenario0[winner1],"navarch",Scenario0[winner1-sw],AvengerEquipScenario0318[[#This Row],[level]])+COUNTIFS(Scenario0[winner2],"navarch",Scenario0[winner2-sw],AvengerEquipScenario0318[[#This Row],[level]])+COUNTIFS(Scenario0[loser1],"navarch",Scenario0[loser1-sw],AvengerEquipScenario0318[[#This Row],[level]])+COUNTIFS(Scenario0[loser2],"navarch",Scenario0[loser2-sw],AvengerEquipScenario0318[[#This Row],[level]])</f>
        <v>1</v>
      </c>
      <c r="U5" s="18">
        <f>COUNTIFS(Scenario0[winner1],"navarch",Scenario0[winner1-cp],AvengerEquipScenario0318[[#This Row],[level]])+COUNTIFS(Scenario0[winner2],"navarch",Scenario0[winner2-cp],AvengerEquipScenario0318[[#This Row],[level]])+COUNTIFS(Scenario0[loser1],"navarch",Scenario0[loser1-cp],AvengerEquipScenario0318[[#This Row],[level]])+COUNTIFS(Scenario0[loser2],"navarch",Scenario0[loser2-cp],AvengerEquipScenario0318[[#This Row],[level]])</f>
        <v>8</v>
      </c>
      <c r="W5" t="s">
        <v>245</v>
      </c>
      <c r="X5" s="16">
        <f>AvengerEquip313[[#This Row],[gun]]/SUM(AvengerEquip313[gun])</f>
        <v>0.15728476821192053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J4/SUM(AvengerEquip313[chestpiece])</f>
        <v>0.17549668874172186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J5/SUM(AvengerEquip313[chestpiece])</f>
        <v>0.31622516556291391</v>
      </c>
    </row>
    <row r="8" spans="1:24" x14ac:dyDescent="0.25">
      <c r="A8" s="2" t="s">
        <v>231</v>
      </c>
      <c r="B8" s="2">
        <f>M8+M29+M50+M71+M92+M113</f>
        <v>299</v>
      </c>
      <c r="C8" s="2">
        <f>N8+N29+N50+N71+N92+N113</f>
        <v>122</v>
      </c>
      <c r="D8" s="12">
        <f>IF(SUM(AvengerAbilities2310[[#This Row],[takes]]) &gt; 0,AvengerAbilities2310[[#This Row],[takes]]/SUM(AvengerAbilities2310[takes]),0)</f>
        <v>0.8398876404494382</v>
      </c>
      <c r="E8" s="12">
        <f>IF(AvengerAbilities2310[[#This Row],[takes]]&gt;0,AvengerAbilities2310[[#This Row],[wins]]/AvengerAbilities2310[[#This Row],[takes]],0)</f>
        <v>0.40802675585284282</v>
      </c>
      <c r="J8" s="18"/>
      <c r="L8" s="20" t="s">
        <v>231</v>
      </c>
      <c r="M8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51</v>
      </c>
      <c r="N8" s="2">
        <f>COUNTIF(Scenario0[winner1-ability2],AvengerAbilities2Scenario0315[[#This Row],[ability]])+COUNTIF(Scenario0[winner2-ability2],AvengerAbilities2Scenario0315[[#This Row],[ability]])</f>
        <v>27</v>
      </c>
      <c r="O8" s="12">
        <f>IF(SUM(AvengerAbilities2Scenario0315[[#This Row],[takes]]) &gt; 0,AvengerAbilities2Scenario0315[[#This Row],[takes]]/SUM(AvengerAbilities2Scenario0315[takes]),0)</f>
        <v>0.94444444444444442</v>
      </c>
      <c r="P8" s="12">
        <f>IF(AvengerAbilities2Scenario0315[[#This Row],[takes]]&gt;0,AvengerAbilities2Scenario0315[[#This Row],[wins]]/AvengerAbilities2Scenario0315[[#This Row],[takes]],0)</f>
        <v>0.52941176470588236</v>
      </c>
      <c r="U8" s="18"/>
      <c r="W8" t="s">
        <v>176</v>
      </c>
      <c r="X8" s="3">
        <f>SUM(AvengerAbilities2310[takes])/SUM(AvengerAbilities1309[takes])</f>
        <v>0.58940397350993379</v>
      </c>
    </row>
    <row r="9" spans="1:24" x14ac:dyDescent="0.25">
      <c r="A9" t="s">
        <v>232</v>
      </c>
      <c r="B9" s="2">
        <f t="shared" ref="B9:C10" si="2">M9+M30+M51+M72+M93+M114</f>
        <v>29</v>
      </c>
      <c r="C9" s="2">
        <f t="shared" si="2"/>
        <v>7</v>
      </c>
      <c r="D9" s="3">
        <f>IF(SUM(AvengerAbilities2310[[#This Row],[takes]]) &gt; 0,AvengerAbilities2310[[#This Row],[takes]]/SUM(AvengerAbilities2310[takes]),0)</f>
        <v>8.1460674157303375E-2</v>
      </c>
      <c r="E9" s="3">
        <f>IF(AvengerAbilities2310[[#This Row],[takes]]&gt;0,AvengerAbilities2310[[#This Row],[wins]]/AvengerAbilities2310[[#This Row],[takes]],0)</f>
        <v>0.2413793103448276</v>
      </c>
      <c r="J9" s="18"/>
      <c r="L9" s="17" t="s">
        <v>232</v>
      </c>
      <c r="M9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3</v>
      </c>
      <c r="N9" s="2">
        <f>COUNTIF(Scenario0[winner1-ability2],AvengerAbilities2Scenario0315[[#This Row],[ability]])+COUNTIF(Scenario0[winner2-ability2],AvengerAbilities2Scenario0315[[#This Row],[ability]])</f>
        <v>0</v>
      </c>
      <c r="O9" s="3">
        <f>IF(SUM(AvengerAbilities2Scenario0315[[#This Row],[takes]]) &gt; 0,AvengerAbilities2Scenario0315[[#This Row],[takes]]/SUM(AvengerAbilities2Scenario0315[takes]),0)</f>
        <v>5.5555555555555552E-2</v>
      </c>
      <c r="P9" s="3">
        <f>IF(AvengerAbilities2Scenario0315[[#This Row],[takes]]&gt;0,AvengerAbilities2Scenario0315[[#This Row],[wins]]/AvengerAbilities2Scenario0315[[#This Row],[takes]],0)</f>
        <v>0</v>
      </c>
      <c r="U9" s="18"/>
      <c r="W9" t="s">
        <v>177</v>
      </c>
      <c r="X9" s="3">
        <f>SUM(AvengerAbilities3311[takes])/SUM(AvengerAbilities1309[takes])</f>
        <v>0.39735099337748342</v>
      </c>
    </row>
    <row r="10" spans="1:24" x14ac:dyDescent="0.25">
      <c r="A10" s="10" t="s">
        <v>233</v>
      </c>
      <c r="B10" s="2">
        <f t="shared" si="2"/>
        <v>28</v>
      </c>
      <c r="C10" s="2">
        <f t="shared" si="2"/>
        <v>4</v>
      </c>
      <c r="D10" s="13">
        <f>IF(SUM(AvengerAbilities2310[[#This Row],[takes]]) &gt; 0,AvengerAbilities2310[[#This Row],[takes]]/SUM(AvengerAbilities2310[takes]),0)</f>
        <v>7.8651685393258425E-2</v>
      </c>
      <c r="E10" s="13">
        <f>IF(AvengerAbilities2310[[#This Row],[takes]]&gt;0,AvengerAbilities2310[[#This Row],[wins]]/AvengerAbilities2310[[#This Row],[takes]],0)</f>
        <v>0.14285714285714285</v>
      </c>
      <c r="J10" s="18"/>
      <c r="L10" s="21" t="s">
        <v>233</v>
      </c>
      <c r="M10" s="2">
        <f>COUNTIF(Scenario0[winner1-ability2],AvengerAbilities2Scenario0315[[#This Row],[ability]])+COUNTIF(Scenario0[winner2-ability2],AvengerAbilities2Scenario0315[[#This Row],[ability]])+COUNTIF(Scenario0[loser1-ability2],AvengerAbilities2Scenario0315[[#This Row],[ability]])+COUNTIF(Scenario0[loser2-ability2],AvengerAbilities2Scenario0315[[#This Row],[ability]])</f>
        <v>0</v>
      </c>
      <c r="N10" s="2">
        <f>COUNTIF(Scenario0[winner1-ability2],AvengerAbilities2Scenario0315[[#This Row],[ability]])+COUNTIF(Scenario0[winner2-ability2],AvengerAbilities2Scenario0315[[#This Row],[ability]])</f>
        <v>0</v>
      </c>
      <c r="O10" s="13">
        <f>IF(SUM(AvengerAbilities2Scenario0315[[#This Row],[takes]]) &gt; 0,AvengerAbilities2Scenario0315[[#This Row],[takes]]/SUM(AvengerAbilities2Scenario0315[takes]),0)</f>
        <v>0</v>
      </c>
      <c r="P10" s="13">
        <f>IF(AvengerAbilities2Scenario0315[[#This Row],[takes]]&gt;0,AvengerAbilities2Scenario0315[[#This Row],[wins]]/AvengerAbilities2Scenario0315[[#This Row],[takes]],0)</f>
        <v>0</v>
      </c>
      <c r="U10" s="18"/>
      <c r="W10" t="s">
        <v>178</v>
      </c>
      <c r="X10" s="16">
        <f>SUM(AvengerAbilities4312[takes])/SUM(AvengerAbilities1309[takes])</f>
        <v>0.25331125827814571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(SUM(AvengerAbilities2310[takes])+SUM(AvengerAbilities3311[takes])+SUM(AvengerAbilities4312[takes])+SUM(H4:H5)+SUM(I4:I5)+SUM(J4:J5))/SUM(AvengerAbilities1309[takes])</f>
        <v>2.5149006622516556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234</v>
      </c>
      <c r="B13" s="1">
        <f>M13+M34+M55+M76+M97+M118</f>
        <v>19</v>
      </c>
      <c r="C13" s="1">
        <f>N13+N34+N55+N76+N97+N118</f>
        <v>12</v>
      </c>
      <c r="D13" s="14">
        <f>IF(SUM(AvengerAbilities3311[[#This Row],[takes]]) &gt; 0,AvengerAbilities3311[[#This Row],[takes]]/SUM(AvengerAbilities3311[takes]),0)</f>
        <v>7.9166666666666663E-2</v>
      </c>
      <c r="E13" s="14">
        <f>IF(AvengerAbilities3311[[#This Row],[takes]]&gt;0,AvengerAbilities3311[[#This Row],[wins]]/AvengerAbilities3311[[#This Row],[takes]],0)</f>
        <v>0.63157894736842102</v>
      </c>
      <c r="J13" s="18"/>
      <c r="L13" s="22" t="s">
        <v>234</v>
      </c>
      <c r="M13" s="1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1</v>
      </c>
      <c r="N13" s="1">
        <f>COUNTIF(Scenario0[winner1-ability3],AvengerAbilities3Scenario0316[[#This Row],[ability]])+COUNTIF(Scenario0[winner2-ability3],AvengerAbilities3Scenario0316[[#This Row],[ability]])</f>
        <v>1</v>
      </c>
      <c r="O13" s="14">
        <f>IF(SUM(AvengerAbilities3Scenario0316[[#This Row],[takes]]) &gt; 0,AvengerAbilities3Scenario0316[[#This Row],[takes]]/SUM(AvengerAbilities3Scenario0316[takes]),0)</f>
        <v>0.05</v>
      </c>
      <c r="P13" s="14">
        <f>IF(AvengerAbilities3Scenario0316[[#This Row],[takes]]&gt;0,AvengerAbilities3Scenario0316[[#This Row],[wins]]/AvengerAbilities3Scenario0316[[#This Row],[takes]],0)</f>
        <v>1</v>
      </c>
      <c r="U13" s="18"/>
    </row>
    <row r="14" spans="1:24" x14ac:dyDescent="0.25">
      <c r="A14" s="2" t="s">
        <v>235</v>
      </c>
      <c r="B14" s="2">
        <f t="shared" ref="B14:C15" si="3">M14+M35+M56+M77+M98+M119</f>
        <v>196</v>
      </c>
      <c r="C14" s="2">
        <f t="shared" si="3"/>
        <v>55</v>
      </c>
      <c r="D14" s="12">
        <f>IF(SUM(AvengerAbilities3311[[#This Row],[takes]]) &gt; 0,AvengerAbilities3311[[#This Row],[takes]]/SUM(AvengerAbilities3311[takes]),0)</f>
        <v>0.81666666666666665</v>
      </c>
      <c r="E14" s="12">
        <f>IF(AvengerAbilities3311[[#This Row],[takes]]&gt;0,AvengerAbilities3311[[#This Row],[wins]]/AvengerAbilities3311[[#This Row],[takes]],0)</f>
        <v>0.28061224489795916</v>
      </c>
      <c r="J14" s="18"/>
      <c r="L14" s="20" t="s">
        <v>235</v>
      </c>
      <c r="M14" s="2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18</v>
      </c>
      <c r="N14" s="2">
        <f>COUNTIF(Scenario0[winner1-ability3],AvengerAbilities3Scenario0316[[#This Row],[ability]])+COUNTIF(Scenario0[winner2-ability3],AvengerAbilities3Scenario0316[[#This Row],[ability]])</f>
        <v>8</v>
      </c>
      <c r="O14" s="12">
        <f>IF(SUM(AvengerAbilities3Scenario0316[[#This Row],[takes]]) &gt; 0,AvengerAbilities3Scenario0316[[#This Row],[takes]]/SUM(AvengerAbilities3Scenario0316[takes]),0)</f>
        <v>0.9</v>
      </c>
      <c r="P14" s="12">
        <f>IF(AvengerAbilities3Scenario0316[[#This Row],[takes]]&gt;0,AvengerAbilities3Scenario0316[[#This Row],[wins]]/AvengerAbilities3Scenario0316[[#This Row],[takes]],0)</f>
        <v>0.44444444444444442</v>
      </c>
      <c r="U14" s="18"/>
    </row>
    <row r="15" spans="1:24" x14ac:dyDescent="0.25">
      <c r="A15" s="11" t="s">
        <v>236</v>
      </c>
      <c r="B15" s="1">
        <f t="shared" si="3"/>
        <v>25</v>
      </c>
      <c r="C15" s="1">
        <f t="shared" si="3"/>
        <v>13</v>
      </c>
      <c r="D15" s="15">
        <f>IF(SUM(AvengerAbilities3311[[#This Row],[takes]]) &gt; 0,AvengerAbilities3311[[#This Row],[takes]]/SUM(AvengerAbilities3311[takes]),0)</f>
        <v>0.10416666666666667</v>
      </c>
      <c r="E15" s="15">
        <f>IF(AvengerAbilities3311[[#This Row],[takes]]&gt;0,AvengerAbilities3311[[#This Row],[wins]]/AvengerAbilities3311[[#This Row],[takes]],0)</f>
        <v>0.52</v>
      </c>
      <c r="J15" s="18"/>
      <c r="L15" s="23" t="s">
        <v>236</v>
      </c>
      <c r="M15" s="1">
        <f>COUNTIF(Scenario0[winner1-ability3],AvengerAbilities3Scenario0316[[#This Row],[ability]])+COUNTIF(Scenario0[winner2-ability3],AvengerAbilities3Scenario0316[[#This Row],[ability]])+COUNTIF(Scenario0[loser1-ability3],AvengerAbilities3Scenario0316[[#This Row],[ability]])+COUNTIF(Scenario0[loser2-ability3],AvengerAbilities3Scenario0316[[#This Row],[ability]])</f>
        <v>1</v>
      </c>
      <c r="N15" s="1">
        <f>COUNTIF(Scenario0[winner1-ability3],AvengerAbilities3Scenario0316[[#This Row],[ability]])+COUNTIF(Scenario0[winner2-ability3],AvengerAbilities3Scenario0316[[#This Row],[ability]])</f>
        <v>0</v>
      </c>
      <c r="O15" s="15">
        <f>IF(SUM(AvengerAbilities3Scenario0316[[#This Row],[takes]]) &gt; 0,AvengerAbilities3Scenario0316[[#This Row],[takes]]/SUM(AvengerAbilities3Scenario0316[takes]),0)</f>
        <v>0.05</v>
      </c>
      <c r="P15" s="15">
        <f>IF(AvengerAbilities3Scenario0316[[#This Row],[takes]]&gt;0,AvengerAbilities3Scenario0316[[#This Row],[wins]]/AvengerAbilities3Scenario0316[[#This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237</v>
      </c>
      <c r="B18" s="2">
        <f>M18+M39+M60+M81+M102+M123</f>
        <v>15</v>
      </c>
      <c r="C18" s="2">
        <f>N18+N39+N60+N81+N102+N123</f>
        <v>6</v>
      </c>
      <c r="D18" s="12">
        <f>IF(SUM(AvengerAbilities4312[[#This Row],[takes]]) &gt; 0,AvengerAbilities4312[[#This Row],[takes]]/SUM(AvengerAbilities4312[takes]),0)</f>
        <v>9.8039215686274508E-2</v>
      </c>
      <c r="E18" s="12">
        <f>IF(AvengerAbilities4312[[#This Row],[takes]]&gt;0,AvengerAbilities4312[[#This Row],[wins]]/AvengerAbilities4312[[#This Row],[takes]],0)</f>
        <v>0.4</v>
      </c>
      <c r="J18" s="18"/>
      <c r="L18" s="20" t="s">
        <v>237</v>
      </c>
      <c r="M18" s="2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1</v>
      </c>
      <c r="N18" s="2">
        <f>COUNTIF(Scenario0[winner1-ability4],AvengerAbilities4Scenario0317[[#This Row],[ability]])+COUNTIF(Scenario0[winner2-ability4],AvengerAbilities4Scenario0317[[#This Row],[ability]])</f>
        <v>1</v>
      </c>
      <c r="O18" s="12">
        <f>IF(SUM(AvengerAbilities4Scenario0317[[#This Row],[takes]]) &gt; 0,AvengerAbilities4Scenario0317[[#This Row],[takes]]/SUM(AvengerAbilities4Scenario0317[takes]),0)</f>
        <v>0.25</v>
      </c>
      <c r="P18" s="12">
        <f>IF(AvengerAbilities4Scenario0317[[#This Row],[takes]]&gt;0,AvengerAbilities4Scenario0317[[#This Row],[wins]]/AvengerAbilities4Scenario0317[[#This Row],[takes]],0)</f>
        <v>1</v>
      </c>
      <c r="U18" s="18"/>
    </row>
    <row r="19" spans="1:21" x14ac:dyDescent="0.25">
      <c r="A19" s="2" t="s">
        <v>238</v>
      </c>
      <c r="B19" s="2">
        <f t="shared" ref="B19:C20" si="4">M19+M40+M61+M82+M103+M124</f>
        <v>128</v>
      </c>
      <c r="C19" s="2">
        <f t="shared" si="4"/>
        <v>45</v>
      </c>
      <c r="D19" s="12">
        <f>IF(SUM(AvengerAbilities4312[[#This Row],[takes]]) &gt; 0,AvengerAbilities4312[[#This Row],[takes]]/SUM(AvengerAbilities4312[takes]),0)</f>
        <v>0.83660130718954251</v>
      </c>
      <c r="E19" s="12">
        <f>IF(AvengerAbilities4312[[#This Row],[takes]]&gt;0,AvengerAbilities4312[[#This Row],[wins]]/AvengerAbilities4312[[#This Row],[takes]],0)</f>
        <v>0.3515625</v>
      </c>
      <c r="J19" s="18"/>
      <c r="L19" s="20" t="s">
        <v>238</v>
      </c>
      <c r="M19" s="2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2</v>
      </c>
      <c r="N19" s="2">
        <f>COUNTIF(Scenario0[winner1-ability4],AvengerAbilities4Scenario0317[[#This Row],[ability]])+COUNTIF(Scenario0[winner2-ability4],AvengerAbilities4Scenario0317[[#This Row],[ability]])</f>
        <v>0</v>
      </c>
      <c r="O19" s="12">
        <f>IF(SUM(AvengerAbilities4Scenario0317[[#This Row],[takes]]) &gt; 0,AvengerAbilities4Scenario0317[[#This Row],[takes]]/SUM(AvengerAbilities4Scenario0317[takes]),0)</f>
        <v>0.5</v>
      </c>
      <c r="P19" s="12">
        <f>IF(AvengerAbilities4Scenario0317[[#This Row],[takes]]&gt;0,AvengerAbilities4Scenario0317[[#This Row],[wins]]/AvengerAbilities4Scenario0317[[#This Row],[takes]],0)</f>
        <v>0</v>
      </c>
      <c r="U19" s="18"/>
    </row>
    <row r="20" spans="1:21" ht="15.75" thickBot="1" x14ac:dyDescent="0.3">
      <c r="A20" s="10" t="s">
        <v>239</v>
      </c>
      <c r="B20" s="2">
        <f t="shared" si="4"/>
        <v>10</v>
      </c>
      <c r="C20" s="2">
        <f t="shared" si="4"/>
        <v>4</v>
      </c>
      <c r="D20" s="26">
        <f>IF(SUM(AvengerAbilities4312[[#This Row],[takes]]) &gt; 0,AvengerAbilities4312[[#This Row],[takes]]/SUM(AvengerAbilities4312[takes]),0)</f>
        <v>6.535947712418301E-2</v>
      </c>
      <c r="E20" s="26">
        <f>IF(AvengerAbilities4312[[#This Row],[takes]]&gt;0,AvengerAbilities4312[[#This Row],[wins]]/AvengerAbilities4312[[#This Row],[takes]],0)</f>
        <v>0.4</v>
      </c>
      <c r="F20" s="27"/>
      <c r="G20" s="27"/>
      <c r="H20" s="27"/>
      <c r="I20" s="27"/>
      <c r="J20" s="28"/>
      <c r="L20" s="24" t="s">
        <v>239</v>
      </c>
      <c r="M20" s="25">
        <f>COUNTIF(Scenario0[winner1-ability4],AvengerAbilities4Scenario0317[[#This Row],[ability]])+COUNTIF(Scenario0[winner2-ability4],AvengerAbilities4Scenario0317[[#This Row],[ability]])+COUNTIF(Scenario0[loser1-ability4],AvengerAbilities4Scenario0317[[#This Row],[ability]])+COUNTIF(Scenario0[loser2-ability4],AvengerAbilities4Scenario0317[[#This Row],[ability]])</f>
        <v>1</v>
      </c>
      <c r="N20" s="25">
        <f>COUNTIF(Scenario0[winner1-ability4],AvengerAbilities4Scenario0317[[#This Row],[ability]])+COUNTIF(Scenario0[winner2-ability4],AvengerAbilities4Scenario0317[[#This Row],[ability]])</f>
        <v>1</v>
      </c>
      <c r="O20" s="26">
        <f>IF(SUM(AvengerAbilities4Scenario0317[[#This Row],[takes]]) &gt; 0,AvengerAbilities4Scenario0317[[#This Row],[takes]]/SUM(AvengerAbilities4Scenario0317[takes]),0)</f>
        <v>0.25</v>
      </c>
      <c r="P20" s="26">
        <f>IF(AvengerAbilities4Scenario0317[[#This Row],[takes]]&gt;0,AvengerAbilities4Scenario0317[[#This Row],[wins]]/AvengerAbilities4Scenario0317[[#This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240</v>
      </c>
      <c r="T23" t="s">
        <v>241</v>
      </c>
      <c r="U23" s="18" t="s">
        <v>164</v>
      </c>
    </row>
    <row r="24" spans="1:21" x14ac:dyDescent="0.25">
      <c r="L24" s="17" t="s">
        <v>228</v>
      </c>
      <c r="M24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162</v>
      </c>
      <c r="N24">
        <f>COUNTIF(Scenario1[winner1-ability1],AvengerAbilities1Scenario1319[[#This Row],[ability]])+COUNTIF(Scenario1[winner2-ability1],AvengerAbilities1Scenario1319[[#This Row],[ability]])</f>
        <v>50</v>
      </c>
      <c r="O24" s="3">
        <f>IF(SUM(AvengerAbilities1Scenario1319[[#This Row],[takes]]) &gt; 0,AvengerAbilities1Scenario1319[[#This Row],[takes]]/SUM(AvengerAbilities1Scenario1319[takes]),0)</f>
        <v>0.9642857142857143</v>
      </c>
      <c r="P24" s="3">
        <f>IF(AvengerAbilities1Scenario1319[[#This Row],[takes]]&gt;0,AvengerAbilities1Scenario1319[[#This Row],[wins]]/AvengerAbilities1Scenario1319[[#This Row],[takes]],0)</f>
        <v>0.30864197530864196</v>
      </c>
      <c r="R24">
        <v>1</v>
      </c>
      <c r="S24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76</v>
      </c>
      <c r="T24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162</v>
      </c>
      <c r="U24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119</v>
      </c>
    </row>
    <row r="25" spans="1:21" x14ac:dyDescent="0.25">
      <c r="L25" s="17" t="s">
        <v>229</v>
      </c>
      <c r="M25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6</v>
      </c>
      <c r="N25">
        <f>COUNTIF(Scenario1[winner1-ability1],AvengerAbilities1Scenario1319[[#This Row],[ability]])+COUNTIF(Scenario1[winner2-ability1],AvengerAbilities1Scenario1319[[#This Row],[ability]])</f>
        <v>2</v>
      </c>
      <c r="O25" s="3">
        <f>IF(SUM(AvengerAbilities1Scenario1319[[#This Row],[takes]]) &gt; 0,AvengerAbilities1Scenario1319[[#This Row],[takes]]/SUM(AvengerAbilities1Scenario1319[takes]),0)</f>
        <v>3.5714285714285712E-2</v>
      </c>
      <c r="P25" s="3">
        <f>IF(AvengerAbilities1Scenario1319[[#This Row],[takes]]&gt;0,AvengerAbilities1Scenario1319[[#This Row],[wins]]/AvengerAbilities1Scenario1319[[#This Row],[takes]],0)</f>
        <v>0.33333333333333331</v>
      </c>
      <c r="R25">
        <v>2</v>
      </c>
      <c r="S25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71</v>
      </c>
      <c r="T25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5</v>
      </c>
      <c r="U25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35</v>
      </c>
    </row>
    <row r="26" spans="1:21" x14ac:dyDescent="0.25">
      <c r="L26" s="17" t="s">
        <v>230</v>
      </c>
      <c r="M26">
        <f>COUNTIF(Scenario1[winner1-ability1],AvengerAbilities1Scenario1319[[#This Row],[ability]])+COUNTIF(Scenario1[winner2-ability1],AvengerAbilities1Scenario1319[[#This Row],[ability]])+COUNTIF(Scenario1[loser1-ability1],AvengerAbilities1Scenario1319[[#This Row],[ability]])+COUNTIF(Scenario1[loser2-ability1],AvengerAbilities1Scenario1319[[#This Row],[ability]])</f>
        <v>0</v>
      </c>
      <c r="N26">
        <f>COUNTIF(Scenario1[winner1-ability1],AvengerAbilities1Scenario1319[[#This Row],[ability]])+COUNTIF(Scenario1[winner2-ability1],AvengerAbilities1Scenario1319[[#This Row],[ability]])</f>
        <v>0</v>
      </c>
      <c r="O26" s="3">
        <f>IF(SUM(AvengerAbilities1Scenario1319[[#This Row],[takes]]) &gt; 0,AvengerAbilities1Scenario1319[[#This Row],[takes]]/SUM(AvengerAbilities1Scenario1319[takes]),0)</f>
        <v>0</v>
      </c>
      <c r="P26" s="3">
        <f>IF(AvengerAbilities1Scenario1319[[#This Row],[takes]]&gt;0,AvengerAbilities1Scenario1319[[#This Row],[wins]]/AvengerAbilities1Scenario1319[[#This Row],[takes]],0)</f>
        <v>0</v>
      </c>
      <c r="R26">
        <v>3</v>
      </c>
      <c r="S26">
        <f>COUNTIFS(Scenario1[winner1],"navarch",Scenario1[winner1-pw],AvengerEquipScenario1323[[#This Row],[level]])+COUNTIFS(Scenario1[winner2],"navarch",Scenario1[winner2-pw],AvengerEquipScenario1323[[#This Row],[level]])+COUNTIFS(Scenario1[loser1],"navarch",Scenario1[loser1-pw],AvengerEquipScenario1323[[#This Row],[level]])+COUNTIFS(Scenario1[loser2],"navarch",Scenario1[loser2-pw],AvengerEquipScenario1323[[#This Row],[level]])</f>
        <v>21</v>
      </c>
      <c r="T26">
        <f>COUNTIFS(Scenario1[winner1],"navarch",Scenario1[winner1-sw],AvengerEquipScenario1323[[#This Row],[level]])+COUNTIFS(Scenario1[winner2],"navarch",Scenario1[winner2-sw],AvengerEquipScenario1323[[#This Row],[level]])+COUNTIFS(Scenario1[loser1],"navarch",Scenario1[loser1-sw],AvengerEquipScenario1323[[#This Row],[level]])+COUNTIFS(Scenario1[loser2],"navarch",Scenario1[loser2-sw],AvengerEquipScenario1323[[#This Row],[level]])</f>
        <v>1</v>
      </c>
      <c r="U26" s="18">
        <f>COUNTIFS(Scenario1[winner1],"navarch",Scenario1[winner1-cp],AvengerEquipScenario1323[[#This Row],[level]])+COUNTIFS(Scenario1[winner2],"navarch",Scenario1[winner2-cp],AvengerEquipScenario1323[[#This Row],[level]])+COUNTIFS(Scenario1[loser1],"navarch",Scenario1[loser1-cp],AvengerEquipScenario1323[[#This Row],[level]])+COUNTIFS(Scenario1[loser2],"navarch",Scenario1[loser2-cp],AvengerEquipScenario1323[[#This Row],[level]])</f>
        <v>14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231</v>
      </c>
      <c r="M29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56</v>
      </c>
      <c r="N29" s="2">
        <f>COUNTIF(Scenario1[winner1-ability2],AvengerAbilities2Scenario1320[[#This Row],[ability]])+COUNTIF(Scenario1[winner2-ability2],AvengerAbilities2Scenario1320[[#This Row],[ability]])</f>
        <v>22</v>
      </c>
      <c r="O29" s="12">
        <f>IF(SUM(AvengerAbilities2Scenario1320[[#This Row],[takes]]) &gt; 0,AvengerAbilities2Scenario1320[[#This Row],[takes]]/SUM(AvengerAbilities2Scenario1320[takes]),0)</f>
        <v>0.96551724137931039</v>
      </c>
      <c r="P29" s="12">
        <f>IF(AvengerAbilities2Scenario1320[[#This Row],[takes]]&gt;0,AvengerAbilities2Scenario1320[[#This Row],[wins]]/AvengerAbilities2Scenario1320[[#This Row],[takes]],0)</f>
        <v>0.39285714285714285</v>
      </c>
      <c r="U29" s="18"/>
    </row>
    <row r="30" spans="1:21" x14ac:dyDescent="0.25">
      <c r="L30" s="17" t="s">
        <v>232</v>
      </c>
      <c r="M30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1</v>
      </c>
      <c r="N30" s="2">
        <f>COUNTIF(Scenario1[winner1-ability2],AvengerAbilities2Scenario1320[[#This Row],[ability]])+COUNTIF(Scenario1[winner2-ability2],AvengerAbilities2Scenario1320[[#This Row],[ability]])</f>
        <v>0</v>
      </c>
      <c r="O30" s="3">
        <f>IF(SUM(AvengerAbilities2Scenario1320[[#This Row],[takes]]) &gt; 0,AvengerAbilities2Scenario1320[[#This Row],[takes]]/SUM(AvengerAbilities2Scenario1320[takes]),0)</f>
        <v>1.7241379310344827E-2</v>
      </c>
      <c r="P30" s="3">
        <f>IF(AvengerAbilities2Scenario1320[[#This Row],[takes]]&gt;0,AvengerAbilities2Scenario1320[[#This Row],[wins]]/AvengerAbilities2Scenario1320[[#This Row],[takes]],0)</f>
        <v>0</v>
      </c>
      <c r="U30" s="18"/>
    </row>
    <row r="31" spans="1:21" x14ac:dyDescent="0.25">
      <c r="L31" s="21" t="s">
        <v>233</v>
      </c>
      <c r="M31" s="2">
        <f>COUNTIF(Scenario1[winner1-ability2],AvengerAbilities2Scenario1320[[#This Row],[ability]])+COUNTIF(Scenario1[winner2-ability2],AvengerAbilities2Scenario1320[[#This Row],[ability]])+COUNTIF(Scenario1[loser1-ability2],AvengerAbilities2Scenario1320[[#This Row],[ability]])+COUNTIF(Scenario1[loser2-ability2],AvengerAbilities2Scenario1320[[#This Row],[ability]])</f>
        <v>1</v>
      </c>
      <c r="N31" s="2">
        <f>COUNTIF(Scenario1[winner1-ability2],AvengerAbilities2Scenario1320[[#This Row],[ability]])+COUNTIF(Scenario1[winner2-ability2],AvengerAbilities2Scenario1320[[#This Row],[ability]])</f>
        <v>0</v>
      </c>
      <c r="O31" s="13">
        <f>IF(SUM(AvengerAbilities2Scenario1320[[#This Row],[takes]]) &gt; 0,AvengerAbilities2Scenario1320[[#This Row],[takes]]/SUM(AvengerAbilities2Scenario1320[takes]),0)</f>
        <v>1.7241379310344827E-2</v>
      </c>
      <c r="P31" s="13">
        <f>IF(AvengerAbilities2Scenario1320[[#This Row],[takes]]&gt;0,AvengerAbilities2Scenario1320[[#This Row],[wins]]/AvengerAbilities2Scenario1320[[#This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234</v>
      </c>
      <c r="M34" s="1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4</v>
      </c>
      <c r="N34" s="1">
        <f>COUNTIF(Scenario1[winner1-ability3],AvengerAbilities3Scenario1321[[#This Row],[ability]])+COUNTIF(Scenario1[winner2-ability3],AvengerAbilities3Scenario1321[[#This Row],[ability]])</f>
        <v>1</v>
      </c>
      <c r="O34" s="14">
        <f>IF(SUM(AvengerAbilities3Scenario1321[[#This Row],[takes]]) &gt; 0,AvengerAbilities3Scenario1321[[#This Row],[takes]]/SUM(AvengerAbilities3Scenario1321[takes]),0)</f>
        <v>0.21052631578947367</v>
      </c>
      <c r="P34" s="14">
        <f>IF(AvengerAbilities3Scenario1321[[#This Row],[takes]]&gt;0,AvengerAbilities3Scenario1321[[#This Row],[wins]]/AvengerAbilities3Scenario1321[[#This Row],[takes]],0)</f>
        <v>0.25</v>
      </c>
      <c r="U34" s="18"/>
    </row>
    <row r="35" spans="12:21" x14ac:dyDescent="0.25">
      <c r="L35" s="20" t="s">
        <v>235</v>
      </c>
      <c r="M35" s="2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14</v>
      </c>
      <c r="N35" s="2">
        <f>COUNTIF(Scenario1[winner1-ability3],AvengerAbilities3Scenario1321[[#This Row],[ability]])+COUNTIF(Scenario1[winner2-ability3],AvengerAbilities3Scenario1321[[#This Row],[ability]])</f>
        <v>2</v>
      </c>
      <c r="O35" s="12">
        <f>IF(SUM(AvengerAbilities3Scenario1321[[#This Row],[takes]]) &gt; 0,AvengerAbilities3Scenario1321[[#This Row],[takes]]/SUM(AvengerAbilities3Scenario1321[takes]),0)</f>
        <v>0.73684210526315785</v>
      </c>
      <c r="P35" s="12">
        <f>IF(AvengerAbilities3Scenario1321[[#This Row],[takes]]&gt;0,AvengerAbilities3Scenario1321[[#This Row],[wins]]/AvengerAbilities3Scenario1321[[#This Row],[takes]],0)</f>
        <v>0.14285714285714285</v>
      </c>
      <c r="U35" s="18"/>
    </row>
    <row r="36" spans="12:21" x14ac:dyDescent="0.25">
      <c r="L36" s="23" t="s">
        <v>236</v>
      </c>
      <c r="M36" s="1">
        <f>COUNTIF(Scenario1[winner1-ability3],AvengerAbilities3Scenario1321[[#This Row],[ability]])+COUNTIF(Scenario1[winner2-ability3],AvengerAbilities3Scenario1321[[#This Row],[ability]])+COUNTIF(Scenario1[loser1-ability3],AvengerAbilities3Scenario1321[[#This Row],[ability]])+COUNTIF(Scenario1[loser2-ability3],AvengerAbilities3Scenario1321[[#This Row],[ability]])</f>
        <v>1</v>
      </c>
      <c r="N36" s="1">
        <f>COUNTIF(Scenario1[winner1-ability3],AvengerAbilities3Scenario1321[[#This Row],[ability]])+COUNTIF(Scenario1[winner2-ability3],AvengerAbilities3Scenario1321[[#This Row],[ability]])</f>
        <v>0</v>
      </c>
      <c r="O36" s="15">
        <f>IF(SUM(AvengerAbilities3Scenario1321[[#This Row],[takes]]) &gt; 0,AvengerAbilities3Scenario1321[[#This Row],[takes]]/SUM(AvengerAbilities3Scenario1321[takes]),0)</f>
        <v>5.2631578947368418E-2</v>
      </c>
      <c r="P36" s="15">
        <f>IF(AvengerAbilities3Scenario1321[[#This Row],[takes]]&gt;0,AvengerAbilities3Scenario1321[[#This Row],[wins]]/AvengerAbilities3Scenario1321[[#This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237</v>
      </c>
      <c r="M39" s="2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2</v>
      </c>
      <c r="N39" s="2">
        <f>COUNTIF(Scenario1[winner1-ability4],AvengerAbilities4Scenario1322[[#This Row],[ability]])+COUNTIF(Scenario1[winner2-ability4],AvengerAbilities4Scenario1322[[#This Row],[ability]])</f>
        <v>1</v>
      </c>
      <c r="O39" s="12">
        <f>IF(SUM(AvengerAbilities4Scenario1322[[#This Row],[takes]]) &gt; 0,AvengerAbilities4Scenario1322[[#This Row],[takes]]/SUM(AvengerAbilities4Scenario1322[takes]),0)</f>
        <v>1</v>
      </c>
      <c r="P39" s="12">
        <f>IF(AvengerAbilities4Scenario1322[[#This Row],[takes]]&gt;0,AvengerAbilities4Scenario1322[[#This Row],[wins]]/AvengerAbilities4Scenario1322[[#This Row],[takes]],0)</f>
        <v>0.5</v>
      </c>
      <c r="U39" s="18"/>
    </row>
    <row r="40" spans="12:21" x14ac:dyDescent="0.25">
      <c r="L40" s="20" t="s">
        <v>238</v>
      </c>
      <c r="M40" s="2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40" s="2">
        <f>COUNTIF(Scenario1[winner1-ability4],AvengerAbilities4Scenario1322[[#This Row],[ability]])+COUNTIF(Scenario1[winner2-ability4],AvengerAbilities4Scenario1322[[#This Row],[ability]])</f>
        <v>0</v>
      </c>
      <c r="O40" s="12">
        <f>IF(SUM(AvengerAbilities4Scenario1322[[#This Row],[takes]]) &gt; 0,AvengerAbilities4Scenario1322[[#This Row],[takes]]/SUM(AvengerAbilities4Scenario1322[takes]),0)</f>
        <v>0</v>
      </c>
      <c r="P40" s="12">
        <f>IF(AvengerAbilities4Scenario1322[[#This Row],[takes]]&gt;0,AvengerAbilities4Scenario1322[[#This Row],[wins]]/AvengerAbilities4Scenario1322[[#This Row],[takes]],0)</f>
        <v>0</v>
      </c>
      <c r="U40" s="18"/>
    </row>
    <row r="41" spans="12:21" ht="15.75" thickBot="1" x14ac:dyDescent="0.3">
      <c r="L41" s="24" t="s">
        <v>239</v>
      </c>
      <c r="M41" s="25">
        <f>COUNTIF(Scenario1[winner1-ability4],AvengerAbilities4Scenario1322[[#This Row],[ability]])+COUNTIF(Scenario1[winner2-ability4],AvengerAbilities4Scenario1322[[#This Row],[ability]])+COUNTIF(Scenario1[loser1-ability4],AvengerAbilities4Scenario1322[[#This Row],[ability]])+COUNTIF(Scenario1[loser2-ability4],AvengerAbilities4Scenario1322[[#This Row],[ability]])</f>
        <v>0</v>
      </c>
      <c r="N41" s="25">
        <f>COUNTIF(Scenario1[winner1-ability4],AvengerAbilities4Scenario1322[[#This Row],[ability]])+COUNTIF(Scenario1[winner2-ability4],AvengerAbilities4Scenario1322[[#This Row],[ability]])</f>
        <v>0</v>
      </c>
      <c r="O41" s="26">
        <f>IF(SUM(AvengerAbilities4Scenario1322[[#This Row],[takes]]) &gt; 0,AvengerAbilities4Scenario1322[[#This Row],[takes]]/SUM(AvengerAbilities4Scenario1322[takes]),0)</f>
        <v>0</v>
      </c>
      <c r="P41" s="26">
        <f>IF(AvengerAbilities4Scenario1322[[#This Row],[takes]]&gt;0,AvengerAbilities4Scenario1322[[#This Row],[wins]]/AvengerAbilities4Scenario1322[[#This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240</v>
      </c>
      <c r="T44" t="s">
        <v>241</v>
      </c>
      <c r="U44" s="18" t="s">
        <v>164</v>
      </c>
    </row>
    <row r="45" spans="12:21" x14ac:dyDescent="0.25">
      <c r="L45" s="17" t="s">
        <v>228</v>
      </c>
      <c r="M45">
        <f>COUNTIF(Scenario2[winner1-ability1],AvengerAbilities1Scenario2324[[#This Row],[ability]])+COUNTIF(Scenario2[loser1-ability1],AvengerAbilities1Scenario2324[[#This Row],[ability]])</f>
        <v>9</v>
      </c>
      <c r="N45">
        <f>COUNTIF(Scenario2[winner1-ability1],AvengerAbilities1Scenario2324[[#This Row],[ability]])</f>
        <v>5</v>
      </c>
      <c r="O45" s="3">
        <f>IF(SUM(AvengerAbilities1Scenario2324[[#This Row],[takes]]) &gt; 0,AvengerAbilities1Scenario2324[[#This Row],[takes]]/SUM(AvengerAbilities1Scenario2324[takes]),0)</f>
        <v>0.5625</v>
      </c>
      <c r="P45" s="3">
        <f>IF(AvengerAbilities1Scenario2324[[#This Row],[takes]]&gt;0,AvengerAbilities1Scenario2324[[#This Row],[wins]]/AvengerAbilities1Scenario2324[[#This Row],[takes]],0)</f>
        <v>0.55555555555555558</v>
      </c>
      <c r="R45">
        <v>1</v>
      </c>
      <c r="S45">
        <f>COUNTIFS(Scenario2[winner1],"navarch",Scenario2[winner1-pw],AvengerEquipScenario2328[[#This Row],[level]])+COUNTIFS(Scenario2[loser1],"navarch",Scenario2[loser1-pw],AvengerEquipScenario2328[[#This Row],[level]])</f>
        <v>5</v>
      </c>
      <c r="T45">
        <f>COUNTIFS(Scenario2[winner1],"navarch",Scenario2[winner1-sw],AvengerEquipScenario2328[[#This Row],[level]])+COUNTIFS(Scenario2[loser1],"navarch",Scenario2[loser1-sw],AvengerEquipScenario2328[[#This Row],[level]])</f>
        <v>10</v>
      </c>
      <c r="U45" s="18">
        <f>COUNTIFS(Scenario2[winner1],"navarch",Scenario2[winner1-cp],AvengerEquipScenario2328[[#This Row],[level]])+COUNTIFS(Scenario2[loser1],"navarch",Scenario2[loser1-cp],AvengerEquipScenario2328[[#This Row],[level]])</f>
        <v>3</v>
      </c>
    </row>
    <row r="46" spans="12:21" x14ac:dyDescent="0.25">
      <c r="L46" s="17" t="s">
        <v>229</v>
      </c>
      <c r="M46">
        <f>COUNTIF(Scenario2[winner1-ability1],AvengerAbilities1Scenario2324[[#This Row],[ability]])+COUNTIF(Scenario2[loser1-ability1],AvengerAbilities1Scenario2324[[#This Row],[ability]])</f>
        <v>7</v>
      </c>
      <c r="N46">
        <f>COUNTIF(Scenario2[winner1-ability1],AvengerAbilities1Scenario2324[[#This Row],[ability]])</f>
        <v>2</v>
      </c>
      <c r="O46" s="3">
        <f>IF(SUM(AvengerAbilities1Scenario2324[[#This Row],[takes]]) &gt; 0,AvengerAbilities1Scenario2324[[#This Row],[takes]]/SUM(AvengerAbilities1Scenario2324[takes]),0)</f>
        <v>0.4375</v>
      </c>
      <c r="P46" s="3">
        <f>IF(AvengerAbilities1Scenario2324[[#This Row],[takes]]&gt;0,AvengerAbilities1Scenario2324[[#This Row],[wins]]/AvengerAbilities1Scenario2324[[#This Row],[takes]],0)</f>
        <v>0.2857142857142857</v>
      </c>
      <c r="R46">
        <v>2</v>
      </c>
      <c r="S46">
        <f>COUNTIFS(Scenario2[winner1],"navarch",Scenario2[winner1-pw],AvengerEquipScenario2328[[#This Row],[level]])+COUNTIFS(Scenario2[loser1],"navarch",Scenario2[loser1-pw],AvengerEquipScenario2328[[#This Row],[level]])</f>
        <v>6</v>
      </c>
      <c r="T46">
        <f>COUNTIFS(Scenario2[winner1],"navarch",Scenario2[winner1-sw],AvengerEquipScenario2328[[#This Row],[level]])+COUNTIFS(Scenario2[loser1],"navarch",Scenario2[loser1-sw],AvengerEquipScenario2328[[#This Row],[level]])</f>
        <v>3</v>
      </c>
      <c r="U46" s="18">
        <f>COUNTIFS(Scenario2[winner1],"navarch",Scenario2[winner1-cp],AvengerEquipScenario2328[[#This Row],[level]])+COUNTIFS(Scenario2[loser1],"navarch",Scenario2[loser1-cp],AvengerEquipScenario2328[[#This Row],[level]])</f>
        <v>2</v>
      </c>
    </row>
    <row r="47" spans="12:21" x14ac:dyDescent="0.25">
      <c r="L47" s="17" t="s">
        <v>230</v>
      </c>
      <c r="M47">
        <f>COUNTIF(Scenario2[winner1-ability1],AvengerAbilities1Scenario2324[[#This Row],[ability]])+COUNTIF(Scenario2[loser1-ability1],AvengerAbilities1Scenario2324[[#This Row],[ability]])</f>
        <v>0</v>
      </c>
      <c r="N47">
        <f>COUNTIF(Scenario2[winner1-ability1],AvengerAbilities1Scenario2324[[#This Row],[ability]])</f>
        <v>0</v>
      </c>
      <c r="O47" s="3">
        <f>IF(SUM(AvengerAbilities1Scenario2324[[#This Row],[takes]]) &gt; 0,AvengerAbilities1Scenario2324[[#This Row],[takes]]/SUM(AvengerAbilities1Scenario2324[takes]),0)</f>
        <v>0</v>
      </c>
      <c r="P47" s="3">
        <f>IF(AvengerAbilities1Scenario2324[[#This Row],[takes]]&gt;0,AvengerAbilities1Scenario2324[[#This Row],[wins]]/AvengerAbilities1Scenario2324[[#This Row],[takes]],0)</f>
        <v>0</v>
      </c>
      <c r="R47">
        <v>3</v>
      </c>
      <c r="S47">
        <f>COUNTIFS(Scenario2[winner1],"navarch",Scenario2[winner1-pw],AvengerEquipScenario2328[[#This Row],[level]])+COUNTIFS(Scenario2[loser1],"navarch",Scenario2[loser1-pw],AvengerEquipScenario2328[[#This Row],[level]])</f>
        <v>5</v>
      </c>
      <c r="T47">
        <f>COUNTIFS(Scenario2[winner1],"navarch",Scenario2[winner1-sw],AvengerEquipScenario2328[[#This Row],[level]])+COUNTIFS(Scenario2[loser1],"navarch",Scenario2[loser1-sw],AvengerEquipScenario2328[[#This Row],[level]])</f>
        <v>3</v>
      </c>
      <c r="U47" s="18">
        <f>COUNTIFS(Scenario2[winner1],"navarch",Scenario2[winner1-cp],AvengerEquipScenario2328[[#This Row],[level]])+COUNTIFS(Scenario2[loser1],"navarch",Scenario2[loser1-cp],AvengerEquipScenario2328[[#This Row],[level]])</f>
        <v>11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231</v>
      </c>
      <c r="M50" s="2">
        <f>COUNTIF(Scenario2[winner1-ability2],AvengerAbilities2Scenario2325[[#This Row],[ability]])+COUNTIF(Scenario2[loser1-ability2],AvengerAbilities2Scenario2325[[#This Row],[ability]])</f>
        <v>11</v>
      </c>
      <c r="N50" s="2">
        <f>COUNTIF(Scenario2[winner1-ability2],AvengerAbilities2Scenario2325[[#This Row],[ability]])</f>
        <v>6</v>
      </c>
      <c r="O50" s="12">
        <f>IF(SUM(AvengerAbilities2Scenario2325[[#This Row],[takes]]) &gt; 0,AvengerAbilities2Scenario2325[[#This Row],[takes]]/SUM(AvengerAbilities2Scenario2325[takes]),0)</f>
        <v>0.7857142857142857</v>
      </c>
      <c r="P50" s="12">
        <f>IF(AvengerAbilities2Scenario2325[[#This Row],[takes]]&gt;0,AvengerAbilities2Scenario2325[[#This Row],[wins]]/AvengerAbilities2Scenario2325[[#This Row],[takes]],0)</f>
        <v>0.54545454545454541</v>
      </c>
      <c r="U50" s="18"/>
    </row>
    <row r="51" spans="12:21" x14ac:dyDescent="0.25">
      <c r="L51" s="17" t="s">
        <v>232</v>
      </c>
      <c r="M51" s="2">
        <f>COUNTIF(Scenario2[winner1-ability2],AvengerAbilities2Scenario2325[[#This Row],[ability]])+COUNTIF(Scenario2[loser1-ability2],AvengerAbilities2Scenario2325[[#This Row],[ability]])</f>
        <v>0</v>
      </c>
      <c r="N51" s="2">
        <f>COUNTIF(Scenario2[winner1-ability2],AvengerAbilities2Scenario2325[[#This Row],[ability]])</f>
        <v>0</v>
      </c>
      <c r="O51" s="3">
        <f>IF(SUM(AvengerAbilities2Scenario2325[[#This Row],[takes]]) &gt; 0,AvengerAbilities2Scenario2325[[#This Row],[takes]]/SUM(AvengerAbilities2Scenario2325[takes]),0)</f>
        <v>0</v>
      </c>
      <c r="P51" s="3">
        <f>IF(AvengerAbilities2Scenario2325[[#This Row],[takes]]&gt;0,AvengerAbilities2Scenario2325[[#This Row],[wins]]/AvengerAbilities2Scenario2325[[#This Row],[takes]],0)</f>
        <v>0</v>
      </c>
      <c r="U51" s="18"/>
    </row>
    <row r="52" spans="12:21" x14ac:dyDescent="0.25">
      <c r="L52" s="21" t="s">
        <v>233</v>
      </c>
      <c r="M52" s="2">
        <f>COUNTIF(Scenario2[winner1-ability2],AvengerAbilities2Scenario2325[[#This Row],[ability]])+COUNTIF(Scenario2[loser1-ability2],AvengerAbilities2Scenario2325[[#This Row],[ability]])</f>
        <v>3</v>
      </c>
      <c r="N52" s="2">
        <f>COUNTIF(Scenario2[winner1-ability2],AvengerAbilities2Scenario2325[[#This Row],[ability]])</f>
        <v>0</v>
      </c>
      <c r="O52" s="13">
        <f>IF(SUM(AvengerAbilities2Scenario2325[[#This Row],[takes]]) &gt; 0,AvengerAbilities2Scenario2325[[#This Row],[takes]]/SUM(AvengerAbilities2Scenario2325[takes]),0)</f>
        <v>0.21428571428571427</v>
      </c>
      <c r="P52" s="13">
        <f>IF(AvengerAbilities2Scenario2325[[#This Row],[takes]]&gt;0,AvengerAbilities2Scenario2325[[#This Row],[wins]]/AvengerAbilities2Scenario2325[[#This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234</v>
      </c>
      <c r="M55" s="1">
        <f>COUNTIF(Scenario2[winner1-ability3],AvengerAbilities3Scenario2326[[#This Row],[ability]])+COUNTIF(Scenario2[loser1-ability3],AvengerAbilities3Scenario2326[[#This Row],[ability]])</f>
        <v>0</v>
      </c>
      <c r="N55" s="1">
        <f>COUNTIF(Scenario2[winner1-ability3],AvengerAbilities3Scenario2326[[#This Row],[ability]])</f>
        <v>0</v>
      </c>
      <c r="O55" s="14">
        <f>IF(SUM(AvengerAbilities3Scenario2326[[#This Row],[takes]]) &gt; 0,AvengerAbilities3Scenario2326[[#This Row],[takes]]/SUM(AvengerAbilities3Scenario2326[takes]),0)</f>
        <v>0</v>
      </c>
      <c r="P55" s="14">
        <f>IF(AvengerAbilities3Scenario2326[[#This Row],[takes]]&gt;0,AvengerAbilities3Scenario2326[[#This Row],[wins]]/AvengerAbilities3Scenario2326[[#This Row],[takes]],0)</f>
        <v>0</v>
      </c>
      <c r="U55" s="18"/>
    </row>
    <row r="56" spans="12:21" x14ac:dyDescent="0.25">
      <c r="L56" s="20" t="s">
        <v>235</v>
      </c>
      <c r="M56" s="2">
        <f>COUNTIF(Scenario2[winner1-ability3],AvengerAbilities3Scenario2326[[#This Row],[ability]])+COUNTIF(Scenario2[loser1-ability3],AvengerAbilities3Scenario2326[[#This Row],[ability]])</f>
        <v>6</v>
      </c>
      <c r="N56" s="2">
        <f>COUNTIF(Scenario2[winner1-ability3],AvengerAbilities3Scenario2326[[#This Row],[ability]])</f>
        <v>0</v>
      </c>
      <c r="O56" s="12">
        <f>IF(SUM(AvengerAbilities3Scenario2326[[#This Row],[takes]]) &gt; 0,AvengerAbilities3Scenario2326[[#This Row],[takes]]/SUM(AvengerAbilities3Scenario2326[takes]),0)</f>
        <v>0.66666666666666663</v>
      </c>
      <c r="P56" s="12">
        <f>IF(AvengerAbilities3Scenario2326[[#This Row],[takes]]&gt;0,AvengerAbilities3Scenario2326[[#This Row],[wins]]/AvengerAbilities3Scenario2326[[#This Row],[takes]],0)</f>
        <v>0</v>
      </c>
      <c r="U56" s="18"/>
    </row>
    <row r="57" spans="12:21" x14ac:dyDescent="0.25">
      <c r="L57" s="23" t="s">
        <v>236</v>
      </c>
      <c r="M57" s="1">
        <f>COUNTIF(Scenario2[winner1-ability3],AvengerAbilities3Scenario2326[[#This Row],[ability]])+COUNTIF(Scenario2[loser1-ability3],AvengerAbilities3Scenario2326[[#This Row],[ability]])</f>
        <v>3</v>
      </c>
      <c r="N57" s="1">
        <f>COUNTIF(Scenario2[winner1-ability3],AvengerAbilities3Scenario2326[[#This Row],[ability]])</f>
        <v>3</v>
      </c>
      <c r="O57" s="15">
        <f>IF(SUM(AvengerAbilities3Scenario2326[[#This Row],[takes]]) &gt; 0,AvengerAbilities3Scenario2326[[#This Row],[takes]]/SUM(AvengerAbilities3Scenario2326[takes]),0)</f>
        <v>0.33333333333333331</v>
      </c>
      <c r="P57" s="15">
        <f>IF(AvengerAbilities3Scenario2326[[#This Row],[takes]]&gt;0,AvengerAbilities3Scenario2326[[#This Row],[wins]]/AvengerAbilities3Scenario2326[[#This Row],[takes]],0)</f>
        <v>1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237</v>
      </c>
      <c r="M60" s="2">
        <f>COUNTIF(Scenario2[winner1-ability4],AvengerAbilities4Scenario2327[[#This Row],[ability]])+COUNTIF(Scenario2[loser1-ability4],AvengerAbilities4Scenario2327[[#This Row],[ability]])</f>
        <v>1</v>
      </c>
      <c r="N60" s="2">
        <f>COUNTIF(Scenario2[winner1-ability4],AvengerAbilities4Scenario2327[[#This Row],[ability]])</f>
        <v>0</v>
      </c>
      <c r="O60" s="12">
        <f>IF(SUM(AvengerAbilities4Scenario2327[[#This Row],[takes]]) &gt; 0,AvengerAbilities4Scenario2327[[#This Row],[takes]]/SUM(AvengerAbilities4Scenario2327[takes]),0)</f>
        <v>0.16666666666666666</v>
      </c>
      <c r="P60" s="12">
        <f>IF(AvengerAbilities4Scenario2327[[#This Row],[takes]]&gt;0,AvengerAbilities4Scenario2327[[#This Row],[wins]]/AvengerAbilities4Scenario2327[[#This Row],[takes]],0)</f>
        <v>0</v>
      </c>
      <c r="U60" s="18"/>
    </row>
    <row r="61" spans="12:21" x14ac:dyDescent="0.25">
      <c r="L61" s="20" t="s">
        <v>238</v>
      </c>
      <c r="M61" s="2">
        <f>COUNTIF(Scenario2[winner1-ability4],AvengerAbilities4Scenario2327[[#This Row],[ability]])+COUNTIF(Scenario2[loser1-ability4],AvengerAbilities4Scenario2327[[#This Row],[ability]])</f>
        <v>5</v>
      </c>
      <c r="N61" s="2">
        <f>COUNTIF(Scenario2[winner1-ability4],AvengerAbilities4Scenario2327[[#This Row],[ability]])</f>
        <v>2</v>
      </c>
      <c r="O61" s="12">
        <f>IF(SUM(AvengerAbilities4Scenario2327[[#This Row],[takes]]) &gt; 0,AvengerAbilities4Scenario2327[[#This Row],[takes]]/SUM(AvengerAbilities4Scenario2327[takes]),0)</f>
        <v>0.83333333333333337</v>
      </c>
      <c r="P61" s="12">
        <f>IF(AvengerAbilities4Scenario2327[[#This Row],[takes]]&gt;0,AvengerAbilities4Scenario2327[[#This Row],[wins]]/AvengerAbilities4Scenario2327[[#This Row],[takes]],0)</f>
        <v>0.4</v>
      </c>
      <c r="U61" s="18"/>
    </row>
    <row r="62" spans="12:21" ht="15.75" thickBot="1" x14ac:dyDescent="0.3">
      <c r="L62" s="24" t="s">
        <v>239</v>
      </c>
      <c r="M62" s="25">
        <f>COUNTIF(Scenario2[winner1-ability4],AvengerAbilities4Scenario2327[[#This Row],[ability]])+COUNTIF(Scenario2[loser1-ability4],AvengerAbilities4Scenario2327[[#This Row],[ability]])</f>
        <v>0</v>
      </c>
      <c r="N62" s="25">
        <f>COUNTIF(Scenario2[winner1-ability4],AvengerAbilities4Scenario2327[[#This Row],[ability]])</f>
        <v>0</v>
      </c>
      <c r="O62" s="26">
        <f>IF(SUM(AvengerAbilities4Scenario2327[[#This Row],[takes]]) &gt; 0,AvengerAbilities4Scenario2327[[#This Row],[takes]]/SUM(AvengerAbilities4Scenario2327[takes]),0)</f>
        <v>0</v>
      </c>
      <c r="P62" s="26">
        <f>IF(AvengerAbilities4Scenario2327[[#This Row],[takes]]&gt;0,AvengerAbilities4Scenario2327[[#This Row],[wins]]/AvengerAbilities4Scenario2327[[#This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240</v>
      </c>
      <c r="T65" t="s">
        <v>241</v>
      </c>
      <c r="U65" s="18" t="s">
        <v>164</v>
      </c>
    </row>
    <row r="66" spans="12:21" x14ac:dyDescent="0.25">
      <c r="L66" s="17" t="s">
        <v>228</v>
      </c>
      <c r="M66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9</v>
      </c>
      <c r="N66">
        <f>COUNTIF(Scenario3[winner1-ability1],AvengerAbilities1Scenario3330[[#This Row],[ability]])</f>
        <v>3</v>
      </c>
      <c r="O66" s="3">
        <f>IF(SUM(AvengerAbilities1Scenario3330[[#This Row],[takes]]) &gt; 0,AvengerAbilities1Scenario3330[[#This Row],[takes]]/SUM(AvengerAbilities1Scenario3330[takes]),0)</f>
        <v>0.32142857142857145</v>
      </c>
      <c r="P66" s="3">
        <f>IF(AvengerAbilities1Scenario3330[[#This Row],[takes]]&gt;0,AvengerAbilities1Scenario3330[[#This Row],[wins]]/AvengerAbilities1Scenario3330[[#This Row],[takes]],0)</f>
        <v>0.33333333333333331</v>
      </c>
      <c r="R66">
        <v>1</v>
      </c>
      <c r="S66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9</v>
      </c>
      <c r="T66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7</v>
      </c>
      <c r="U66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0</v>
      </c>
    </row>
    <row r="67" spans="12:21" x14ac:dyDescent="0.25">
      <c r="L67" s="17" t="s">
        <v>229</v>
      </c>
      <c r="M67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19</v>
      </c>
      <c r="N67">
        <f>COUNTIF(Scenario3[winner1-ability1],AvengerAbilities1Scenario3330[[#This Row],[ability]])</f>
        <v>3</v>
      </c>
      <c r="O67" s="3">
        <f>IF(SUM(AvengerAbilities1Scenario3330[[#This Row],[takes]]) &gt; 0,AvengerAbilities1Scenario3330[[#This Row],[takes]]/SUM(AvengerAbilities1Scenario3330[takes]),0)</f>
        <v>0.6785714285714286</v>
      </c>
      <c r="P67" s="3">
        <f>IF(AvengerAbilities1Scenario3330[[#This Row],[takes]]&gt;0,AvengerAbilities1Scenario3330[[#This Row],[wins]]/AvengerAbilities1Scenario3330[[#This Row],[takes]],0)</f>
        <v>0.15789473684210525</v>
      </c>
      <c r="R67">
        <v>2</v>
      </c>
      <c r="S67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4</v>
      </c>
      <c r="T67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4</v>
      </c>
      <c r="U67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2</v>
      </c>
    </row>
    <row r="68" spans="12:21" x14ac:dyDescent="0.25">
      <c r="L68" s="17" t="s">
        <v>230</v>
      </c>
      <c r="M68">
        <f>COUNTIF(Scenario3[winner1-ability1],AvengerAbilities1Scenario3330[[#This Row],[ability]])+COUNTIF(Scenario3[loser1-ability1],AvengerAbilities1Scenario3330[[#This Row],[ability]])+COUNTIF(Scenario3[loser2-ability1],AvengerAbilities1Scenario3330[[#This Row],[ability]])</f>
        <v>0</v>
      </c>
      <c r="N68">
        <f>COUNTIF(Scenario3[winner1-ability1],AvengerAbilities1Scenario3330[[#This Row],[ability]])</f>
        <v>0</v>
      </c>
      <c r="O68" s="3">
        <f>IF(SUM(AvengerAbilities1Scenario3330[[#This Row],[takes]]) &gt; 0,AvengerAbilities1Scenario3330[[#This Row],[takes]]/SUM(AvengerAbilities1Scenario3330[takes]),0)</f>
        <v>0</v>
      </c>
      <c r="P68" s="3">
        <f>IF(AvengerAbilities1Scenario3330[[#This Row],[takes]]&gt;0,AvengerAbilities1Scenario3330[[#This Row],[wins]]/AvengerAbilities1Scenario3330[[#This Row],[takes]],0)</f>
        <v>0</v>
      </c>
      <c r="R68">
        <v>3</v>
      </c>
      <c r="S68">
        <f>COUNTIFS(Scenario3[winner1],"navarch",Scenario3[winner1-pw],AvengerEquipScenario3334[[#This Row],[level]])+COUNTIFS(Scenario3[loser1],"navarch",Scenario3[loser1-pw],AvengerEquipScenario3334[[#This Row],[level]])+COUNTIFS(Scenario3[loser2],"navarch",Scenario3[loser2-pw],AvengerEquipScenario3334[[#This Row],[level]])</f>
        <v>15</v>
      </c>
      <c r="T68">
        <f>COUNTIFS(Scenario3[winner1],"navarch",Scenario3[winner1-sw],AvengerEquipScenario3334[[#This Row],[level]])+COUNTIFS(Scenario3[loser1],"navarch",Scenario3[loser1-sw],AvengerEquipScenario3334[[#This Row],[level]])+COUNTIFS(Scenario3[loser2],"navarch",Scenario3[loser2-sw],AvengerEquipScenario3334[[#This Row],[level]])</f>
        <v>17</v>
      </c>
      <c r="U68" s="18">
        <f>COUNTIFS(Scenario3[winner1],"navarch",Scenario3[winner1-cp],AvengerEquipScenario3334[[#This Row],[level]])+COUNTIFS(Scenario3[loser1],"navarch",Scenario3[loser1-cp],AvengerEquipScenario3334[[#This Row],[level]])+COUNTIFS(Scenario3[loser2],"navarch",Scenario3[loser2-cp],AvengerEquipScenario3334[[#This Row],[level]])</f>
        <v>26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231</v>
      </c>
      <c r="M71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19</v>
      </c>
      <c r="N71" s="2">
        <f>COUNTIF(Scenario3[winner1-ability2],AvengerAbilities2Scenario3331[[#This Row],[ability]])</f>
        <v>4</v>
      </c>
      <c r="O71" s="12">
        <f>IF(SUM(AvengerAbilities2Scenario3331[[#This Row],[takes]]) &gt; 0,AvengerAbilities2Scenario3331[[#This Row],[takes]]/SUM(AvengerAbilities2Scenario3331[takes]),0)</f>
        <v>0.73076923076923073</v>
      </c>
      <c r="P71" s="12">
        <f>IF(AvengerAbilities2Scenario3331[[#This Row],[takes]]&gt;0,AvengerAbilities2Scenario3331[[#This Row],[wins]]/AvengerAbilities2Scenario3331[[#This Row],[takes]],0)</f>
        <v>0.21052631578947367</v>
      </c>
      <c r="U71" s="18"/>
    </row>
    <row r="72" spans="12:21" x14ac:dyDescent="0.25">
      <c r="L72" s="17" t="s">
        <v>232</v>
      </c>
      <c r="M72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2</v>
      </c>
      <c r="N72" s="2">
        <f>COUNTIF(Scenario3[winner1-ability2],AvengerAbilities2Scenario3331[[#This Row],[ability]])</f>
        <v>1</v>
      </c>
      <c r="O72" s="3">
        <f>IF(SUM(AvengerAbilities2Scenario3331[[#This Row],[takes]]) &gt; 0,AvengerAbilities2Scenario3331[[#This Row],[takes]]/SUM(AvengerAbilities2Scenario3331[takes]),0)</f>
        <v>7.6923076923076927E-2</v>
      </c>
      <c r="P72" s="3">
        <f>IF(AvengerAbilities2Scenario3331[[#This Row],[takes]]&gt;0,AvengerAbilities2Scenario3331[[#This Row],[wins]]/AvengerAbilities2Scenario3331[[#This Row],[takes]],0)</f>
        <v>0.5</v>
      </c>
      <c r="U72" s="18"/>
    </row>
    <row r="73" spans="12:21" x14ac:dyDescent="0.25">
      <c r="L73" s="21" t="s">
        <v>233</v>
      </c>
      <c r="M73" s="2">
        <f>COUNTIF(Scenario3[winner1-ability2],AvengerAbilities2Scenario3331[[#This Row],[ability]])+COUNTIF(Scenario3[loser1-ability2],AvengerAbilities2Scenario3331[[#This Row],[ability]])+COUNTIF(Scenario3[loser2-ability2],AvengerAbilities2Scenario3331[[#This Row],[ability]])</f>
        <v>5</v>
      </c>
      <c r="N73" s="2">
        <f>COUNTIF(Scenario3[winner1-ability2],AvengerAbilities2Scenario3331[[#This Row],[ability]])</f>
        <v>1</v>
      </c>
      <c r="O73" s="13">
        <f>IF(SUM(AvengerAbilities2Scenario3331[[#This Row],[takes]]) &gt; 0,AvengerAbilities2Scenario3331[[#This Row],[takes]]/SUM(AvengerAbilities2Scenario3331[takes]),0)</f>
        <v>0.19230769230769232</v>
      </c>
      <c r="P73" s="13">
        <f>IF(AvengerAbilities2Scenario3331[[#This Row],[takes]]&gt;0,AvengerAbilities2Scenario3331[[#This Row],[wins]]/AvengerAbilities2Scenario3331[[#This Row],[takes]],0)</f>
        <v>0.2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234</v>
      </c>
      <c r="M76" s="1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6" s="1">
        <f>COUNTIF(Scenario3[winner1-ability3],AvengerAbilities3Scenario3332[[#This Row],[ability]])</f>
        <v>0</v>
      </c>
      <c r="O76" s="14">
        <f>IF(SUM(AvengerAbilities3Scenario3332[[#This Row],[takes]]) &gt; 0,AvengerAbilities3Scenario3332[[#This Row],[takes]]/SUM(AvengerAbilities3Scenario3332[takes]),0)</f>
        <v>0</v>
      </c>
      <c r="P76" s="14">
        <f>IF(AvengerAbilities3Scenario3332[[#This Row],[takes]]&gt;0,AvengerAbilities3Scenario3332[[#This Row],[wins]]/AvengerAbilities3Scenario3332[[#This Row],[takes]],0)</f>
        <v>0</v>
      </c>
      <c r="U76" s="18"/>
    </row>
    <row r="77" spans="12:21" x14ac:dyDescent="0.25">
      <c r="L77" s="20" t="s">
        <v>235</v>
      </c>
      <c r="M77" s="2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25</v>
      </c>
      <c r="N77" s="2">
        <f>COUNTIF(Scenario3[winner1-ability3],AvengerAbilities3Scenario3332[[#This Row],[ability]])</f>
        <v>6</v>
      </c>
      <c r="O77" s="12">
        <f>IF(SUM(AvengerAbilities3Scenario3332[[#This Row],[takes]]) &gt; 0,AvengerAbilities3Scenario3332[[#This Row],[takes]]/SUM(AvengerAbilities3Scenario3332[takes]),0)</f>
        <v>1</v>
      </c>
      <c r="P77" s="12">
        <f>IF(AvengerAbilities3Scenario3332[[#This Row],[takes]]&gt;0,AvengerAbilities3Scenario3332[[#This Row],[wins]]/AvengerAbilities3Scenario3332[[#This Row],[takes]],0)</f>
        <v>0.24</v>
      </c>
      <c r="U77" s="18"/>
    </row>
    <row r="78" spans="12:21" x14ac:dyDescent="0.25">
      <c r="L78" s="23" t="s">
        <v>236</v>
      </c>
      <c r="M78" s="1">
        <f>COUNTIF(Scenario3[winner1-ability3],AvengerAbilities3Scenario3332[[#This Row],[ability]])+COUNTIF(Scenario3[loser1-ability3],AvengerAbilities3Scenario3332[[#This Row],[ability]])+COUNTIF(Scenario3[loser2-ability3],AvengerAbilities3Scenario3332[[#This Row],[ability]])</f>
        <v>0</v>
      </c>
      <c r="N78" s="1">
        <f>COUNTIF(Scenario3[winner1-ability3],AvengerAbilities3Scenario3332[[#This Row],[ability]])</f>
        <v>0</v>
      </c>
      <c r="O78" s="15">
        <f>IF(SUM(AvengerAbilities3Scenario3332[[#This Row],[takes]]) &gt; 0,AvengerAbilities3Scenario3332[[#This Row],[takes]]/SUM(AvengerAbilities3Scenario3332[takes]),0)</f>
        <v>0</v>
      </c>
      <c r="P78" s="15">
        <f>IF(AvengerAbilities3Scenario3332[[#This Row],[takes]]&gt;0,AvengerAbilities3Scenario3332[[#This Row],[wins]]/AvengerAbilities3Scenario3332[[#This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237</v>
      </c>
      <c r="M81" s="2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2</v>
      </c>
      <c r="N81" s="2">
        <f>COUNTIF(Scenario3[winner1-ability4],AvengerAbilities4Scenario3333[[#This Row],[ability]])</f>
        <v>1</v>
      </c>
      <c r="O81" s="12">
        <f>IF(SUM(AvengerAbilities4Scenario3333[[#This Row],[takes]]) &gt; 0,AvengerAbilities4Scenario3333[[#This Row],[takes]]/SUM(AvengerAbilities4Scenario3333[takes]),0)</f>
        <v>0.1</v>
      </c>
      <c r="P81" s="12">
        <f>IF(AvengerAbilities4Scenario3333[[#This Row],[takes]]&gt;0,AvengerAbilities4Scenario3333[[#This Row],[wins]]/AvengerAbilities4Scenario3333[[#This Row],[takes]],0)</f>
        <v>0.5</v>
      </c>
      <c r="U81" s="18"/>
    </row>
    <row r="82" spans="12:21" x14ac:dyDescent="0.25">
      <c r="L82" s="20" t="s">
        <v>238</v>
      </c>
      <c r="M82" s="2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18</v>
      </c>
      <c r="N82" s="2">
        <f>COUNTIF(Scenario3[winner1-ability4],AvengerAbilities4Scenario3333[[#This Row],[ability]])</f>
        <v>4</v>
      </c>
      <c r="O82" s="12">
        <f>IF(SUM(AvengerAbilities4Scenario3333[[#This Row],[takes]]) &gt; 0,AvengerAbilities4Scenario3333[[#This Row],[takes]]/SUM(AvengerAbilities4Scenario3333[takes]),0)</f>
        <v>0.9</v>
      </c>
      <c r="P82" s="12">
        <f>IF(AvengerAbilities4Scenario3333[[#This Row],[takes]]&gt;0,AvengerAbilities4Scenario3333[[#This Row],[wins]]/AvengerAbilities4Scenario3333[[#This Row],[takes]],0)</f>
        <v>0.22222222222222221</v>
      </c>
      <c r="U82" s="18"/>
    </row>
    <row r="83" spans="12:21" ht="15.75" thickBot="1" x14ac:dyDescent="0.3">
      <c r="L83" s="24" t="s">
        <v>239</v>
      </c>
      <c r="M83" s="25">
        <f>COUNTIF(Scenario3[winner1-ability4],AvengerAbilities4Scenario3333[[#This Row],[ability]])+COUNTIF(Scenario3[loser1-ability4],AvengerAbilities4Scenario3333[[#This Row],[ability]])+COUNTIF(Scenario3[loser2-ability4],AvengerAbilities4Scenario3333[[#This Row],[ability]])</f>
        <v>0</v>
      </c>
      <c r="N83" s="25">
        <f>COUNTIF(Scenario3[winner1-ability4],AvengerAbilities4Scenario3333[[#This Row],[ability]])</f>
        <v>0</v>
      </c>
      <c r="O83" s="26">
        <f>IF(SUM(AvengerAbilities4Scenario3333[[#This Row],[takes]]) &gt; 0,AvengerAbilities4Scenario3333[[#This Row],[takes]]/SUM(AvengerAbilities4Scenario3333[takes]),0)</f>
        <v>0</v>
      </c>
      <c r="P83" s="26">
        <f>IF(AvengerAbilities4Scenario3333[[#This Row],[takes]]&gt;0,AvengerAbilities4Scenario3333[[#This Row],[wins]]/AvengerAbilities4Scenario3333[[#This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240</v>
      </c>
      <c r="T86" t="s">
        <v>241</v>
      </c>
      <c r="U86" s="18" t="s">
        <v>164</v>
      </c>
    </row>
    <row r="87" spans="12:21" x14ac:dyDescent="0.25">
      <c r="L87" s="17" t="s">
        <v>228</v>
      </c>
      <c r="M87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12</v>
      </c>
      <c r="N87">
        <f>COUNTIF(Scenario4[winner1-ability1],AvengerAbilities1Scenario4335[[#This Row],[ability]])</f>
        <v>4</v>
      </c>
      <c r="O87" s="3">
        <f>IF(SUM(AvengerAbilities1Scenario4335[[#This Row],[takes]]) &gt; 0,AvengerAbilities1Scenario4335[[#This Row],[takes]]/SUM(AvengerAbilities1Scenario4335[takes]),0)</f>
        <v>0.21428571428571427</v>
      </c>
      <c r="P87" s="3">
        <f>IF(AvengerAbilities1Scenario4335[[#This Row],[takes]]&gt;0,AvengerAbilities1Scenario4335[[#This Row],[wins]]/AvengerAbilities1Scenario4335[[#This Row],[takes]],0)</f>
        <v>0.33333333333333331</v>
      </c>
      <c r="R87">
        <v>1</v>
      </c>
      <c r="S87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13</v>
      </c>
      <c r="T87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4</v>
      </c>
      <c r="U87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2</v>
      </c>
    </row>
    <row r="88" spans="12:21" x14ac:dyDescent="0.25">
      <c r="L88" s="17" t="s">
        <v>229</v>
      </c>
      <c r="M88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44</v>
      </c>
      <c r="N88">
        <f>COUNTIF(Scenario4[winner1-ability1],AvengerAbilities1Scenario4335[[#This Row],[ability]])</f>
        <v>6</v>
      </c>
      <c r="O88" s="3">
        <f>IF(SUM(AvengerAbilities1Scenario4335[[#This Row],[takes]]) &gt; 0,AvengerAbilities1Scenario4335[[#This Row],[takes]]/SUM(AvengerAbilities1Scenario4335[takes]),0)</f>
        <v>0.7857142857142857</v>
      </c>
      <c r="P88" s="3">
        <f>IF(AvengerAbilities1Scenario4335[[#This Row],[takes]]&gt;0,AvengerAbilities1Scenario4335[[#This Row],[wins]]/AvengerAbilities1Scenario4335[[#This Row],[takes]],0)</f>
        <v>0.13636363636363635</v>
      </c>
      <c r="R88">
        <v>2</v>
      </c>
      <c r="S88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14</v>
      </c>
      <c r="T88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8</v>
      </c>
      <c r="U88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3</v>
      </c>
    </row>
    <row r="89" spans="12:21" x14ac:dyDescent="0.25">
      <c r="L89" s="17" t="s">
        <v>230</v>
      </c>
      <c r="M89">
        <f>COUNTIF(Scenario4[winner1-ability1],AvengerAbilities1Scenario4335[[#This Row],[ability]])+COUNTIF(Scenario4[loser1-ability1],AvengerAbilities1Scenario4335[[#This Row],[ability]])+COUNTIF(Scenario4[loser2-ability1],AvengerAbilities1Scenario4335[[#This Row],[ability]])+COUNTIF(Scenario4[loser3-ability1],AvengerAbilities1Scenario4335[[#This Row],[ability]])</f>
        <v>0</v>
      </c>
      <c r="N89">
        <f>COUNTIF(Scenario4[winner1-ability1],AvengerAbilities1Scenario4335[[#This Row],[ability]])</f>
        <v>0</v>
      </c>
      <c r="O89" s="3">
        <f>IF(SUM(AvengerAbilities1Scenario4335[[#This Row],[takes]]) &gt; 0,AvengerAbilities1Scenario4335[[#This Row],[takes]]/SUM(AvengerAbilities1Scenario4335[takes]),0)</f>
        <v>0</v>
      </c>
      <c r="P89" s="3">
        <f>IF(AvengerAbilities1Scenario4335[[#This Row],[takes]]&gt;0,AvengerAbilities1Scenario4335[[#This Row],[wins]]/AvengerAbilities1Scenario4335[[#This Row],[takes]],0)</f>
        <v>0</v>
      </c>
      <c r="R89">
        <v>3</v>
      </c>
      <c r="S89">
        <f>COUNTIFS(Scenario4[winner1],"navarch",Scenario4[winner1-pw],AvengerEquipScenario4339[[#This Row],[level]])+COUNTIFS(Scenario4[loser1],"navarch",Scenario4[loser1-pw],AvengerEquipScenario4339[[#This Row],[level]])+COUNTIFS(Scenario4[loser2],"navarch",Scenario4[loser2-pw],AvengerEquipScenario4339[[#This Row],[level]])+COUNTIFS(Scenario4[loser3],"navarch",Scenario4[loser3-pw],AvengerEquipScenario4339[[#This Row],[level]])</f>
        <v>29</v>
      </c>
      <c r="T89">
        <f>COUNTIFS(Scenario4[winner1],"avenger",Scenario4[winner1-sw],AvengerEquipScenario4339[[#This Row],[level]])+COUNTIFS(Scenario4[loser1],"avenger",Scenario4[loser1-sw],AvengerEquipScenario4339[[#This Row],[level]])+COUNTIFS(Scenario4[loser2],"avenger",Scenario4[loser2-sw],AvengerEquipScenario4339[[#This Row],[level]])+COUNTIFS(Scenario4[loser3],"avenger",Scenario4[loser3-sw],AvengerEquipScenario4339[[#This Row],[level]])</f>
        <v>44</v>
      </c>
      <c r="U89" s="18">
        <f>COUNTIFS(Scenario4[winner1],"avenger",Scenario4[winner1-cp],AvengerEquipScenario4339[[#This Row],[level]])+COUNTIFS(Scenario4[loser1],"avenger",Scenario4[loser1-cp],AvengerEquipScenario4339[[#This Row],[level]])+COUNTIFS(Scenario4[loser2],"avenger",Scenario4[loser2-cp],AvengerEquipScenario4339[[#This Row],[level]])+COUNTIFS(Scenario4[loser3],"avenger",Scenario4[loser3-cp],AvengerEquipScenario4339[[#This Row],[level]])</f>
        <v>51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231</v>
      </c>
      <c r="M92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26</v>
      </c>
      <c r="N92" s="2">
        <f>COUNTIF(Scenario4[winner1-ability2],AvengerAbilities2Scenario4336[[#This Row],[ability]])</f>
        <v>4</v>
      </c>
      <c r="O92" s="12">
        <f>IF(SUM(AvengerAbilities2Scenario4336[[#This Row],[takes]]) &gt; 0,AvengerAbilities2Scenario4336[[#This Row],[takes]]/SUM(AvengerAbilities2Scenario4336[takes]),0)</f>
        <v>0.48148148148148145</v>
      </c>
      <c r="P92" s="12">
        <f>IF(AvengerAbilities2Scenario4336[[#This Row],[takes]]&gt;0,AvengerAbilities2Scenario4336[[#This Row],[wins]]/AvengerAbilities2Scenario4336[[#This Row],[takes]],0)</f>
        <v>0.15384615384615385</v>
      </c>
      <c r="U92" s="18"/>
    </row>
    <row r="93" spans="12:21" x14ac:dyDescent="0.25">
      <c r="L93" s="17" t="s">
        <v>232</v>
      </c>
      <c r="M93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14</v>
      </c>
      <c r="N93" s="2">
        <f>COUNTIF(Scenario4[winner1-ability2],AvengerAbilities2Scenario4336[[#This Row],[ability]])</f>
        <v>5</v>
      </c>
      <c r="O93" s="3">
        <f>IF(SUM(AvengerAbilities2Scenario4336[[#This Row],[takes]]) &gt; 0,AvengerAbilities2Scenario4336[[#This Row],[takes]]/SUM(AvengerAbilities2Scenario4336[takes]),0)</f>
        <v>0.25925925925925924</v>
      </c>
      <c r="P93" s="3">
        <f>IF(AvengerAbilities2Scenario4336[[#This Row],[takes]]&gt;0,AvengerAbilities2Scenario4336[[#This Row],[wins]]/AvengerAbilities2Scenario4336[[#This Row],[takes]],0)</f>
        <v>0.35714285714285715</v>
      </c>
      <c r="U93" s="18"/>
    </row>
    <row r="94" spans="12:21" x14ac:dyDescent="0.25">
      <c r="L94" s="21" t="s">
        <v>233</v>
      </c>
      <c r="M94" s="2">
        <f>COUNTIF(Scenario4[winner1-ability2],AvengerAbilities2Scenario4336[[#This Row],[ability]])+COUNTIF(Scenario4[loser1-ability2],AvengerAbilities2Scenario4336[[#This Row],[ability]])+COUNTIF(Scenario4[loser2-ability2],AvengerAbilities2Scenario4336[[#This Row],[ability]])+COUNTIF(Scenario4[loser3-ability2],AvengerAbilities2Scenario4336[[#This Row],[ability]])</f>
        <v>14</v>
      </c>
      <c r="N94" s="2">
        <f>COUNTIF(Scenario4[winner1-ability2],AvengerAbilities2Scenario4336[[#This Row],[ability]])</f>
        <v>1</v>
      </c>
      <c r="O94" s="13">
        <f>IF(SUM(AvengerAbilities2Scenario4336[[#This Row],[takes]]) &gt; 0,AvengerAbilities2Scenario4336[[#This Row],[takes]]/SUM(AvengerAbilities2Scenario4336[takes]),0)</f>
        <v>0.25925925925925924</v>
      </c>
      <c r="P94" s="13">
        <f>IF(AvengerAbilities2Scenario4336[[#This Row],[takes]]&gt;0,AvengerAbilities2Scenario4336[[#This Row],[wins]]/AvengerAbilities2Scenario4336[[#This Row],[takes]],0)</f>
        <v>7.1428571428571425E-2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234</v>
      </c>
      <c r="M97" s="1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0</v>
      </c>
      <c r="N97" s="1">
        <f>COUNTIF(Scenario4[winner1-ability3],AvengerAbilities3Scenario4337[[#This Row],[ability]])</f>
        <v>0</v>
      </c>
      <c r="O97" s="14">
        <f>IF(SUM(AvengerAbilities3Scenario4337[[#This Row],[takes]]) &gt; 0,AvengerAbilities3Scenario4337[[#This Row],[takes]]/SUM(AvengerAbilities3Scenario4337[takes]),0)</f>
        <v>0</v>
      </c>
      <c r="P97" s="14">
        <f>IF(AvengerAbilities3Scenario4337[[#This Row],[takes]]&gt;0,AvengerAbilities3Scenario4337[[#This Row],[wins]]/AvengerAbilities3Scenario4337[[#This Row],[takes]],0)</f>
        <v>0</v>
      </c>
      <c r="U97" s="18"/>
    </row>
    <row r="98" spans="12:21" x14ac:dyDescent="0.25">
      <c r="L98" s="20" t="s">
        <v>235</v>
      </c>
      <c r="M98" s="2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50</v>
      </c>
      <c r="N98" s="2">
        <f>COUNTIF(Scenario4[winner1-ability3],AvengerAbilities3Scenario4337[[#This Row],[ability]])</f>
        <v>10</v>
      </c>
      <c r="O98" s="12">
        <f>IF(SUM(AvengerAbilities3Scenario4337[[#This Row],[takes]]) &gt; 0,AvengerAbilities3Scenario4337[[#This Row],[takes]]/SUM(AvengerAbilities3Scenario4337[takes]),0)</f>
        <v>0.94339622641509435</v>
      </c>
      <c r="P98" s="12">
        <f>IF(AvengerAbilities3Scenario4337[[#This Row],[takes]]&gt;0,AvengerAbilities3Scenario4337[[#This Row],[wins]]/AvengerAbilities3Scenario4337[[#This Row],[takes]],0)</f>
        <v>0.2</v>
      </c>
      <c r="U98" s="18"/>
    </row>
    <row r="99" spans="12:21" x14ac:dyDescent="0.25">
      <c r="L99" s="23" t="s">
        <v>236</v>
      </c>
      <c r="M99" s="1">
        <f>COUNTIF(Scenario4[winner1-ability3],AvengerAbilities3Scenario4337[[#This Row],[ability]])+COUNTIF(Scenario4[loser1-ability3],AvengerAbilities3Scenario4337[[#This Row],[ability]])+COUNTIF(Scenario4[loser2-ability3],AvengerAbilities3Scenario4337[[#This Row],[ability]])+COUNTIF(Scenario4[loser3-ability3],AvengerAbilities3Scenario4337[[#This Row],[ability]])</f>
        <v>3</v>
      </c>
      <c r="N99" s="1">
        <f>COUNTIF(Scenario4[winner1-ability3],AvengerAbilities3Scenario4337[[#This Row],[ability]])</f>
        <v>0</v>
      </c>
      <c r="O99" s="15">
        <f>IF(SUM(AvengerAbilities3Scenario4337[[#This Row],[takes]]) &gt; 0,AvengerAbilities3Scenario4337[[#This Row],[takes]]/SUM(AvengerAbilities3Scenario4337[takes]),0)</f>
        <v>5.6603773584905662E-2</v>
      </c>
      <c r="P99" s="15">
        <f>IF(AvengerAbilities3Scenario4337[[#This Row],[takes]]&gt;0,AvengerAbilities3Scenario4337[[#This Row],[wins]]/AvengerAbilities3Scenario4337[[#This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237</v>
      </c>
      <c r="M102" s="2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4</v>
      </c>
      <c r="N102" s="2">
        <f>COUNTIF(Scenario4[winner1-ability4],AvengerAbilities4Scenario4338[[#This Row],[ability]])</f>
        <v>2</v>
      </c>
      <c r="O102" s="12">
        <f>IF(SUM(AvengerAbilities4Scenario4338[[#This Row],[takes]]) &gt; 0,AvengerAbilities4Scenario4338[[#This Row],[takes]]/SUM(AvengerAbilities4Scenario4338[takes]),0)</f>
        <v>8.5106382978723402E-2</v>
      </c>
      <c r="P102" s="12">
        <f>IF(AvengerAbilities4Scenario4338[[#This Row],[takes]]&gt;0,AvengerAbilities4Scenario4338[[#This Row],[wins]]/AvengerAbilities4Scenario4338[[#This Row],[takes]],0)</f>
        <v>0.5</v>
      </c>
      <c r="U102" s="18"/>
    </row>
    <row r="103" spans="12:21" x14ac:dyDescent="0.25">
      <c r="L103" s="20" t="s">
        <v>238</v>
      </c>
      <c r="M103" s="2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39</v>
      </c>
      <c r="N103" s="2">
        <f>COUNTIF(Scenario4[winner1-ability4],AvengerAbilities4Scenario4338[[#This Row],[ability]])</f>
        <v>7</v>
      </c>
      <c r="O103" s="12">
        <f>IF(SUM(AvengerAbilities4Scenario4338[[#This Row],[takes]]) &gt; 0,AvengerAbilities4Scenario4338[[#This Row],[takes]]/SUM(AvengerAbilities4Scenario4338[takes]),0)</f>
        <v>0.82978723404255317</v>
      </c>
      <c r="P103" s="12">
        <f>IF(AvengerAbilities4Scenario4338[[#This Row],[takes]]&gt;0,AvengerAbilities4Scenario4338[[#This Row],[wins]]/AvengerAbilities4Scenario4338[[#This Row],[takes]],0)</f>
        <v>0.17948717948717949</v>
      </c>
      <c r="U103" s="18"/>
    </row>
    <row r="104" spans="12:21" ht="15.75" thickBot="1" x14ac:dyDescent="0.3">
      <c r="L104" s="24" t="s">
        <v>239</v>
      </c>
      <c r="M104" s="25">
        <f>COUNTIF(Scenario4[winner1-ability4],AvengerAbilities4Scenario4338[[#This Row],[ability]])+COUNTIF(Scenario4[loser1-ability4],AvengerAbilities4Scenario4338[[#This Row],[ability]])+COUNTIF(Scenario4[loser2-ability4],AvengerAbilities4Scenario4338[[#This Row],[ability]])+COUNTIF(Scenario4[loser3-ability4],AvengerAbilities4Scenario4338[[#This Row],[ability]])</f>
        <v>4</v>
      </c>
      <c r="N104" s="25">
        <f>COUNTIF(Scenario4[winner1-ability4],AvengerAbilities4Scenario4338[[#This Row],[ability]])</f>
        <v>0</v>
      </c>
      <c r="O104" s="26">
        <f>IF(SUM(AvengerAbilities4Scenario4338[[#This Row],[takes]]) &gt; 0,AvengerAbilities4Scenario4338[[#This Row],[takes]]/SUM(AvengerAbilities4Scenario4338[takes]),0)</f>
        <v>8.5106382978723402E-2</v>
      </c>
      <c r="P104" s="26">
        <f>IF(AvengerAbilities4Scenario4338[[#This Row],[takes]]&gt;0,AvengerAbilities4Scenario4338[[#This Row],[wins]]/AvengerAbilities4Scenario4338[[#This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240</v>
      </c>
      <c r="T107" t="s">
        <v>241</v>
      </c>
      <c r="U107" s="18" t="s">
        <v>164</v>
      </c>
    </row>
    <row r="108" spans="12:21" x14ac:dyDescent="0.25">
      <c r="L108" s="17" t="s">
        <v>228</v>
      </c>
      <c r="M108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91</v>
      </c>
      <c r="N108">
        <f>COUNTIF(Scenario5[winner1-ability1],AvengerAbilities1Scenario5340[[#This Row],[ability]])+COUNTIF(Scenario5[winner2-ability1],AvengerAbilities1Scenario5340[[#This Row],[ability]])</f>
        <v>38</v>
      </c>
      <c r="O108" s="3">
        <f>IF(SUM(AvengerAbilities1Scenario5340[[#This Row],[takes]]) &gt; 0,AvengerAbilities1Scenario5340[[#This Row],[takes]]/SUM(AvengerAbilities1Scenario5340[takes]),0)</f>
        <v>0.54166666666666663</v>
      </c>
      <c r="P108" s="3">
        <f>IF(AvengerAbilities1Scenario5340[[#This Row],[takes]]&gt;0,AvengerAbilities1Scenario5340[[#This Row],[wins]]/AvengerAbilities1Scenario5340[[#This Row],[takes]],0)</f>
        <v>0.4175824175824176</v>
      </c>
      <c r="R108">
        <v>1</v>
      </c>
      <c r="S108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44</v>
      </c>
      <c r="T108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120</v>
      </c>
      <c r="U108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45</v>
      </c>
    </row>
    <row r="109" spans="12:21" x14ac:dyDescent="0.25">
      <c r="L109" s="17" t="s">
        <v>229</v>
      </c>
      <c r="M109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75</v>
      </c>
      <c r="N109">
        <f>COUNTIF(Scenario5[winner1-ability1],AvengerAbilities1Scenario5340[[#This Row],[ability]])+COUNTIF(Scenario5[winner2-ability1],AvengerAbilities1Scenario5340[[#This Row],[ability]])</f>
        <v>27</v>
      </c>
      <c r="O109" s="3">
        <f>IF(SUM(AvengerAbilities1Scenario5340[[#This Row],[takes]]) &gt; 0,AvengerAbilities1Scenario5340[[#This Row],[takes]]/SUM(AvengerAbilities1Scenario5340[takes]),0)</f>
        <v>0.44642857142857145</v>
      </c>
      <c r="P109" s="3">
        <f>IF(AvengerAbilities1Scenario5340[[#This Row],[takes]]&gt;0,AvengerAbilities1Scenario5340[[#This Row],[wins]]/AvengerAbilities1Scenario5340[[#This Row],[takes]],0)</f>
        <v>0.36</v>
      </c>
      <c r="R109">
        <v>2</v>
      </c>
      <c r="S109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58</v>
      </c>
      <c r="T109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19</v>
      </c>
      <c r="U109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42</v>
      </c>
    </row>
    <row r="110" spans="12:21" x14ac:dyDescent="0.25">
      <c r="L110" s="17" t="s">
        <v>230</v>
      </c>
      <c r="M110">
        <f>COUNTIF(Scenario5[winner1-ability1],AvengerAbilities1Scenario5340[[#This Row],[ability]])+COUNTIF(Scenario5[winner2-ability1],AvengerAbilities1Scenario5340[[#This Row],[ability]])+COUNTIF(Scenario5[loser1-ability1],AvengerAbilities1Scenario5340[[#This Row],[ability]])+COUNTIF(Scenario5[loser2-ability1],AvengerAbilities1Scenario5340[[#This Row],[ability]])</f>
        <v>2</v>
      </c>
      <c r="N110">
        <f>COUNTIF(Scenario5[winner1-ability1],AvengerAbilities1Scenario5340[[#This Row],[ability]])+COUNTIF(Scenario5[winner2-ability1],AvengerAbilities1Scenario5340[[#This Row],[ability]])</f>
        <v>1</v>
      </c>
      <c r="O110" s="3">
        <f>IF(SUM(AvengerAbilities1Scenario5340[[#This Row],[takes]]) &gt; 0,AvengerAbilities1Scenario5340[[#This Row],[takes]]/SUM(AvengerAbilities1Scenario5340[takes]),0)</f>
        <v>1.1904761904761904E-2</v>
      </c>
      <c r="P110" s="3">
        <f>IF(AvengerAbilities1Scenario5340[[#This Row],[takes]]&gt;0,AvengerAbilities1Scenario5340[[#This Row],[wins]]/AvengerAbilities1Scenario5340[[#This Row],[takes]],0)</f>
        <v>0.5</v>
      </c>
      <c r="R110">
        <v>3</v>
      </c>
      <c r="S110">
        <f>COUNTIFS(Scenario5[winner1],"navarch",Scenario5[winner1-pw],AvengerEquipScenario5344[[#This Row],[level]])+COUNTIFS(Scenario5[winner2],"navarch",Scenario5[winner2-pw],AvengerEquipScenario5344[[#This Row],[level]])+COUNTIFS(Scenario5[loser1],"navarch",Scenario5[loser1-pw],AvengerEquipScenario5344[[#This Row],[level]])+COUNTIFS(Scenario5[loser2],"navarch",Scenario5[loser2-pw],AvengerEquipScenario5344[[#This Row],[level]])</f>
        <v>66</v>
      </c>
      <c r="T110">
        <f>COUNTIFS(Scenario5[winner1],"navarch",Scenario5[winner1-sw],AvengerEquipScenario5344[[#This Row],[level]])+COUNTIFS(Scenario5[winner2],"navarch",Scenario5[winner2-sw],AvengerEquipScenario5344[[#This Row],[level]])+COUNTIFS(Scenario5[loser1],"navarch",Scenario5[loser1-sw],AvengerEquipScenario5344[[#This Row],[level]])+COUNTIFS(Scenario5[loser2],"navarch",Scenario5[loser2-sw],AvengerEquipScenario5344[[#This Row],[level]])</f>
        <v>29</v>
      </c>
      <c r="U110" s="18">
        <f>COUNTIFS(Scenario5[winner1],"navarch",Scenario5[winner1-cp],AvengerEquipScenario5344[[#This Row],[level]])+COUNTIFS(Scenario5[winner2],"navarch",Scenario5[winner2-cp],AvengerEquipScenario5344[[#This Row],[level]])+COUNTIFS(Scenario5[loser1],"navarch",Scenario5[loser1-cp],AvengerEquipScenario5344[[#This Row],[level]])+COUNTIFS(Scenario5[loser2],"navarch",Scenario5[loser2-cp],AvengerEquipScenario5344[[#This Row],[level]])</f>
        <v>81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231</v>
      </c>
      <c r="M113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136</v>
      </c>
      <c r="N113" s="2">
        <f>COUNTIF(Scenario5[winner1-ability2],AvengerAbilities2Scenario5341[[#This Row],[ability]])+COUNTIF(Scenario5[winner2-ability2],AvengerAbilities2Scenario5341[[#This Row],[ability]])</f>
        <v>59</v>
      </c>
      <c r="O113" s="12">
        <f>IF(SUM(AvengerAbilities2Scenario5341[[#This Row],[takes]]) &gt; 0,AvengerAbilities2Scenario5341[[#This Row],[takes]]/SUM(AvengerAbilities2Scenario5341[takes]),0)</f>
        <v>0.90666666666666662</v>
      </c>
      <c r="P113" s="12">
        <f>IF(AvengerAbilities2Scenario5341[[#This Row],[takes]]&gt;0,AvengerAbilities2Scenario5341[[#This Row],[wins]]/AvengerAbilities2Scenario5341[[#This Row],[takes]],0)</f>
        <v>0.43382352941176472</v>
      </c>
      <c r="U113" s="18"/>
    </row>
    <row r="114" spans="12:21" x14ac:dyDescent="0.25">
      <c r="L114" s="17" t="s">
        <v>232</v>
      </c>
      <c r="M114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9</v>
      </c>
      <c r="N114" s="2">
        <f>COUNTIF(Scenario5[winner1-ability2],AvengerAbilities2Scenario5341[[#This Row],[ability]])+COUNTIF(Scenario5[winner2-ability2],AvengerAbilities2Scenario5341[[#This Row],[ability]])</f>
        <v>1</v>
      </c>
      <c r="O114" s="3">
        <f>IF(SUM(AvengerAbilities2Scenario5341[[#This Row],[takes]]) &gt; 0,AvengerAbilities2Scenario5341[[#This Row],[takes]]/SUM(AvengerAbilities2Scenario5341[takes]),0)</f>
        <v>0.06</v>
      </c>
      <c r="P114" s="3">
        <f>IF(AvengerAbilities2Scenario5341[[#This Row],[takes]]&gt;0,AvengerAbilities2Scenario5341[[#This Row],[wins]]/AvengerAbilities2Scenario5341[[#This Row],[takes]],0)</f>
        <v>0.1111111111111111</v>
      </c>
      <c r="U114" s="18"/>
    </row>
    <row r="115" spans="12:21" x14ac:dyDescent="0.25">
      <c r="L115" s="21" t="s">
        <v>233</v>
      </c>
      <c r="M115" s="2">
        <f>COUNTIF(Scenario5[winner1-ability2],AvengerAbilities2Scenario5341[[#This Row],[ability]])+COUNTIF(Scenario5[winner2-ability2],AvengerAbilities2Scenario5341[[#This Row],[ability]])+COUNTIF(Scenario5[loser1-ability2],AvengerAbilities2Scenario5341[[#This Row],[ability]])+COUNTIF(Scenario5[loser2-ability2],AvengerAbilities2Scenario5341[[#This Row],[ability]])</f>
        <v>5</v>
      </c>
      <c r="N115" s="2">
        <f>COUNTIF(Scenario5[winner1-ability2],AvengerAbilities2Scenario5341[[#This Row],[ability]])+COUNTIF(Scenario5[winner2-ability2],AvengerAbilities2Scenario5341[[#This Row],[ability]])</f>
        <v>2</v>
      </c>
      <c r="O115" s="13">
        <f>IF(SUM(AvengerAbilities2Scenario5341[[#This Row],[takes]]) &gt; 0,AvengerAbilities2Scenario5341[[#This Row],[takes]]/SUM(AvengerAbilities2Scenario5341[takes]),0)</f>
        <v>3.3333333333333333E-2</v>
      </c>
      <c r="P115" s="13">
        <f>IF(AvengerAbilities2Scenario5341[[#This Row],[takes]]&gt;0,AvengerAbilities2Scenario5341[[#This Row],[wins]]/AvengerAbilities2Scenario5341[[#This Row],[takes]],0)</f>
        <v>0.4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234</v>
      </c>
      <c r="M118" s="1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14</v>
      </c>
      <c r="N118" s="1">
        <f>COUNTIF(Scenario5[winner1-ability3],AvengerAbilities3Scenario5342[[#This Row],[ability]])+COUNTIF(Scenario5[winner2-ability3],AvengerAbilities3Scenario5342[[#This Row],[ability]])</f>
        <v>10</v>
      </c>
      <c r="O118" s="14">
        <f>IF(SUM(AvengerAbilities3Scenario5342[[#This Row],[takes]]) &gt; 0,AvengerAbilities3Scenario5342[[#This Row],[takes]]/SUM(AvengerAbilities3Scenario5342[takes]),0)</f>
        <v>0.12280701754385964</v>
      </c>
      <c r="P118" s="14">
        <f>IF(AvengerAbilities3Scenario5342[[#This Row],[takes]]&gt;0,AvengerAbilities3Scenario5342[[#This Row],[wins]]/AvengerAbilities3Scenario5342[[#This Row],[takes]],0)</f>
        <v>0.7142857142857143</v>
      </c>
      <c r="U118" s="18"/>
    </row>
    <row r="119" spans="12:21" x14ac:dyDescent="0.25">
      <c r="L119" s="20" t="s">
        <v>235</v>
      </c>
      <c r="M119" s="2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83</v>
      </c>
      <c r="N119" s="2">
        <f>COUNTIF(Scenario5[winner1-ability3],AvengerAbilities3Scenario5342[[#This Row],[ability]])+COUNTIF(Scenario5[winner2-ability3],AvengerAbilities3Scenario5342[[#This Row],[ability]])</f>
        <v>29</v>
      </c>
      <c r="O119" s="12">
        <f>IF(SUM(AvengerAbilities3Scenario5342[[#This Row],[takes]]) &gt; 0,AvengerAbilities3Scenario5342[[#This Row],[takes]]/SUM(AvengerAbilities3Scenario5342[takes]),0)</f>
        <v>0.72807017543859653</v>
      </c>
      <c r="P119" s="12">
        <f>IF(AvengerAbilities3Scenario5342[[#This Row],[takes]]&gt;0,AvengerAbilities3Scenario5342[[#This Row],[wins]]/AvengerAbilities3Scenario5342[[#This Row],[takes]],0)</f>
        <v>0.3493975903614458</v>
      </c>
      <c r="U119" s="18"/>
    </row>
    <row r="120" spans="12:21" x14ac:dyDescent="0.25">
      <c r="L120" s="23" t="s">
        <v>236</v>
      </c>
      <c r="M120" s="1">
        <f>COUNTIF(Scenario5[winner1-ability3],AvengerAbilities3Scenario5342[[#This Row],[ability]])+COUNTIF(Scenario5[winner2-ability3],AvengerAbilities3Scenario5342[[#This Row],[ability]])+COUNTIF(Scenario5[loser1-ability3],AvengerAbilities3Scenario5342[[#This Row],[ability]])+COUNTIF(Scenario5[loser2-ability3],AvengerAbilities3Scenario5342[[#This Row],[ability]])</f>
        <v>17</v>
      </c>
      <c r="N120" s="1">
        <f>COUNTIF(Scenario5[winner1-ability3],AvengerAbilities3Scenario5342[[#This Row],[ability]])+COUNTIF(Scenario5[winner2-ability3],AvengerAbilities3Scenario5342[[#This Row],[ability]])</f>
        <v>10</v>
      </c>
      <c r="O120" s="15">
        <f>IF(SUM(AvengerAbilities3Scenario5342[[#This Row],[takes]]) &gt; 0,AvengerAbilities3Scenario5342[[#This Row],[takes]]/SUM(AvengerAbilities3Scenario5342[takes]),0)</f>
        <v>0.14912280701754385</v>
      </c>
      <c r="P120" s="15">
        <f>IF(AvengerAbilities3Scenario5342[[#This Row],[takes]]&gt;0,AvengerAbilities3Scenario5342[[#This Row],[wins]]/AvengerAbilities3Scenario5342[[#This Row],[takes]],0)</f>
        <v>0.58823529411764708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237</v>
      </c>
      <c r="M123" s="2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5</v>
      </c>
      <c r="N123" s="2">
        <f>COUNTIF(Scenario5[winner1-ability4],AvengerAbilities4Scenario5343[[#This Row],[ability]])+COUNTIF(Scenario5[winner2-ability4],AvengerAbilities4Scenario5343[[#This Row],[ability]])</f>
        <v>1</v>
      </c>
      <c r="O123" s="12">
        <f>IF(SUM(AvengerAbilities4Scenario5343[[#This Row],[takes]]) &gt; 0,AvengerAbilities4Scenario5343[[#This Row],[takes]]/SUM(AvengerAbilities4Scenario5343[takes]),0)</f>
        <v>6.7567567567567571E-2</v>
      </c>
      <c r="P123" s="12">
        <f>IF(AvengerAbilities4Scenario5343[[#This Row],[takes]]&gt;0,AvengerAbilities4Scenario5343[[#This Row],[wins]]/AvengerAbilities4Scenario5343[[#This Row],[takes]],0)</f>
        <v>0.2</v>
      </c>
      <c r="U123" s="18"/>
    </row>
    <row r="124" spans="12:21" x14ac:dyDescent="0.25">
      <c r="L124" s="20" t="s">
        <v>238</v>
      </c>
      <c r="M124" s="2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64</v>
      </c>
      <c r="N124" s="2">
        <f>COUNTIF(Scenario5[winner1-ability4],AvengerAbilities4Scenario5343[[#This Row],[ability]])+COUNTIF(Scenario5[winner2-ability4],AvengerAbilities4Scenario5343[[#This Row],[ability]])</f>
        <v>32</v>
      </c>
      <c r="O124" s="12">
        <f>IF(SUM(AvengerAbilities4Scenario5343[[#This Row],[takes]]) &gt; 0,AvengerAbilities4Scenario5343[[#This Row],[takes]]/SUM(AvengerAbilities4Scenario5343[takes]),0)</f>
        <v>0.86486486486486491</v>
      </c>
      <c r="P124" s="12">
        <f>IF(AvengerAbilities4Scenario5343[[#This Row],[takes]]&gt;0,AvengerAbilities4Scenario5343[[#This Row],[wins]]/AvengerAbilities4Scenario5343[[#This Row],[takes]],0)</f>
        <v>0.5</v>
      </c>
      <c r="U124" s="18"/>
    </row>
    <row r="125" spans="12:21" ht="15.75" thickBot="1" x14ac:dyDescent="0.3">
      <c r="L125" s="24" t="s">
        <v>239</v>
      </c>
      <c r="M125" s="25">
        <f>COUNTIF(Scenario5[winner1-ability4],AvengerAbilities4Scenario5343[[#This Row],[ability]])+COUNTIF(Scenario5[winner2-ability4],AvengerAbilities4Scenario5343[[#This Row],[ability]])+COUNTIF(Scenario5[loser1-ability4],AvengerAbilities4Scenario5343[[#This Row],[ability]])+COUNTIF(Scenario5[loser2-ability4],AvengerAbilities4Scenario5343[[#This Row],[ability]])</f>
        <v>5</v>
      </c>
      <c r="N125" s="25">
        <f>COUNTIF(Scenario5[winner1-ability4],AvengerAbilities4Scenario5343[[#This Row],[ability]])+COUNTIF(Scenario5[winner2-ability4],AvengerAbilities4Scenario5343[[#This Row],[ability]])</f>
        <v>3</v>
      </c>
      <c r="O125" s="26">
        <f>IF(SUM(AvengerAbilities4Scenario5343[[#This Row],[takes]]) &gt; 0,AvengerAbilities4Scenario5343[[#This Row],[takes]]/SUM(AvengerAbilities4Scenario5343[takes]),0)</f>
        <v>6.7567567567567571E-2</v>
      </c>
      <c r="P125" s="26">
        <f>IF(AvengerAbilities4Scenario5343[[#This Row],[takes]]&gt;0,AvengerAbilities4Scenario5343[[#This Row],[wins]]/AvengerAbilities4Scenario5343[[#This Row],[takes]],0)</f>
        <v>0.6</v>
      </c>
      <c r="Q125" s="27"/>
      <c r="R125" s="27"/>
      <c r="S125" s="27"/>
      <c r="T125" s="27"/>
      <c r="U125" s="28"/>
    </row>
  </sheetData>
  <mergeCells count="7">
    <mergeCell ref="L106:U106"/>
    <mergeCell ref="A1:J1"/>
    <mergeCell ref="L1:U1"/>
    <mergeCell ref="L22:U22"/>
    <mergeCell ref="L43:U43"/>
    <mergeCell ref="L64:U64"/>
    <mergeCell ref="L85:U85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379"/>
  <sheetViews>
    <sheetView workbookViewId="0">
      <selection activeCell="B1" sqref="B1:B1048576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1661</v>
      </c>
      <c r="B2">
        <v>0</v>
      </c>
      <c r="C2" t="s">
        <v>48</v>
      </c>
      <c r="D2">
        <v>2</v>
      </c>
      <c r="F2">
        <v>1</v>
      </c>
      <c r="G2" t="s">
        <v>49</v>
      </c>
      <c r="H2" t="s">
        <v>84</v>
      </c>
      <c r="I2" t="s">
        <v>127</v>
      </c>
      <c r="K2" t="s">
        <v>33</v>
      </c>
      <c r="L2">
        <v>1</v>
      </c>
      <c r="N2">
        <v>3</v>
      </c>
      <c r="O2" t="s">
        <v>34</v>
      </c>
      <c r="S2" t="s">
        <v>53</v>
      </c>
      <c r="T2">
        <v>2</v>
      </c>
      <c r="U2">
        <v>1</v>
      </c>
      <c r="V2">
        <v>2</v>
      </c>
      <c r="W2" t="s">
        <v>111</v>
      </c>
      <c r="AA2" t="s">
        <v>56</v>
      </c>
      <c r="AB2">
        <v>3</v>
      </c>
      <c r="AD2">
        <v>1</v>
      </c>
      <c r="AE2" t="s">
        <v>68</v>
      </c>
      <c r="AI2">
        <v>9</v>
      </c>
      <c r="AJ2">
        <v>25</v>
      </c>
    </row>
    <row r="3" spans="1:36" x14ac:dyDescent="0.25">
      <c r="A3" t="s">
        <v>624</v>
      </c>
      <c r="B3">
        <v>1</v>
      </c>
      <c r="C3" t="s">
        <v>53</v>
      </c>
      <c r="D3">
        <v>2</v>
      </c>
      <c r="E3">
        <v>1</v>
      </c>
      <c r="F3">
        <v>1</v>
      </c>
      <c r="G3" t="s">
        <v>54</v>
      </c>
      <c r="K3" t="s">
        <v>56</v>
      </c>
      <c r="L3">
        <v>3</v>
      </c>
      <c r="N3">
        <v>2</v>
      </c>
      <c r="O3" t="s">
        <v>57</v>
      </c>
      <c r="S3" t="s">
        <v>48</v>
      </c>
      <c r="T3">
        <v>3</v>
      </c>
      <c r="V3">
        <v>3</v>
      </c>
      <c r="W3" t="s">
        <v>49</v>
      </c>
      <c r="X3" t="s">
        <v>50</v>
      </c>
      <c r="AA3" t="s">
        <v>43</v>
      </c>
      <c r="AB3">
        <v>1</v>
      </c>
      <c r="AD3">
        <v>1</v>
      </c>
      <c r="AE3" t="s">
        <v>73</v>
      </c>
      <c r="AF3" t="s">
        <v>99</v>
      </c>
      <c r="AG3" t="s">
        <v>137</v>
      </c>
      <c r="AI3">
        <v>11</v>
      </c>
      <c r="AJ3">
        <v>36</v>
      </c>
    </row>
    <row r="4" spans="1:36" x14ac:dyDescent="0.25">
      <c r="A4" t="s">
        <v>625</v>
      </c>
      <c r="B4">
        <v>2</v>
      </c>
      <c r="C4" t="s">
        <v>48</v>
      </c>
      <c r="D4">
        <v>3</v>
      </c>
      <c r="F4">
        <v>2</v>
      </c>
      <c r="G4" t="s">
        <v>49</v>
      </c>
      <c r="H4" t="s">
        <v>84</v>
      </c>
      <c r="I4" t="s">
        <v>90</v>
      </c>
      <c r="J4" t="s">
        <v>128</v>
      </c>
      <c r="K4" t="s">
        <v>45</v>
      </c>
      <c r="L4">
        <v>3</v>
      </c>
      <c r="N4">
        <v>1</v>
      </c>
      <c r="O4" t="s">
        <v>86</v>
      </c>
      <c r="S4" t="s">
        <v>53</v>
      </c>
      <c r="T4">
        <v>3</v>
      </c>
      <c r="U4">
        <v>1</v>
      </c>
      <c r="V4">
        <v>2</v>
      </c>
      <c r="W4" t="s">
        <v>54</v>
      </c>
      <c r="X4" t="s">
        <v>83</v>
      </c>
      <c r="Y4" t="s">
        <v>114</v>
      </c>
      <c r="AA4" t="s">
        <v>56</v>
      </c>
      <c r="AB4">
        <v>2</v>
      </c>
      <c r="AD4">
        <v>1</v>
      </c>
      <c r="AE4" t="s">
        <v>57</v>
      </c>
      <c r="AI4">
        <v>14</v>
      </c>
      <c r="AJ4">
        <v>35</v>
      </c>
    </row>
    <row r="5" spans="1:36" x14ac:dyDescent="0.25">
      <c r="A5" t="s">
        <v>626</v>
      </c>
      <c r="B5">
        <v>3</v>
      </c>
      <c r="C5" t="s">
        <v>48</v>
      </c>
      <c r="D5">
        <v>3</v>
      </c>
      <c r="F5">
        <v>1</v>
      </c>
      <c r="G5" t="s">
        <v>49</v>
      </c>
      <c r="H5" t="s">
        <v>71</v>
      </c>
      <c r="K5" t="s">
        <v>63</v>
      </c>
      <c r="L5">
        <v>1</v>
      </c>
      <c r="N5">
        <v>1</v>
      </c>
      <c r="O5" t="s">
        <v>103</v>
      </c>
      <c r="P5" t="s">
        <v>95</v>
      </c>
      <c r="S5" t="s">
        <v>53</v>
      </c>
      <c r="T5">
        <v>1</v>
      </c>
      <c r="U5">
        <v>1</v>
      </c>
      <c r="V5">
        <v>1</v>
      </c>
      <c r="W5" t="s">
        <v>54</v>
      </c>
      <c r="X5" t="s">
        <v>83</v>
      </c>
      <c r="AA5" t="s">
        <v>56</v>
      </c>
      <c r="AB5">
        <v>2</v>
      </c>
      <c r="AD5">
        <v>1</v>
      </c>
      <c r="AE5" t="s">
        <v>57</v>
      </c>
      <c r="AI5">
        <v>6</v>
      </c>
      <c r="AJ5">
        <v>19</v>
      </c>
    </row>
    <row r="6" spans="1:36" x14ac:dyDescent="0.25">
      <c r="A6" t="s">
        <v>627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K6" t="s">
        <v>56</v>
      </c>
      <c r="L6">
        <v>3</v>
      </c>
      <c r="N6">
        <v>1</v>
      </c>
      <c r="O6" t="s">
        <v>57</v>
      </c>
      <c r="S6" t="s">
        <v>48</v>
      </c>
      <c r="T6">
        <v>3</v>
      </c>
      <c r="V6">
        <v>2</v>
      </c>
      <c r="W6" t="s">
        <v>49</v>
      </c>
      <c r="AA6" t="s">
        <v>38</v>
      </c>
      <c r="AB6">
        <v>1</v>
      </c>
      <c r="AC6">
        <v>1</v>
      </c>
      <c r="AD6">
        <v>1</v>
      </c>
      <c r="AE6" t="s">
        <v>152</v>
      </c>
      <c r="AF6" t="s">
        <v>40</v>
      </c>
      <c r="AI6">
        <v>7</v>
      </c>
      <c r="AJ6">
        <v>23</v>
      </c>
    </row>
    <row r="7" spans="1:36" x14ac:dyDescent="0.25">
      <c r="A7" t="s">
        <v>628</v>
      </c>
      <c r="B7">
        <v>5</v>
      </c>
      <c r="C7" t="s">
        <v>48</v>
      </c>
      <c r="D7">
        <v>3</v>
      </c>
      <c r="F7">
        <v>1</v>
      </c>
      <c r="G7" t="s">
        <v>49</v>
      </c>
      <c r="H7" t="s">
        <v>71</v>
      </c>
      <c r="K7" t="s">
        <v>227</v>
      </c>
      <c r="L7">
        <v>3</v>
      </c>
      <c r="M7">
        <v>1</v>
      </c>
      <c r="N7">
        <v>1</v>
      </c>
      <c r="O7" t="s">
        <v>228</v>
      </c>
      <c r="P7" t="s">
        <v>231</v>
      </c>
      <c r="Q7" t="s">
        <v>234</v>
      </c>
      <c r="R7" t="s">
        <v>237</v>
      </c>
      <c r="S7" t="s">
        <v>53</v>
      </c>
      <c r="T7">
        <v>3</v>
      </c>
      <c r="U7">
        <v>1</v>
      </c>
      <c r="V7">
        <v>1</v>
      </c>
      <c r="W7" t="s">
        <v>54</v>
      </c>
      <c r="X7" t="s">
        <v>83</v>
      </c>
      <c r="Y7" t="s">
        <v>114</v>
      </c>
      <c r="AA7" t="s">
        <v>56</v>
      </c>
      <c r="AB7">
        <v>2</v>
      </c>
      <c r="AD7">
        <v>1</v>
      </c>
      <c r="AE7" t="s">
        <v>57</v>
      </c>
      <c r="AF7" t="s">
        <v>121</v>
      </c>
      <c r="AG7" t="s">
        <v>123</v>
      </c>
      <c r="AI7">
        <v>15</v>
      </c>
      <c r="AJ7">
        <v>45</v>
      </c>
    </row>
    <row r="8" spans="1:36" x14ac:dyDescent="0.25">
      <c r="A8" t="s">
        <v>629</v>
      </c>
      <c r="B8">
        <v>6</v>
      </c>
      <c r="C8" t="s">
        <v>53</v>
      </c>
      <c r="D8">
        <v>3</v>
      </c>
      <c r="E8">
        <v>1</v>
      </c>
      <c r="F8">
        <v>1</v>
      </c>
      <c r="G8" t="s">
        <v>54</v>
      </c>
      <c r="K8" t="s">
        <v>56</v>
      </c>
      <c r="L8">
        <v>1</v>
      </c>
      <c r="N8">
        <v>1</v>
      </c>
      <c r="O8" t="s">
        <v>68</v>
      </c>
      <c r="S8" t="s">
        <v>33</v>
      </c>
      <c r="T8">
        <v>1</v>
      </c>
      <c r="V8">
        <v>3</v>
      </c>
      <c r="W8" t="s">
        <v>34</v>
      </c>
      <c r="AA8" t="s">
        <v>43</v>
      </c>
      <c r="AB8">
        <v>1</v>
      </c>
      <c r="AD8">
        <v>1</v>
      </c>
      <c r="AE8" t="s">
        <v>135</v>
      </c>
      <c r="AF8" t="s">
        <v>74</v>
      </c>
      <c r="AG8" t="s">
        <v>137</v>
      </c>
      <c r="AI8">
        <v>6</v>
      </c>
      <c r="AJ8">
        <v>19</v>
      </c>
    </row>
    <row r="9" spans="1:36" x14ac:dyDescent="0.25">
      <c r="A9" t="s">
        <v>630</v>
      </c>
      <c r="B9">
        <v>7</v>
      </c>
      <c r="C9" t="s">
        <v>33</v>
      </c>
      <c r="D9">
        <v>1</v>
      </c>
      <c r="F9">
        <v>3</v>
      </c>
      <c r="G9" t="s">
        <v>34</v>
      </c>
      <c r="H9" t="s">
        <v>35</v>
      </c>
      <c r="I9" t="s">
        <v>131</v>
      </c>
      <c r="K9" t="s">
        <v>45</v>
      </c>
      <c r="L9">
        <v>3</v>
      </c>
      <c r="N9">
        <v>1</v>
      </c>
      <c r="O9" t="s">
        <v>140</v>
      </c>
      <c r="S9" t="s">
        <v>53</v>
      </c>
      <c r="T9">
        <v>2</v>
      </c>
      <c r="U9">
        <v>3</v>
      </c>
      <c r="V9">
        <v>3</v>
      </c>
      <c r="W9" t="s">
        <v>111</v>
      </c>
      <c r="AA9" t="s">
        <v>56</v>
      </c>
      <c r="AB9">
        <v>2</v>
      </c>
      <c r="AD9">
        <v>2</v>
      </c>
      <c r="AE9" t="s">
        <v>68</v>
      </c>
      <c r="AI9">
        <v>13</v>
      </c>
      <c r="AJ9">
        <v>33</v>
      </c>
    </row>
    <row r="10" spans="1:36" x14ac:dyDescent="0.25">
      <c r="A10" t="s">
        <v>631</v>
      </c>
      <c r="B10">
        <v>8</v>
      </c>
      <c r="C10" t="s">
        <v>33</v>
      </c>
      <c r="D10">
        <v>1</v>
      </c>
      <c r="F10">
        <v>3</v>
      </c>
      <c r="G10" t="s">
        <v>34</v>
      </c>
      <c r="H10" t="s">
        <v>66</v>
      </c>
      <c r="K10" t="s">
        <v>63</v>
      </c>
      <c r="L10">
        <v>2</v>
      </c>
      <c r="N10">
        <v>1</v>
      </c>
      <c r="O10" t="s">
        <v>103</v>
      </c>
      <c r="P10" t="s">
        <v>95</v>
      </c>
      <c r="S10" t="s">
        <v>53</v>
      </c>
      <c r="T10">
        <v>3</v>
      </c>
      <c r="U10">
        <v>1</v>
      </c>
      <c r="V10">
        <v>1</v>
      </c>
      <c r="W10" t="s">
        <v>54</v>
      </c>
      <c r="X10" t="s">
        <v>83</v>
      </c>
      <c r="Y10" t="s">
        <v>97</v>
      </c>
      <c r="AA10" t="s">
        <v>56</v>
      </c>
      <c r="AB10">
        <v>3</v>
      </c>
      <c r="AD10">
        <v>1</v>
      </c>
      <c r="AE10" t="s">
        <v>57</v>
      </c>
      <c r="AI10">
        <v>11</v>
      </c>
      <c r="AJ10">
        <v>43</v>
      </c>
    </row>
    <row r="11" spans="1:36" x14ac:dyDescent="0.25">
      <c r="A11" t="s">
        <v>632</v>
      </c>
      <c r="B11">
        <v>9</v>
      </c>
      <c r="C11" t="s">
        <v>53</v>
      </c>
      <c r="D11">
        <v>2</v>
      </c>
      <c r="E11">
        <v>1</v>
      </c>
      <c r="F11">
        <v>1</v>
      </c>
      <c r="G11" t="s">
        <v>111</v>
      </c>
      <c r="H11" t="s">
        <v>83</v>
      </c>
      <c r="I11" t="s">
        <v>105</v>
      </c>
      <c r="K11" t="s">
        <v>56</v>
      </c>
      <c r="L11">
        <v>3</v>
      </c>
      <c r="N11">
        <v>1</v>
      </c>
      <c r="O11" t="s">
        <v>68</v>
      </c>
      <c r="S11" t="s">
        <v>33</v>
      </c>
      <c r="T11">
        <v>3</v>
      </c>
      <c r="V11">
        <v>3</v>
      </c>
      <c r="W11" t="s">
        <v>46</v>
      </c>
      <c r="AA11" t="s">
        <v>38</v>
      </c>
      <c r="AB11">
        <v>1</v>
      </c>
      <c r="AC11">
        <v>1</v>
      </c>
      <c r="AD11">
        <v>1</v>
      </c>
      <c r="AE11" t="s">
        <v>152</v>
      </c>
      <c r="AF11" t="s">
        <v>70</v>
      </c>
      <c r="AG11" t="s">
        <v>154</v>
      </c>
      <c r="AI11">
        <v>11</v>
      </c>
      <c r="AJ11">
        <v>30</v>
      </c>
    </row>
    <row r="12" spans="1:36" x14ac:dyDescent="0.25">
      <c r="A12" t="s">
        <v>633</v>
      </c>
      <c r="B12">
        <v>10</v>
      </c>
      <c r="C12" t="s">
        <v>33</v>
      </c>
      <c r="D12">
        <v>1</v>
      </c>
      <c r="F12">
        <v>3</v>
      </c>
      <c r="G12" t="s">
        <v>34</v>
      </c>
      <c r="H12" t="s">
        <v>66</v>
      </c>
      <c r="K12" t="s">
        <v>227</v>
      </c>
      <c r="L12">
        <v>2</v>
      </c>
      <c r="M12">
        <v>1</v>
      </c>
      <c r="N12">
        <v>1</v>
      </c>
      <c r="O12" t="s">
        <v>228</v>
      </c>
      <c r="S12" t="s">
        <v>53</v>
      </c>
      <c r="T12">
        <v>3</v>
      </c>
      <c r="U12">
        <v>1</v>
      </c>
      <c r="V12">
        <v>1</v>
      </c>
      <c r="W12" t="s">
        <v>54</v>
      </c>
      <c r="AA12" t="s">
        <v>56</v>
      </c>
      <c r="AB12">
        <v>1</v>
      </c>
      <c r="AD12">
        <v>1</v>
      </c>
      <c r="AE12" t="s">
        <v>57</v>
      </c>
      <c r="AI12">
        <v>6</v>
      </c>
      <c r="AJ12">
        <v>24</v>
      </c>
    </row>
    <row r="13" spans="1:36" x14ac:dyDescent="0.25">
      <c r="A13" t="s">
        <v>634</v>
      </c>
      <c r="B13">
        <v>11</v>
      </c>
      <c r="C13" t="s">
        <v>53</v>
      </c>
      <c r="D13">
        <v>2</v>
      </c>
      <c r="E13">
        <v>1</v>
      </c>
      <c r="F13">
        <v>1</v>
      </c>
      <c r="G13" t="s">
        <v>54</v>
      </c>
      <c r="H13" t="s">
        <v>83</v>
      </c>
      <c r="I13" t="s">
        <v>105</v>
      </c>
      <c r="K13" t="s">
        <v>56</v>
      </c>
      <c r="L13">
        <v>2</v>
      </c>
      <c r="N13">
        <v>1</v>
      </c>
      <c r="O13" t="s">
        <v>68</v>
      </c>
      <c r="P13" t="s">
        <v>121</v>
      </c>
      <c r="S13" t="s">
        <v>43</v>
      </c>
      <c r="T13">
        <v>1</v>
      </c>
      <c r="V13">
        <v>1</v>
      </c>
      <c r="W13" t="s">
        <v>73</v>
      </c>
      <c r="X13" t="s">
        <v>99</v>
      </c>
      <c r="Y13" t="s">
        <v>75</v>
      </c>
      <c r="AA13" t="s">
        <v>45</v>
      </c>
      <c r="AB13">
        <v>3</v>
      </c>
      <c r="AD13">
        <v>1</v>
      </c>
      <c r="AE13" t="s">
        <v>86</v>
      </c>
      <c r="AF13" t="s">
        <v>76</v>
      </c>
      <c r="AI13">
        <v>10</v>
      </c>
      <c r="AJ13">
        <v>25</v>
      </c>
    </row>
    <row r="14" spans="1:36" x14ac:dyDescent="0.25">
      <c r="A14" t="s">
        <v>635</v>
      </c>
      <c r="B14">
        <v>12</v>
      </c>
      <c r="C14" t="s">
        <v>43</v>
      </c>
      <c r="D14">
        <v>1</v>
      </c>
      <c r="F14">
        <v>1</v>
      </c>
      <c r="G14" t="s">
        <v>73</v>
      </c>
      <c r="H14" t="s">
        <v>99</v>
      </c>
      <c r="I14" t="s">
        <v>100</v>
      </c>
      <c r="J14" t="s">
        <v>101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2</v>
      </c>
      <c r="U14">
        <v>2</v>
      </c>
      <c r="V14">
        <v>1</v>
      </c>
      <c r="W14" t="s">
        <v>54</v>
      </c>
      <c r="X14" t="s">
        <v>55</v>
      </c>
      <c r="AA14" t="s">
        <v>56</v>
      </c>
      <c r="AB14">
        <v>2</v>
      </c>
      <c r="AD14">
        <v>1</v>
      </c>
      <c r="AE14" t="s">
        <v>68</v>
      </c>
      <c r="AI14">
        <v>8</v>
      </c>
      <c r="AJ14">
        <v>26</v>
      </c>
    </row>
    <row r="15" spans="1:36" x14ac:dyDescent="0.25">
      <c r="A15" t="s">
        <v>636</v>
      </c>
      <c r="B15">
        <v>13</v>
      </c>
      <c r="C15" t="s">
        <v>43</v>
      </c>
      <c r="D15">
        <v>2</v>
      </c>
      <c r="F15">
        <v>2</v>
      </c>
      <c r="G15" t="s">
        <v>73</v>
      </c>
      <c r="H15" t="s">
        <v>74</v>
      </c>
      <c r="I15" t="s">
        <v>75</v>
      </c>
      <c r="K15" t="s">
        <v>38</v>
      </c>
      <c r="L15">
        <v>2</v>
      </c>
      <c r="M15">
        <v>1</v>
      </c>
      <c r="N15">
        <v>1</v>
      </c>
      <c r="O15" t="s">
        <v>152</v>
      </c>
      <c r="S15" t="s">
        <v>53</v>
      </c>
      <c r="T15">
        <v>1</v>
      </c>
      <c r="U15">
        <v>1</v>
      </c>
      <c r="V15">
        <v>1</v>
      </c>
      <c r="W15" t="s">
        <v>54</v>
      </c>
      <c r="AA15" t="s">
        <v>56</v>
      </c>
      <c r="AB15">
        <v>3</v>
      </c>
      <c r="AD15">
        <v>2</v>
      </c>
      <c r="AE15" t="s">
        <v>68</v>
      </c>
      <c r="AI15">
        <v>8</v>
      </c>
      <c r="AJ15">
        <v>23</v>
      </c>
    </row>
    <row r="16" spans="1:36" x14ac:dyDescent="0.25">
      <c r="A16" t="s">
        <v>637</v>
      </c>
      <c r="B16">
        <v>14</v>
      </c>
      <c r="C16" t="s">
        <v>53</v>
      </c>
      <c r="D16">
        <v>3</v>
      </c>
      <c r="E16">
        <v>1</v>
      </c>
      <c r="F16">
        <v>1</v>
      </c>
      <c r="G16" t="s">
        <v>54</v>
      </c>
      <c r="H16" t="s">
        <v>83</v>
      </c>
      <c r="K16" t="s">
        <v>56</v>
      </c>
      <c r="L16">
        <v>2</v>
      </c>
      <c r="N16">
        <v>1</v>
      </c>
      <c r="O16" t="s">
        <v>57</v>
      </c>
      <c r="S16" t="s">
        <v>43</v>
      </c>
      <c r="T16">
        <v>1</v>
      </c>
      <c r="V16">
        <v>1</v>
      </c>
      <c r="W16" t="s">
        <v>73</v>
      </c>
      <c r="X16" t="s">
        <v>99</v>
      </c>
      <c r="Y16" t="s">
        <v>75</v>
      </c>
      <c r="AA16" t="s">
        <v>227</v>
      </c>
      <c r="AB16">
        <v>2</v>
      </c>
      <c r="AC16">
        <v>1</v>
      </c>
      <c r="AD16">
        <v>1</v>
      </c>
      <c r="AE16" t="s">
        <v>228</v>
      </c>
      <c r="AF16" t="s">
        <v>231</v>
      </c>
      <c r="AG16" t="s">
        <v>235</v>
      </c>
      <c r="AI16">
        <v>9</v>
      </c>
      <c r="AJ16">
        <v>27</v>
      </c>
    </row>
    <row r="17" spans="1:36" x14ac:dyDescent="0.25">
      <c r="A17" t="s">
        <v>638</v>
      </c>
      <c r="B17">
        <v>15</v>
      </c>
      <c r="C17" t="s">
        <v>45</v>
      </c>
      <c r="D17">
        <v>3</v>
      </c>
      <c r="F17">
        <v>1</v>
      </c>
      <c r="G17" t="s">
        <v>86</v>
      </c>
      <c r="H17" t="s">
        <v>141</v>
      </c>
      <c r="K17" t="s">
        <v>63</v>
      </c>
      <c r="L17">
        <v>1</v>
      </c>
      <c r="N17">
        <v>1</v>
      </c>
      <c r="O17" t="s">
        <v>103</v>
      </c>
      <c r="P17" t="s">
        <v>91</v>
      </c>
      <c r="S17" t="s">
        <v>53</v>
      </c>
      <c r="T17">
        <v>2</v>
      </c>
      <c r="U17">
        <v>1</v>
      </c>
      <c r="V17">
        <v>1</v>
      </c>
      <c r="W17" t="s">
        <v>54</v>
      </c>
      <c r="AA17" t="s">
        <v>56</v>
      </c>
      <c r="AB17">
        <v>2</v>
      </c>
      <c r="AD17">
        <v>1</v>
      </c>
      <c r="AE17" t="s">
        <v>57</v>
      </c>
      <c r="AF17" t="s">
        <v>122</v>
      </c>
      <c r="AI17">
        <v>7</v>
      </c>
      <c r="AJ17">
        <v>26</v>
      </c>
    </row>
    <row r="18" spans="1:36" x14ac:dyDescent="0.25">
      <c r="A18" t="s">
        <v>639</v>
      </c>
      <c r="B18">
        <v>16</v>
      </c>
      <c r="C18" t="s">
        <v>45</v>
      </c>
      <c r="D18">
        <v>3</v>
      </c>
      <c r="F18">
        <v>1</v>
      </c>
      <c r="G18" t="s">
        <v>47</v>
      </c>
      <c r="K18" t="s">
        <v>38</v>
      </c>
      <c r="L18">
        <v>3</v>
      </c>
      <c r="M18">
        <v>1</v>
      </c>
      <c r="N18">
        <v>1</v>
      </c>
      <c r="O18" t="s">
        <v>152</v>
      </c>
      <c r="P18" t="s">
        <v>96</v>
      </c>
      <c r="Q18" t="s">
        <v>41</v>
      </c>
      <c r="S18" t="s">
        <v>53</v>
      </c>
      <c r="T18">
        <v>2</v>
      </c>
      <c r="U18">
        <v>1</v>
      </c>
      <c r="V18">
        <v>1</v>
      </c>
      <c r="W18" t="s">
        <v>54</v>
      </c>
      <c r="X18" t="s">
        <v>83</v>
      </c>
      <c r="Y18" t="s">
        <v>97</v>
      </c>
      <c r="AA18" t="s">
        <v>56</v>
      </c>
      <c r="AB18">
        <v>1</v>
      </c>
      <c r="AD18">
        <v>1</v>
      </c>
      <c r="AE18" t="s">
        <v>68</v>
      </c>
      <c r="AI18">
        <v>9</v>
      </c>
      <c r="AJ18">
        <v>26</v>
      </c>
    </row>
    <row r="19" spans="1:36" x14ac:dyDescent="0.25">
      <c r="A19" t="s">
        <v>640</v>
      </c>
      <c r="B19">
        <v>17</v>
      </c>
      <c r="C19" t="s">
        <v>45</v>
      </c>
      <c r="D19">
        <v>2</v>
      </c>
      <c r="F19">
        <v>1</v>
      </c>
      <c r="G19" t="s">
        <v>47</v>
      </c>
      <c r="K19" t="s">
        <v>227</v>
      </c>
      <c r="L19">
        <v>2</v>
      </c>
      <c r="M19">
        <v>1</v>
      </c>
      <c r="N19">
        <v>3</v>
      </c>
      <c r="O19" t="s">
        <v>228</v>
      </c>
      <c r="P19" t="s">
        <v>231</v>
      </c>
      <c r="S19" t="s">
        <v>53</v>
      </c>
      <c r="T19">
        <v>3</v>
      </c>
      <c r="U19">
        <v>1</v>
      </c>
      <c r="V19">
        <v>1</v>
      </c>
      <c r="W19" t="s">
        <v>54</v>
      </c>
      <c r="X19" t="s">
        <v>83</v>
      </c>
      <c r="Y19" t="s">
        <v>97</v>
      </c>
      <c r="AA19" t="s">
        <v>56</v>
      </c>
      <c r="AB19">
        <v>2</v>
      </c>
      <c r="AD19">
        <v>1</v>
      </c>
      <c r="AE19" t="s">
        <v>57</v>
      </c>
      <c r="AI19">
        <v>10</v>
      </c>
      <c r="AJ19">
        <v>35</v>
      </c>
    </row>
    <row r="20" spans="1:36" x14ac:dyDescent="0.25">
      <c r="A20" t="s">
        <v>641</v>
      </c>
      <c r="B20">
        <v>18</v>
      </c>
      <c r="C20" t="s">
        <v>63</v>
      </c>
      <c r="D20">
        <v>2</v>
      </c>
      <c r="F20">
        <v>1</v>
      </c>
      <c r="G20" t="s">
        <v>103</v>
      </c>
      <c r="H20" t="s">
        <v>91</v>
      </c>
      <c r="I20" t="s">
        <v>147</v>
      </c>
      <c r="K20" t="s">
        <v>38</v>
      </c>
      <c r="L20">
        <v>1</v>
      </c>
      <c r="M20">
        <v>1</v>
      </c>
      <c r="N20">
        <v>1</v>
      </c>
      <c r="O20" t="s">
        <v>152</v>
      </c>
      <c r="P20" t="s">
        <v>70</v>
      </c>
      <c r="Q20" t="s">
        <v>154</v>
      </c>
      <c r="S20" t="s">
        <v>53</v>
      </c>
      <c r="T20">
        <v>3</v>
      </c>
      <c r="U20">
        <v>1</v>
      </c>
      <c r="V20">
        <v>1</v>
      </c>
      <c r="W20" t="s">
        <v>54</v>
      </c>
      <c r="X20" t="s">
        <v>83</v>
      </c>
      <c r="AA20" t="s">
        <v>56</v>
      </c>
      <c r="AB20">
        <v>1</v>
      </c>
      <c r="AD20">
        <v>1</v>
      </c>
      <c r="AE20" t="s">
        <v>57</v>
      </c>
      <c r="AI20">
        <v>8</v>
      </c>
      <c r="AJ20">
        <v>36</v>
      </c>
    </row>
    <row r="21" spans="1:36" x14ac:dyDescent="0.25">
      <c r="A21" t="s">
        <v>642</v>
      </c>
      <c r="B21">
        <v>19</v>
      </c>
      <c r="C21" t="s">
        <v>53</v>
      </c>
      <c r="D21">
        <v>2</v>
      </c>
      <c r="E21">
        <v>1</v>
      </c>
      <c r="F21">
        <v>1</v>
      </c>
      <c r="G21" t="s">
        <v>54</v>
      </c>
      <c r="H21" t="s">
        <v>83</v>
      </c>
      <c r="K21" t="s">
        <v>56</v>
      </c>
      <c r="L21">
        <v>3</v>
      </c>
      <c r="N21">
        <v>1</v>
      </c>
      <c r="O21" t="s">
        <v>57</v>
      </c>
      <c r="P21" t="s">
        <v>122</v>
      </c>
      <c r="Q21" t="s">
        <v>85</v>
      </c>
      <c r="S21" t="s">
        <v>63</v>
      </c>
      <c r="T21">
        <v>3</v>
      </c>
      <c r="V21">
        <v>1</v>
      </c>
      <c r="W21" t="s">
        <v>103</v>
      </c>
      <c r="X21" t="s">
        <v>91</v>
      </c>
      <c r="Y21" t="s">
        <v>147</v>
      </c>
      <c r="AA21" t="s">
        <v>227</v>
      </c>
      <c r="AB21">
        <v>2</v>
      </c>
      <c r="AC21">
        <v>1</v>
      </c>
      <c r="AD21">
        <v>1</v>
      </c>
      <c r="AE21" t="s">
        <v>228</v>
      </c>
      <c r="AI21">
        <v>11</v>
      </c>
      <c r="AJ21">
        <v>25</v>
      </c>
    </row>
    <row r="22" spans="1:36" x14ac:dyDescent="0.25">
      <c r="A22" t="s">
        <v>643</v>
      </c>
      <c r="B22">
        <v>20</v>
      </c>
      <c r="C22" t="s">
        <v>38</v>
      </c>
      <c r="D22">
        <v>1</v>
      </c>
      <c r="E22">
        <v>1</v>
      </c>
      <c r="F22">
        <v>1</v>
      </c>
      <c r="G22" t="s">
        <v>152</v>
      </c>
      <c r="H22" t="s">
        <v>96</v>
      </c>
      <c r="K22" t="s">
        <v>227</v>
      </c>
      <c r="L22">
        <v>2</v>
      </c>
      <c r="M22">
        <v>1</v>
      </c>
      <c r="N22">
        <v>2</v>
      </c>
      <c r="O22" t="s">
        <v>228</v>
      </c>
      <c r="P22" t="s">
        <v>231</v>
      </c>
      <c r="S22" t="s">
        <v>53</v>
      </c>
      <c r="T22">
        <v>3</v>
      </c>
      <c r="U22">
        <v>1</v>
      </c>
      <c r="V22">
        <v>1</v>
      </c>
      <c r="W22" t="s">
        <v>54</v>
      </c>
      <c r="X22" t="s">
        <v>83</v>
      </c>
      <c r="Y22" t="s">
        <v>97</v>
      </c>
      <c r="AA22" t="s">
        <v>56</v>
      </c>
      <c r="AB22">
        <v>1</v>
      </c>
      <c r="AD22">
        <v>1</v>
      </c>
      <c r="AE22" t="s">
        <v>57</v>
      </c>
      <c r="AF22" t="s">
        <v>122</v>
      </c>
      <c r="AI22">
        <v>9</v>
      </c>
      <c r="AJ22">
        <v>30</v>
      </c>
    </row>
    <row r="23" spans="1:36" x14ac:dyDescent="0.25">
      <c r="A23" t="s">
        <v>644</v>
      </c>
      <c r="B23">
        <v>21</v>
      </c>
      <c r="C23" t="s">
        <v>53</v>
      </c>
      <c r="D23">
        <v>1</v>
      </c>
      <c r="E23">
        <v>1</v>
      </c>
      <c r="F23">
        <v>1</v>
      </c>
      <c r="G23" t="s">
        <v>54</v>
      </c>
      <c r="H23" t="s">
        <v>113</v>
      </c>
      <c r="K23" t="s">
        <v>48</v>
      </c>
      <c r="L23">
        <v>3</v>
      </c>
      <c r="N23">
        <v>1</v>
      </c>
      <c r="O23" t="s">
        <v>89</v>
      </c>
      <c r="P23" t="s">
        <v>71</v>
      </c>
      <c r="Q23" t="s">
        <v>90</v>
      </c>
      <c r="S23" t="s">
        <v>56</v>
      </c>
      <c r="T23">
        <v>2</v>
      </c>
      <c r="V23">
        <v>1</v>
      </c>
      <c r="W23" t="s">
        <v>57</v>
      </c>
      <c r="AA23" t="s">
        <v>33</v>
      </c>
      <c r="AB23">
        <v>2</v>
      </c>
      <c r="AD23">
        <v>3</v>
      </c>
      <c r="AE23" t="s">
        <v>65</v>
      </c>
      <c r="AI23">
        <v>9</v>
      </c>
      <c r="AJ23">
        <v>26</v>
      </c>
    </row>
    <row r="24" spans="1:36" x14ac:dyDescent="0.25">
      <c r="A24" t="s">
        <v>645</v>
      </c>
      <c r="B24">
        <v>22</v>
      </c>
      <c r="C24" t="s">
        <v>53</v>
      </c>
      <c r="D24">
        <v>1</v>
      </c>
      <c r="E24">
        <v>1</v>
      </c>
      <c r="F24">
        <v>1</v>
      </c>
      <c r="G24" t="s">
        <v>54</v>
      </c>
      <c r="K24" t="s">
        <v>48</v>
      </c>
      <c r="L24">
        <v>3</v>
      </c>
      <c r="N24">
        <v>3</v>
      </c>
      <c r="O24" t="s">
        <v>89</v>
      </c>
      <c r="P24" t="s">
        <v>84</v>
      </c>
      <c r="S24" t="s">
        <v>56</v>
      </c>
      <c r="T24">
        <v>3</v>
      </c>
      <c r="V24">
        <v>1</v>
      </c>
      <c r="W24" t="s">
        <v>57</v>
      </c>
      <c r="X24" t="s">
        <v>121</v>
      </c>
      <c r="AA24" t="s">
        <v>43</v>
      </c>
      <c r="AB24">
        <v>2</v>
      </c>
      <c r="AD24">
        <v>1</v>
      </c>
      <c r="AE24" t="s">
        <v>73</v>
      </c>
      <c r="AF24" t="s">
        <v>74</v>
      </c>
      <c r="AI24">
        <v>10</v>
      </c>
      <c r="AJ24">
        <v>30</v>
      </c>
    </row>
    <row r="25" spans="1:36" x14ac:dyDescent="0.25">
      <c r="A25" t="s">
        <v>646</v>
      </c>
      <c r="B25">
        <v>23</v>
      </c>
      <c r="C25" t="s">
        <v>53</v>
      </c>
      <c r="D25">
        <v>2</v>
      </c>
      <c r="E25">
        <v>1</v>
      </c>
      <c r="F25">
        <v>1</v>
      </c>
      <c r="G25" t="s">
        <v>54</v>
      </c>
      <c r="H25" t="s">
        <v>83</v>
      </c>
      <c r="I25" t="s">
        <v>114</v>
      </c>
      <c r="J25" t="s">
        <v>98</v>
      </c>
      <c r="K25" t="s">
        <v>48</v>
      </c>
      <c r="L25">
        <v>1</v>
      </c>
      <c r="N25">
        <v>1</v>
      </c>
      <c r="O25" t="s">
        <v>89</v>
      </c>
      <c r="P25" t="s">
        <v>71</v>
      </c>
      <c r="Q25" t="s">
        <v>90</v>
      </c>
      <c r="S25" t="s">
        <v>56</v>
      </c>
      <c r="T25">
        <v>2</v>
      </c>
      <c r="V25">
        <v>1</v>
      </c>
      <c r="W25" t="s">
        <v>57</v>
      </c>
      <c r="X25" t="s">
        <v>122</v>
      </c>
      <c r="Y25" t="s">
        <v>85</v>
      </c>
      <c r="AA25" t="s">
        <v>45</v>
      </c>
      <c r="AB25">
        <v>2</v>
      </c>
      <c r="AD25">
        <v>1</v>
      </c>
      <c r="AE25" t="s">
        <v>86</v>
      </c>
      <c r="AI25">
        <v>10</v>
      </c>
      <c r="AJ25">
        <v>28</v>
      </c>
    </row>
    <row r="26" spans="1:36" x14ac:dyDescent="0.25">
      <c r="A26" t="s">
        <v>647</v>
      </c>
      <c r="B26">
        <v>24</v>
      </c>
      <c r="C26" t="s">
        <v>53</v>
      </c>
      <c r="D26">
        <v>3</v>
      </c>
      <c r="E26">
        <v>1</v>
      </c>
      <c r="F26">
        <v>1</v>
      </c>
      <c r="G26" t="s">
        <v>54</v>
      </c>
      <c r="K26" t="s">
        <v>48</v>
      </c>
      <c r="L26">
        <v>3</v>
      </c>
      <c r="N26">
        <v>1</v>
      </c>
      <c r="O26" t="s">
        <v>49</v>
      </c>
      <c r="S26" t="s">
        <v>56</v>
      </c>
      <c r="T26">
        <v>3</v>
      </c>
      <c r="V26">
        <v>1</v>
      </c>
      <c r="W26" t="s">
        <v>57</v>
      </c>
      <c r="X26" t="s">
        <v>121</v>
      </c>
      <c r="AA26" t="s">
        <v>63</v>
      </c>
      <c r="AB26">
        <v>1</v>
      </c>
      <c r="AD26">
        <v>1</v>
      </c>
      <c r="AE26" t="s">
        <v>103</v>
      </c>
      <c r="AF26" t="s">
        <v>91</v>
      </c>
      <c r="AI26">
        <v>8</v>
      </c>
      <c r="AJ26">
        <v>28</v>
      </c>
    </row>
    <row r="27" spans="1:36" x14ac:dyDescent="0.25">
      <c r="A27" t="s">
        <v>648</v>
      </c>
      <c r="B27">
        <v>25</v>
      </c>
      <c r="C27" t="s">
        <v>56</v>
      </c>
      <c r="D27">
        <v>2</v>
      </c>
      <c r="F27">
        <v>1</v>
      </c>
      <c r="G27" t="s">
        <v>57</v>
      </c>
      <c r="H27" t="s">
        <v>122</v>
      </c>
      <c r="I27" t="s">
        <v>85</v>
      </c>
      <c r="K27" t="s">
        <v>38</v>
      </c>
      <c r="L27">
        <v>1</v>
      </c>
      <c r="M27">
        <v>1</v>
      </c>
      <c r="N27">
        <v>1</v>
      </c>
      <c r="O27" t="s">
        <v>152</v>
      </c>
      <c r="P27" t="s">
        <v>70</v>
      </c>
      <c r="Q27" t="s">
        <v>41</v>
      </c>
      <c r="S27" t="s">
        <v>53</v>
      </c>
      <c r="T27">
        <v>3</v>
      </c>
      <c r="U27">
        <v>1</v>
      </c>
      <c r="V27">
        <v>1</v>
      </c>
      <c r="W27" t="s">
        <v>54</v>
      </c>
      <c r="AA27" t="s">
        <v>48</v>
      </c>
      <c r="AB27">
        <v>2</v>
      </c>
      <c r="AD27">
        <v>1</v>
      </c>
      <c r="AE27" t="s">
        <v>49</v>
      </c>
      <c r="AI27">
        <v>8</v>
      </c>
      <c r="AJ27">
        <v>33</v>
      </c>
    </row>
    <row r="28" spans="1:36" x14ac:dyDescent="0.25">
      <c r="A28" t="s">
        <v>649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111</v>
      </c>
      <c r="H28" t="s">
        <v>113</v>
      </c>
      <c r="K28" t="s">
        <v>48</v>
      </c>
      <c r="L28">
        <v>3</v>
      </c>
      <c r="N28">
        <v>1</v>
      </c>
      <c r="O28" t="s">
        <v>89</v>
      </c>
      <c r="S28" t="s">
        <v>56</v>
      </c>
      <c r="T28">
        <v>3</v>
      </c>
      <c r="V28">
        <v>1</v>
      </c>
      <c r="W28" t="s">
        <v>57</v>
      </c>
      <c r="AA28" t="s">
        <v>227</v>
      </c>
      <c r="AB28">
        <v>3</v>
      </c>
      <c r="AC28">
        <v>1</v>
      </c>
      <c r="AD28">
        <v>1</v>
      </c>
      <c r="AE28" t="s">
        <v>228</v>
      </c>
      <c r="AI28">
        <v>7</v>
      </c>
      <c r="AJ28">
        <v>24</v>
      </c>
    </row>
    <row r="29" spans="1:36" x14ac:dyDescent="0.25">
      <c r="A29" t="s">
        <v>650</v>
      </c>
      <c r="B29">
        <v>27</v>
      </c>
      <c r="C29" t="s">
        <v>33</v>
      </c>
      <c r="D29">
        <v>2</v>
      </c>
      <c r="F29">
        <v>1</v>
      </c>
      <c r="G29" t="s">
        <v>65</v>
      </c>
      <c r="H29" t="s">
        <v>66</v>
      </c>
      <c r="I29" t="s">
        <v>36</v>
      </c>
      <c r="K29" t="s">
        <v>43</v>
      </c>
      <c r="L29">
        <v>1</v>
      </c>
      <c r="N29">
        <v>1</v>
      </c>
      <c r="O29" t="s">
        <v>73</v>
      </c>
      <c r="P29" t="s">
        <v>99</v>
      </c>
      <c r="Q29" t="s">
        <v>75</v>
      </c>
      <c r="R29" t="s">
        <v>138</v>
      </c>
      <c r="S29" t="s">
        <v>53</v>
      </c>
      <c r="T29">
        <v>2</v>
      </c>
      <c r="U29">
        <v>1</v>
      </c>
      <c r="V29">
        <v>1</v>
      </c>
      <c r="W29" t="s">
        <v>111</v>
      </c>
      <c r="X29" t="s">
        <v>55</v>
      </c>
      <c r="AA29" t="s">
        <v>48</v>
      </c>
      <c r="AB29">
        <v>3</v>
      </c>
      <c r="AD29">
        <v>1</v>
      </c>
      <c r="AE29" t="s">
        <v>89</v>
      </c>
      <c r="AI29">
        <v>10</v>
      </c>
      <c r="AJ29">
        <v>28</v>
      </c>
    </row>
    <row r="30" spans="1:36" x14ac:dyDescent="0.25">
      <c r="A30" t="s">
        <v>651</v>
      </c>
      <c r="B30">
        <v>28</v>
      </c>
      <c r="C30" t="s">
        <v>53</v>
      </c>
      <c r="D30">
        <v>3</v>
      </c>
      <c r="E30">
        <v>1</v>
      </c>
      <c r="F30">
        <v>2</v>
      </c>
      <c r="G30" t="s">
        <v>54</v>
      </c>
      <c r="K30" t="s">
        <v>48</v>
      </c>
      <c r="L30">
        <v>3</v>
      </c>
      <c r="N30">
        <v>2</v>
      </c>
      <c r="O30" t="s">
        <v>89</v>
      </c>
      <c r="S30" t="s">
        <v>33</v>
      </c>
      <c r="T30">
        <v>2</v>
      </c>
      <c r="V30">
        <v>3</v>
      </c>
      <c r="W30" t="s">
        <v>65</v>
      </c>
      <c r="AA30" t="s">
        <v>45</v>
      </c>
      <c r="AB30">
        <v>2</v>
      </c>
      <c r="AD30">
        <v>1</v>
      </c>
      <c r="AE30" t="s">
        <v>47</v>
      </c>
      <c r="AI30">
        <v>10</v>
      </c>
      <c r="AJ30">
        <v>28</v>
      </c>
    </row>
    <row r="31" spans="1:36" x14ac:dyDescent="0.25">
      <c r="A31" t="s">
        <v>652</v>
      </c>
      <c r="B31">
        <v>29</v>
      </c>
      <c r="C31" t="s">
        <v>53</v>
      </c>
      <c r="D31">
        <v>1</v>
      </c>
      <c r="E31">
        <v>1</v>
      </c>
      <c r="F31">
        <v>1</v>
      </c>
      <c r="G31" t="s">
        <v>54</v>
      </c>
      <c r="K31" t="s">
        <v>48</v>
      </c>
      <c r="L31">
        <v>3</v>
      </c>
      <c r="N31">
        <v>2</v>
      </c>
      <c r="O31" t="s">
        <v>49</v>
      </c>
      <c r="P31" t="s">
        <v>71</v>
      </c>
      <c r="Q31" t="s">
        <v>127</v>
      </c>
      <c r="S31" t="s">
        <v>33</v>
      </c>
      <c r="T31">
        <v>3</v>
      </c>
      <c r="V31">
        <v>2</v>
      </c>
      <c r="W31" t="s">
        <v>65</v>
      </c>
      <c r="AA31" t="s">
        <v>63</v>
      </c>
      <c r="AB31">
        <v>1</v>
      </c>
      <c r="AD31">
        <v>1</v>
      </c>
      <c r="AE31" t="s">
        <v>103</v>
      </c>
      <c r="AF31" t="s">
        <v>91</v>
      </c>
      <c r="AG31" t="s">
        <v>147</v>
      </c>
      <c r="AI31">
        <v>10</v>
      </c>
      <c r="AJ31">
        <v>26</v>
      </c>
    </row>
    <row r="32" spans="1:36" x14ac:dyDescent="0.25">
      <c r="A32" t="s">
        <v>653</v>
      </c>
      <c r="B32">
        <v>30</v>
      </c>
      <c r="C32" t="s">
        <v>33</v>
      </c>
      <c r="D32">
        <v>3</v>
      </c>
      <c r="F32">
        <v>3</v>
      </c>
      <c r="G32" t="s">
        <v>65</v>
      </c>
      <c r="H32" t="s">
        <v>35</v>
      </c>
      <c r="I32" t="s">
        <v>36</v>
      </c>
      <c r="K32" t="s">
        <v>38</v>
      </c>
      <c r="L32">
        <v>1</v>
      </c>
      <c r="M32">
        <v>1</v>
      </c>
      <c r="N32">
        <v>1</v>
      </c>
      <c r="O32" t="s">
        <v>152</v>
      </c>
      <c r="P32" t="s">
        <v>40</v>
      </c>
      <c r="S32" t="s">
        <v>53</v>
      </c>
      <c r="T32">
        <v>1</v>
      </c>
      <c r="U32">
        <v>1</v>
      </c>
      <c r="V32">
        <v>1</v>
      </c>
      <c r="W32" t="s">
        <v>54</v>
      </c>
      <c r="X32" t="s">
        <v>55</v>
      </c>
      <c r="AA32" t="s">
        <v>48</v>
      </c>
      <c r="AB32">
        <v>3</v>
      </c>
      <c r="AD32">
        <v>3</v>
      </c>
      <c r="AE32" t="s">
        <v>89</v>
      </c>
      <c r="AF32" t="s">
        <v>84</v>
      </c>
      <c r="AG32" t="s">
        <v>90</v>
      </c>
      <c r="AI32">
        <v>14</v>
      </c>
      <c r="AJ32">
        <v>33</v>
      </c>
    </row>
    <row r="33" spans="1:36" x14ac:dyDescent="0.25">
      <c r="A33" t="s">
        <v>654</v>
      </c>
      <c r="B33">
        <v>31</v>
      </c>
      <c r="C33" t="s">
        <v>33</v>
      </c>
      <c r="D33">
        <v>2</v>
      </c>
      <c r="F33">
        <v>3</v>
      </c>
      <c r="G33" t="s">
        <v>46</v>
      </c>
      <c r="H33" t="s">
        <v>130</v>
      </c>
      <c r="K33" t="s">
        <v>227</v>
      </c>
      <c r="L33">
        <v>2</v>
      </c>
      <c r="M33">
        <v>1</v>
      </c>
      <c r="N33">
        <v>1</v>
      </c>
      <c r="O33" t="s">
        <v>228</v>
      </c>
      <c r="S33" t="s">
        <v>53</v>
      </c>
      <c r="T33">
        <v>3</v>
      </c>
      <c r="U33">
        <v>1</v>
      </c>
      <c r="V33">
        <v>1</v>
      </c>
      <c r="W33" t="s">
        <v>54</v>
      </c>
      <c r="X33" t="s">
        <v>83</v>
      </c>
      <c r="Y33" t="s">
        <v>114</v>
      </c>
      <c r="AA33" t="s">
        <v>48</v>
      </c>
      <c r="AB33">
        <v>3</v>
      </c>
      <c r="AD33">
        <v>2</v>
      </c>
      <c r="AE33" t="s">
        <v>89</v>
      </c>
      <c r="AF33" t="s">
        <v>84</v>
      </c>
      <c r="AG33" t="s">
        <v>90</v>
      </c>
      <c r="AH33" t="s">
        <v>129</v>
      </c>
      <c r="AI33">
        <v>15</v>
      </c>
      <c r="AJ33">
        <v>46</v>
      </c>
    </row>
    <row r="34" spans="1:36" x14ac:dyDescent="0.25">
      <c r="A34" t="s">
        <v>655</v>
      </c>
      <c r="B34">
        <v>32</v>
      </c>
      <c r="C34" t="s">
        <v>53</v>
      </c>
      <c r="D34">
        <v>1</v>
      </c>
      <c r="E34">
        <v>1</v>
      </c>
      <c r="F34">
        <v>1</v>
      </c>
      <c r="G34" t="s">
        <v>111</v>
      </c>
      <c r="H34" t="s">
        <v>55</v>
      </c>
      <c r="K34" t="s">
        <v>48</v>
      </c>
      <c r="L34">
        <v>2</v>
      </c>
      <c r="N34">
        <v>2</v>
      </c>
      <c r="O34" t="s">
        <v>89</v>
      </c>
      <c r="P34" t="s">
        <v>50</v>
      </c>
      <c r="Q34" t="s">
        <v>90</v>
      </c>
      <c r="R34" t="s">
        <v>129</v>
      </c>
      <c r="S34" t="s">
        <v>43</v>
      </c>
      <c r="T34">
        <v>1</v>
      </c>
      <c r="V34">
        <v>1</v>
      </c>
      <c r="W34" t="s">
        <v>73</v>
      </c>
      <c r="X34" t="s">
        <v>99</v>
      </c>
      <c r="Y34" t="s">
        <v>100</v>
      </c>
      <c r="Z34" t="s">
        <v>101</v>
      </c>
      <c r="AA34" t="s">
        <v>45</v>
      </c>
      <c r="AB34">
        <v>3</v>
      </c>
      <c r="AD34">
        <v>1</v>
      </c>
      <c r="AE34" t="s">
        <v>47</v>
      </c>
      <c r="AI34">
        <v>11</v>
      </c>
      <c r="AJ34">
        <v>40</v>
      </c>
    </row>
    <row r="35" spans="1:36" x14ac:dyDescent="0.25">
      <c r="A35" t="s">
        <v>656</v>
      </c>
      <c r="B35">
        <v>33</v>
      </c>
      <c r="C35" t="s">
        <v>53</v>
      </c>
      <c r="D35">
        <v>1</v>
      </c>
      <c r="E35">
        <v>1</v>
      </c>
      <c r="F35">
        <v>1</v>
      </c>
      <c r="G35" t="s">
        <v>54</v>
      </c>
      <c r="H35" t="s">
        <v>113</v>
      </c>
      <c r="K35" t="s">
        <v>48</v>
      </c>
      <c r="L35">
        <v>3</v>
      </c>
      <c r="N35">
        <v>1</v>
      </c>
      <c r="O35" t="s">
        <v>89</v>
      </c>
      <c r="S35" t="s">
        <v>43</v>
      </c>
      <c r="T35">
        <v>1</v>
      </c>
      <c r="V35">
        <v>2</v>
      </c>
      <c r="W35" t="s">
        <v>73</v>
      </c>
      <c r="X35" t="s">
        <v>74</v>
      </c>
      <c r="AA35" t="s">
        <v>63</v>
      </c>
      <c r="AB35">
        <v>1</v>
      </c>
      <c r="AD35">
        <v>1</v>
      </c>
      <c r="AE35" t="s">
        <v>103</v>
      </c>
      <c r="AF35" t="s">
        <v>95</v>
      </c>
      <c r="AI35">
        <v>6</v>
      </c>
      <c r="AJ35">
        <v>23</v>
      </c>
    </row>
    <row r="36" spans="1:36" x14ac:dyDescent="0.25">
      <c r="A36" t="s">
        <v>657</v>
      </c>
      <c r="B36">
        <v>34</v>
      </c>
      <c r="C36" t="s">
        <v>53</v>
      </c>
      <c r="D36">
        <v>1</v>
      </c>
      <c r="E36">
        <v>1</v>
      </c>
      <c r="F36">
        <v>1</v>
      </c>
      <c r="G36" t="s">
        <v>111</v>
      </c>
      <c r="K36" t="s">
        <v>48</v>
      </c>
      <c r="L36">
        <v>3</v>
      </c>
      <c r="N36">
        <v>3</v>
      </c>
      <c r="O36" t="s">
        <v>89</v>
      </c>
      <c r="P36" t="s">
        <v>71</v>
      </c>
      <c r="Q36" t="s">
        <v>90</v>
      </c>
      <c r="S36" t="s">
        <v>43</v>
      </c>
      <c r="T36">
        <v>2</v>
      </c>
      <c r="V36">
        <v>1</v>
      </c>
      <c r="W36" t="s">
        <v>73</v>
      </c>
      <c r="X36" t="s">
        <v>74</v>
      </c>
      <c r="Y36" t="s">
        <v>75</v>
      </c>
      <c r="Z36" t="s">
        <v>101</v>
      </c>
      <c r="AA36" t="s">
        <v>38</v>
      </c>
      <c r="AB36">
        <v>1</v>
      </c>
      <c r="AC36">
        <v>1</v>
      </c>
      <c r="AD36">
        <v>1</v>
      </c>
      <c r="AE36" t="s">
        <v>152</v>
      </c>
      <c r="AF36" t="s">
        <v>40</v>
      </c>
      <c r="AG36" t="s">
        <v>41</v>
      </c>
      <c r="AI36">
        <v>12</v>
      </c>
      <c r="AJ36">
        <v>41</v>
      </c>
    </row>
    <row r="37" spans="1:36" x14ac:dyDescent="0.25">
      <c r="A37" t="s">
        <v>658</v>
      </c>
      <c r="B37">
        <v>35</v>
      </c>
      <c r="C37" t="s">
        <v>53</v>
      </c>
      <c r="D37">
        <v>1</v>
      </c>
      <c r="E37">
        <v>1</v>
      </c>
      <c r="F37">
        <v>1</v>
      </c>
      <c r="G37" t="s">
        <v>54</v>
      </c>
      <c r="H37" t="s">
        <v>83</v>
      </c>
      <c r="K37" t="s">
        <v>48</v>
      </c>
      <c r="L37">
        <v>3</v>
      </c>
      <c r="N37">
        <v>2</v>
      </c>
      <c r="O37" t="s">
        <v>89</v>
      </c>
      <c r="P37" t="s">
        <v>71</v>
      </c>
      <c r="Q37" t="s">
        <v>90</v>
      </c>
      <c r="S37" t="s">
        <v>43</v>
      </c>
      <c r="T37">
        <v>3</v>
      </c>
      <c r="V37">
        <v>1</v>
      </c>
      <c r="W37" t="s">
        <v>135</v>
      </c>
      <c r="X37" t="s">
        <v>74</v>
      </c>
      <c r="Y37" t="s">
        <v>137</v>
      </c>
      <c r="AA37" t="s">
        <v>227</v>
      </c>
      <c r="AB37">
        <v>3</v>
      </c>
      <c r="AC37">
        <v>1</v>
      </c>
      <c r="AD37">
        <v>1</v>
      </c>
      <c r="AE37" t="s">
        <v>228</v>
      </c>
      <c r="AI37">
        <v>12</v>
      </c>
      <c r="AJ37">
        <v>36</v>
      </c>
    </row>
    <row r="38" spans="1:36" x14ac:dyDescent="0.25">
      <c r="A38" t="s">
        <v>659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111</v>
      </c>
      <c r="H38" t="s">
        <v>83</v>
      </c>
      <c r="I38" t="s">
        <v>114</v>
      </c>
      <c r="K38" t="s">
        <v>48</v>
      </c>
      <c r="L38">
        <v>2</v>
      </c>
      <c r="N38">
        <v>1</v>
      </c>
      <c r="O38" t="s">
        <v>49</v>
      </c>
      <c r="P38" t="s">
        <v>84</v>
      </c>
      <c r="Q38" t="s">
        <v>51</v>
      </c>
      <c r="S38" t="s">
        <v>45</v>
      </c>
      <c r="T38">
        <v>2</v>
      </c>
      <c r="V38">
        <v>1</v>
      </c>
      <c r="W38" t="s">
        <v>47</v>
      </c>
      <c r="AA38" t="s">
        <v>63</v>
      </c>
      <c r="AB38">
        <v>1</v>
      </c>
      <c r="AD38">
        <v>1</v>
      </c>
      <c r="AE38" t="s">
        <v>72</v>
      </c>
      <c r="AF38" t="s">
        <v>95</v>
      </c>
      <c r="AG38" t="s">
        <v>147</v>
      </c>
      <c r="AI38">
        <v>9</v>
      </c>
      <c r="AJ38">
        <v>24</v>
      </c>
    </row>
    <row r="39" spans="1:36" x14ac:dyDescent="0.25">
      <c r="A39" t="s">
        <v>660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H39" t="s">
        <v>83</v>
      </c>
      <c r="I39" t="s">
        <v>105</v>
      </c>
      <c r="K39" t="s">
        <v>48</v>
      </c>
      <c r="L39">
        <v>3</v>
      </c>
      <c r="N39">
        <v>1</v>
      </c>
      <c r="O39" t="s">
        <v>89</v>
      </c>
      <c r="P39" t="s">
        <v>71</v>
      </c>
      <c r="S39" t="s">
        <v>45</v>
      </c>
      <c r="T39">
        <v>3</v>
      </c>
      <c r="V39">
        <v>1</v>
      </c>
      <c r="W39" t="s">
        <v>47</v>
      </c>
      <c r="AA39" t="s">
        <v>38</v>
      </c>
      <c r="AB39">
        <v>2</v>
      </c>
      <c r="AC39">
        <v>1</v>
      </c>
      <c r="AD39">
        <v>2</v>
      </c>
      <c r="AE39" t="s">
        <v>67</v>
      </c>
      <c r="AF39" t="s">
        <v>96</v>
      </c>
      <c r="AI39">
        <v>11</v>
      </c>
      <c r="AJ39">
        <v>25</v>
      </c>
    </row>
    <row r="40" spans="1:36" x14ac:dyDescent="0.25">
      <c r="A40" t="s">
        <v>661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111</v>
      </c>
      <c r="K40" t="s">
        <v>48</v>
      </c>
      <c r="L40">
        <v>1</v>
      </c>
      <c r="N40">
        <v>2</v>
      </c>
      <c r="O40" t="s">
        <v>89</v>
      </c>
      <c r="P40" t="s">
        <v>84</v>
      </c>
      <c r="Q40" t="s">
        <v>127</v>
      </c>
      <c r="R40" t="s">
        <v>129</v>
      </c>
      <c r="S40" t="s">
        <v>45</v>
      </c>
      <c r="T40">
        <v>3</v>
      </c>
      <c r="V40">
        <v>2</v>
      </c>
      <c r="W40" t="s">
        <v>47</v>
      </c>
      <c r="AA40" t="s">
        <v>227</v>
      </c>
      <c r="AB40">
        <v>2</v>
      </c>
      <c r="AC40">
        <v>2</v>
      </c>
      <c r="AD40">
        <v>1</v>
      </c>
      <c r="AE40" t="s">
        <v>228</v>
      </c>
      <c r="AF40" t="s">
        <v>231</v>
      </c>
      <c r="AI40">
        <v>11</v>
      </c>
      <c r="AJ40">
        <v>47</v>
      </c>
    </row>
    <row r="41" spans="1:36" x14ac:dyDescent="0.25">
      <c r="A41" t="s">
        <v>662</v>
      </c>
      <c r="B41">
        <v>39</v>
      </c>
      <c r="C41" t="s">
        <v>53</v>
      </c>
      <c r="D41">
        <v>2</v>
      </c>
      <c r="E41">
        <v>1</v>
      </c>
      <c r="F41">
        <v>1</v>
      </c>
      <c r="G41" t="s">
        <v>54</v>
      </c>
      <c r="H41" t="s">
        <v>55</v>
      </c>
      <c r="I41" t="s">
        <v>105</v>
      </c>
      <c r="K41" t="s">
        <v>48</v>
      </c>
      <c r="L41">
        <v>2</v>
      </c>
      <c r="N41">
        <v>1</v>
      </c>
      <c r="O41" t="s">
        <v>49</v>
      </c>
      <c r="S41" t="s">
        <v>63</v>
      </c>
      <c r="T41">
        <v>1</v>
      </c>
      <c r="V41">
        <v>1</v>
      </c>
      <c r="W41" t="s">
        <v>103</v>
      </c>
      <c r="X41" t="s">
        <v>91</v>
      </c>
      <c r="Y41" t="s">
        <v>147</v>
      </c>
      <c r="AA41" t="s">
        <v>38</v>
      </c>
      <c r="AB41">
        <v>1</v>
      </c>
      <c r="AC41">
        <v>1</v>
      </c>
      <c r="AD41">
        <v>1</v>
      </c>
      <c r="AE41" t="s">
        <v>152</v>
      </c>
      <c r="AF41" t="s">
        <v>40</v>
      </c>
      <c r="AG41" t="s">
        <v>153</v>
      </c>
      <c r="AH41" t="s">
        <v>42</v>
      </c>
      <c r="AI41">
        <v>9</v>
      </c>
      <c r="AJ41">
        <v>35</v>
      </c>
    </row>
    <row r="42" spans="1:36" x14ac:dyDescent="0.25">
      <c r="A42" t="s">
        <v>663</v>
      </c>
      <c r="B42">
        <v>40</v>
      </c>
      <c r="C42" t="s">
        <v>53</v>
      </c>
      <c r="D42">
        <v>2</v>
      </c>
      <c r="E42">
        <v>1</v>
      </c>
      <c r="F42">
        <v>1</v>
      </c>
      <c r="G42" t="s">
        <v>54</v>
      </c>
      <c r="K42" t="s">
        <v>48</v>
      </c>
      <c r="L42">
        <v>2</v>
      </c>
      <c r="N42">
        <v>1</v>
      </c>
      <c r="O42" t="s">
        <v>89</v>
      </c>
      <c r="P42" t="s">
        <v>71</v>
      </c>
      <c r="S42" t="s">
        <v>63</v>
      </c>
      <c r="T42">
        <v>1</v>
      </c>
      <c r="V42">
        <v>1</v>
      </c>
      <c r="W42" t="s">
        <v>103</v>
      </c>
      <c r="X42" t="s">
        <v>91</v>
      </c>
      <c r="AA42" t="s">
        <v>227</v>
      </c>
      <c r="AB42">
        <v>2</v>
      </c>
      <c r="AC42">
        <v>1</v>
      </c>
      <c r="AD42">
        <v>1</v>
      </c>
      <c r="AE42" t="s">
        <v>228</v>
      </c>
      <c r="AI42">
        <v>5</v>
      </c>
      <c r="AJ42">
        <v>25</v>
      </c>
    </row>
    <row r="43" spans="1:36" x14ac:dyDescent="0.25">
      <c r="A43" t="s">
        <v>664</v>
      </c>
      <c r="B43">
        <v>41</v>
      </c>
      <c r="C43" t="s">
        <v>53</v>
      </c>
      <c r="D43">
        <v>2</v>
      </c>
      <c r="E43">
        <v>1</v>
      </c>
      <c r="F43">
        <v>1</v>
      </c>
      <c r="G43" t="s">
        <v>54</v>
      </c>
      <c r="K43" t="s">
        <v>48</v>
      </c>
      <c r="L43">
        <v>1</v>
      </c>
      <c r="N43">
        <v>1</v>
      </c>
      <c r="O43" t="s">
        <v>89</v>
      </c>
      <c r="P43" t="s">
        <v>50</v>
      </c>
      <c r="Q43" t="s">
        <v>51</v>
      </c>
      <c r="S43" t="s">
        <v>38</v>
      </c>
      <c r="T43">
        <v>1</v>
      </c>
      <c r="U43">
        <v>1</v>
      </c>
      <c r="V43">
        <v>1</v>
      </c>
      <c r="W43" t="s">
        <v>152</v>
      </c>
      <c r="AA43" t="s">
        <v>227</v>
      </c>
      <c r="AB43">
        <v>1</v>
      </c>
      <c r="AC43">
        <v>1</v>
      </c>
      <c r="AD43">
        <v>1</v>
      </c>
      <c r="AE43" t="s">
        <v>228</v>
      </c>
      <c r="AI43">
        <v>3</v>
      </c>
      <c r="AJ43">
        <v>23</v>
      </c>
    </row>
    <row r="44" spans="1:36" x14ac:dyDescent="0.25">
      <c r="A44" t="s">
        <v>665</v>
      </c>
      <c r="B44">
        <v>42</v>
      </c>
      <c r="C44" t="s">
        <v>53</v>
      </c>
      <c r="D44">
        <v>2</v>
      </c>
      <c r="E44">
        <v>1</v>
      </c>
      <c r="F44">
        <v>1</v>
      </c>
      <c r="G44" t="s">
        <v>54</v>
      </c>
      <c r="H44" t="s">
        <v>55</v>
      </c>
      <c r="I44" t="s">
        <v>114</v>
      </c>
      <c r="K44" t="s">
        <v>33</v>
      </c>
      <c r="L44">
        <v>1</v>
      </c>
      <c r="N44">
        <v>2</v>
      </c>
      <c r="O44" t="s">
        <v>46</v>
      </c>
      <c r="S44" t="s">
        <v>56</v>
      </c>
      <c r="T44">
        <v>2</v>
      </c>
      <c r="V44">
        <v>1</v>
      </c>
      <c r="W44" t="s">
        <v>57</v>
      </c>
      <c r="X44" t="s">
        <v>122</v>
      </c>
      <c r="AA44" t="s">
        <v>48</v>
      </c>
      <c r="AB44">
        <v>1</v>
      </c>
      <c r="AD44">
        <v>1</v>
      </c>
      <c r="AE44" t="s">
        <v>89</v>
      </c>
      <c r="AF44" t="s">
        <v>84</v>
      </c>
      <c r="AI44">
        <v>7</v>
      </c>
      <c r="AJ44">
        <v>26</v>
      </c>
    </row>
    <row r="45" spans="1:36" x14ac:dyDescent="0.25">
      <c r="A45" t="s">
        <v>666</v>
      </c>
      <c r="B45">
        <v>43</v>
      </c>
      <c r="C45" t="s">
        <v>53</v>
      </c>
      <c r="D45">
        <v>1</v>
      </c>
      <c r="E45">
        <v>1</v>
      </c>
      <c r="F45">
        <v>1</v>
      </c>
      <c r="G45" t="s">
        <v>111</v>
      </c>
      <c r="H45" t="s">
        <v>113</v>
      </c>
      <c r="K45" t="s">
        <v>33</v>
      </c>
      <c r="L45">
        <v>2</v>
      </c>
      <c r="N45">
        <v>3</v>
      </c>
      <c r="O45" t="s">
        <v>34</v>
      </c>
      <c r="S45" t="s">
        <v>56</v>
      </c>
      <c r="T45">
        <v>3</v>
      </c>
      <c r="V45">
        <v>1</v>
      </c>
      <c r="W45" t="s">
        <v>68</v>
      </c>
      <c r="AA45" t="s">
        <v>43</v>
      </c>
      <c r="AB45">
        <v>3</v>
      </c>
      <c r="AD45">
        <v>1</v>
      </c>
      <c r="AE45" t="s">
        <v>73</v>
      </c>
      <c r="AF45" t="s">
        <v>136</v>
      </c>
      <c r="AI45">
        <v>9</v>
      </c>
      <c r="AJ45">
        <v>24</v>
      </c>
    </row>
    <row r="46" spans="1:36" x14ac:dyDescent="0.25">
      <c r="A46" t="s">
        <v>667</v>
      </c>
      <c r="B46">
        <v>44</v>
      </c>
      <c r="C46" t="s">
        <v>56</v>
      </c>
      <c r="D46">
        <v>2</v>
      </c>
      <c r="F46">
        <v>1</v>
      </c>
      <c r="G46" t="s">
        <v>57</v>
      </c>
      <c r="H46" t="s">
        <v>122</v>
      </c>
      <c r="K46" t="s">
        <v>45</v>
      </c>
      <c r="L46">
        <v>2</v>
      </c>
      <c r="N46">
        <v>1</v>
      </c>
      <c r="O46" t="s">
        <v>140</v>
      </c>
      <c r="S46" t="s">
        <v>53</v>
      </c>
      <c r="T46">
        <v>2</v>
      </c>
      <c r="U46">
        <v>1</v>
      </c>
      <c r="V46">
        <v>2</v>
      </c>
      <c r="W46" t="s">
        <v>54</v>
      </c>
      <c r="AA46" t="s">
        <v>33</v>
      </c>
      <c r="AB46">
        <v>1</v>
      </c>
      <c r="AD46">
        <v>3</v>
      </c>
      <c r="AE46" t="s">
        <v>34</v>
      </c>
      <c r="AI46">
        <v>7</v>
      </c>
      <c r="AJ46">
        <v>23</v>
      </c>
    </row>
    <row r="47" spans="1:36" x14ac:dyDescent="0.25">
      <c r="A47" t="s">
        <v>668</v>
      </c>
      <c r="B47">
        <v>45</v>
      </c>
      <c r="C47" t="s">
        <v>53</v>
      </c>
      <c r="D47">
        <v>1</v>
      </c>
      <c r="E47">
        <v>1</v>
      </c>
      <c r="F47">
        <v>1</v>
      </c>
      <c r="G47" t="s">
        <v>111</v>
      </c>
      <c r="K47" t="s">
        <v>33</v>
      </c>
      <c r="L47">
        <v>1</v>
      </c>
      <c r="N47">
        <v>3</v>
      </c>
      <c r="O47" t="s">
        <v>34</v>
      </c>
      <c r="P47" t="s">
        <v>35</v>
      </c>
      <c r="S47" t="s">
        <v>56</v>
      </c>
      <c r="T47">
        <v>2</v>
      </c>
      <c r="V47">
        <v>1</v>
      </c>
      <c r="W47" t="s">
        <v>57</v>
      </c>
      <c r="X47" t="s">
        <v>69</v>
      </c>
      <c r="AA47" t="s">
        <v>63</v>
      </c>
      <c r="AB47">
        <v>2</v>
      </c>
      <c r="AD47">
        <v>1</v>
      </c>
      <c r="AE47" t="s">
        <v>72</v>
      </c>
      <c r="AF47" t="s">
        <v>95</v>
      </c>
      <c r="AI47">
        <v>7</v>
      </c>
      <c r="AJ47">
        <v>27</v>
      </c>
    </row>
    <row r="48" spans="1:36" x14ac:dyDescent="0.25">
      <c r="A48" t="s">
        <v>669</v>
      </c>
      <c r="B48">
        <v>46</v>
      </c>
      <c r="C48" t="s">
        <v>53</v>
      </c>
      <c r="D48">
        <v>1</v>
      </c>
      <c r="E48">
        <v>1</v>
      </c>
      <c r="F48">
        <v>1</v>
      </c>
      <c r="G48" t="s">
        <v>54</v>
      </c>
      <c r="H48" t="s">
        <v>83</v>
      </c>
      <c r="K48" t="s">
        <v>33</v>
      </c>
      <c r="L48">
        <v>2</v>
      </c>
      <c r="N48">
        <v>3</v>
      </c>
      <c r="O48" t="s">
        <v>65</v>
      </c>
      <c r="P48" t="s">
        <v>35</v>
      </c>
      <c r="Q48" t="s">
        <v>131</v>
      </c>
      <c r="R48" t="s">
        <v>133</v>
      </c>
      <c r="S48" t="s">
        <v>56</v>
      </c>
      <c r="T48">
        <v>3</v>
      </c>
      <c r="V48">
        <v>1</v>
      </c>
      <c r="W48" t="s">
        <v>57</v>
      </c>
      <c r="AA48" t="s">
        <v>38</v>
      </c>
      <c r="AB48">
        <v>3</v>
      </c>
      <c r="AC48">
        <v>1</v>
      </c>
      <c r="AD48">
        <v>3</v>
      </c>
      <c r="AE48" t="s">
        <v>152</v>
      </c>
      <c r="AF48" t="s">
        <v>70</v>
      </c>
      <c r="AG48" t="s">
        <v>41</v>
      </c>
      <c r="AI48">
        <v>15</v>
      </c>
      <c r="AJ48">
        <v>33</v>
      </c>
    </row>
    <row r="49" spans="1:36" x14ac:dyDescent="0.25">
      <c r="A49" t="s">
        <v>670</v>
      </c>
      <c r="B49">
        <v>47</v>
      </c>
      <c r="C49" t="s">
        <v>53</v>
      </c>
      <c r="D49">
        <v>2</v>
      </c>
      <c r="E49">
        <v>1</v>
      </c>
      <c r="F49">
        <v>1</v>
      </c>
      <c r="G49" t="s">
        <v>54</v>
      </c>
      <c r="H49" t="s">
        <v>113</v>
      </c>
      <c r="K49" t="s">
        <v>33</v>
      </c>
      <c r="L49">
        <v>1</v>
      </c>
      <c r="N49">
        <v>3</v>
      </c>
      <c r="O49" t="s">
        <v>34</v>
      </c>
      <c r="S49" t="s">
        <v>56</v>
      </c>
      <c r="T49">
        <v>3</v>
      </c>
      <c r="V49">
        <v>1</v>
      </c>
      <c r="W49" t="s">
        <v>57</v>
      </c>
      <c r="X49" t="s">
        <v>122</v>
      </c>
      <c r="AA49" t="s">
        <v>227</v>
      </c>
      <c r="AB49">
        <v>3</v>
      </c>
      <c r="AC49">
        <v>1</v>
      </c>
      <c r="AD49">
        <v>2</v>
      </c>
      <c r="AE49" t="s">
        <v>228</v>
      </c>
      <c r="AF49" t="s">
        <v>231</v>
      </c>
      <c r="AI49">
        <v>11</v>
      </c>
      <c r="AJ49">
        <v>33</v>
      </c>
    </row>
    <row r="50" spans="1:36" x14ac:dyDescent="0.25">
      <c r="A50" t="s">
        <v>671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111</v>
      </c>
      <c r="H50" t="s">
        <v>113</v>
      </c>
      <c r="K50" t="s">
        <v>33</v>
      </c>
      <c r="L50">
        <v>2</v>
      </c>
      <c r="N50">
        <v>3</v>
      </c>
      <c r="O50" t="s">
        <v>34</v>
      </c>
      <c r="S50" t="s">
        <v>48</v>
      </c>
      <c r="T50">
        <v>3</v>
      </c>
      <c r="V50">
        <v>1</v>
      </c>
      <c r="W50" t="s">
        <v>89</v>
      </c>
      <c r="X50" t="s">
        <v>84</v>
      </c>
      <c r="AA50" t="s">
        <v>43</v>
      </c>
      <c r="AB50">
        <v>3</v>
      </c>
      <c r="AD50">
        <v>1</v>
      </c>
      <c r="AE50" t="s">
        <v>73</v>
      </c>
      <c r="AI50">
        <v>9</v>
      </c>
      <c r="AJ50">
        <v>27</v>
      </c>
    </row>
    <row r="51" spans="1:36" x14ac:dyDescent="0.25">
      <c r="A51" t="s">
        <v>672</v>
      </c>
      <c r="B51">
        <v>49</v>
      </c>
      <c r="C51" t="s">
        <v>48</v>
      </c>
      <c r="D51">
        <v>3</v>
      </c>
      <c r="F51">
        <v>1</v>
      </c>
      <c r="G51" t="s">
        <v>49</v>
      </c>
      <c r="H51" t="s">
        <v>84</v>
      </c>
      <c r="K51" t="s">
        <v>45</v>
      </c>
      <c r="L51">
        <v>2</v>
      </c>
      <c r="N51">
        <v>1</v>
      </c>
      <c r="O51" t="s">
        <v>86</v>
      </c>
      <c r="P51" t="s">
        <v>141</v>
      </c>
      <c r="Q51" t="s">
        <v>102</v>
      </c>
      <c r="S51" t="s">
        <v>53</v>
      </c>
      <c r="T51">
        <v>3</v>
      </c>
      <c r="U51">
        <v>1</v>
      </c>
      <c r="V51">
        <v>1</v>
      </c>
      <c r="W51" t="s">
        <v>111</v>
      </c>
      <c r="X51" t="s">
        <v>83</v>
      </c>
      <c r="AA51" t="s">
        <v>33</v>
      </c>
      <c r="AB51">
        <v>2</v>
      </c>
      <c r="AD51">
        <v>3</v>
      </c>
      <c r="AE51" t="s">
        <v>65</v>
      </c>
      <c r="AI51">
        <v>12</v>
      </c>
      <c r="AJ51">
        <v>28</v>
      </c>
    </row>
    <row r="52" spans="1:36" x14ac:dyDescent="0.25">
      <c r="A52" t="s">
        <v>673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K52" t="s">
        <v>33</v>
      </c>
      <c r="L52">
        <v>3</v>
      </c>
      <c r="N52">
        <v>3</v>
      </c>
      <c r="O52" t="s">
        <v>46</v>
      </c>
      <c r="S52" t="s">
        <v>48</v>
      </c>
      <c r="T52">
        <v>3</v>
      </c>
      <c r="V52">
        <v>1</v>
      </c>
      <c r="W52" t="s">
        <v>49</v>
      </c>
      <c r="X52" t="s">
        <v>84</v>
      </c>
      <c r="AA52" t="s">
        <v>63</v>
      </c>
      <c r="AB52">
        <v>2</v>
      </c>
      <c r="AD52">
        <v>1</v>
      </c>
      <c r="AE52" t="s">
        <v>103</v>
      </c>
      <c r="AI52">
        <v>8</v>
      </c>
      <c r="AJ52">
        <v>23</v>
      </c>
    </row>
    <row r="53" spans="1:36" x14ac:dyDescent="0.25">
      <c r="A53" t="s">
        <v>674</v>
      </c>
      <c r="B53">
        <v>51</v>
      </c>
      <c r="C53" t="s">
        <v>48</v>
      </c>
      <c r="D53">
        <v>3</v>
      </c>
      <c r="F53">
        <v>1</v>
      </c>
      <c r="G53" t="s">
        <v>49</v>
      </c>
      <c r="H53" t="s">
        <v>71</v>
      </c>
      <c r="K53" t="s">
        <v>38</v>
      </c>
      <c r="L53">
        <v>2</v>
      </c>
      <c r="M53">
        <v>1</v>
      </c>
      <c r="N53">
        <v>1</v>
      </c>
      <c r="O53" t="s">
        <v>152</v>
      </c>
      <c r="P53" t="s">
        <v>70</v>
      </c>
      <c r="S53" t="s">
        <v>53</v>
      </c>
      <c r="T53">
        <v>3</v>
      </c>
      <c r="U53">
        <v>1</v>
      </c>
      <c r="V53">
        <v>1</v>
      </c>
      <c r="W53" t="s">
        <v>54</v>
      </c>
      <c r="X53" t="s">
        <v>83</v>
      </c>
      <c r="AA53" t="s">
        <v>33</v>
      </c>
      <c r="AB53">
        <v>2</v>
      </c>
      <c r="AD53">
        <v>1</v>
      </c>
      <c r="AE53" t="s">
        <v>65</v>
      </c>
      <c r="AF53" t="s">
        <v>35</v>
      </c>
      <c r="AI53">
        <v>11</v>
      </c>
      <c r="AJ53">
        <v>29</v>
      </c>
    </row>
    <row r="54" spans="1:36" x14ac:dyDescent="0.25">
      <c r="A54" t="s">
        <v>675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111</v>
      </c>
      <c r="H54" t="s">
        <v>55</v>
      </c>
      <c r="K54" t="s">
        <v>33</v>
      </c>
      <c r="L54">
        <v>2</v>
      </c>
      <c r="N54">
        <v>3</v>
      </c>
      <c r="O54" t="s">
        <v>65</v>
      </c>
      <c r="P54" t="s">
        <v>35</v>
      </c>
      <c r="Q54" t="s">
        <v>131</v>
      </c>
      <c r="S54" t="s">
        <v>48</v>
      </c>
      <c r="T54">
        <v>3</v>
      </c>
      <c r="V54">
        <v>3</v>
      </c>
      <c r="W54" t="s">
        <v>89</v>
      </c>
      <c r="AA54" t="s">
        <v>227</v>
      </c>
      <c r="AB54">
        <v>2</v>
      </c>
      <c r="AC54">
        <v>1</v>
      </c>
      <c r="AD54">
        <v>1</v>
      </c>
      <c r="AE54" t="s">
        <v>228</v>
      </c>
      <c r="AF54" t="s">
        <v>231</v>
      </c>
      <c r="AI54">
        <v>13</v>
      </c>
      <c r="AJ54">
        <v>30</v>
      </c>
    </row>
    <row r="55" spans="1:36" x14ac:dyDescent="0.25">
      <c r="A55" t="s">
        <v>676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111</v>
      </c>
      <c r="H55" t="s">
        <v>113</v>
      </c>
      <c r="K55" t="s">
        <v>33</v>
      </c>
      <c r="L55">
        <v>2</v>
      </c>
      <c r="N55">
        <v>3</v>
      </c>
      <c r="O55" t="s">
        <v>34</v>
      </c>
      <c r="P55" t="s">
        <v>66</v>
      </c>
      <c r="Q55" t="s">
        <v>36</v>
      </c>
      <c r="S55" t="s">
        <v>43</v>
      </c>
      <c r="T55">
        <v>3</v>
      </c>
      <c r="V55">
        <v>1</v>
      </c>
      <c r="W55" t="s">
        <v>73</v>
      </c>
      <c r="X55" t="s">
        <v>136</v>
      </c>
      <c r="Y55" t="s">
        <v>137</v>
      </c>
      <c r="AA55" t="s">
        <v>45</v>
      </c>
      <c r="AB55">
        <v>3</v>
      </c>
      <c r="AD55">
        <v>1</v>
      </c>
      <c r="AE55" t="s">
        <v>140</v>
      </c>
      <c r="AI55">
        <v>12</v>
      </c>
      <c r="AJ55">
        <v>32</v>
      </c>
    </row>
    <row r="56" spans="1:36" x14ac:dyDescent="0.25">
      <c r="A56" s="36" t="s">
        <v>677</v>
      </c>
      <c r="B56">
        <v>54</v>
      </c>
      <c r="C56" t="s">
        <v>53</v>
      </c>
      <c r="D56">
        <v>1</v>
      </c>
      <c r="E56">
        <v>1</v>
      </c>
      <c r="F56">
        <v>2</v>
      </c>
      <c r="G56" t="s">
        <v>111</v>
      </c>
      <c r="H56" t="s">
        <v>113</v>
      </c>
      <c r="I56" t="s">
        <v>97</v>
      </c>
      <c r="K56" t="s">
        <v>33</v>
      </c>
      <c r="L56">
        <v>2</v>
      </c>
      <c r="N56">
        <v>3</v>
      </c>
      <c r="O56" t="s">
        <v>34</v>
      </c>
      <c r="P56" t="s">
        <v>66</v>
      </c>
      <c r="S56" t="s">
        <v>43</v>
      </c>
      <c r="T56">
        <v>3</v>
      </c>
      <c r="V56">
        <v>1</v>
      </c>
      <c r="W56" t="s">
        <v>73</v>
      </c>
      <c r="X56" t="s">
        <v>136</v>
      </c>
      <c r="AA56" t="s">
        <v>63</v>
      </c>
      <c r="AB56">
        <v>1</v>
      </c>
      <c r="AD56">
        <v>1</v>
      </c>
      <c r="AE56" t="s">
        <v>72</v>
      </c>
      <c r="AF56" t="s">
        <v>95</v>
      </c>
      <c r="AG56" t="s">
        <v>147</v>
      </c>
      <c r="AI56">
        <v>12</v>
      </c>
      <c r="AJ56">
        <v>31</v>
      </c>
    </row>
    <row r="57" spans="1:36" x14ac:dyDescent="0.25">
      <c r="A57" t="s">
        <v>678</v>
      </c>
      <c r="B57">
        <v>55</v>
      </c>
      <c r="C57" t="s">
        <v>43</v>
      </c>
      <c r="D57">
        <v>2</v>
      </c>
      <c r="F57">
        <v>1</v>
      </c>
      <c r="G57" t="s">
        <v>135</v>
      </c>
      <c r="H57" t="s">
        <v>74</v>
      </c>
      <c r="I57" t="s">
        <v>75</v>
      </c>
      <c r="K57" t="s">
        <v>38</v>
      </c>
      <c r="L57">
        <v>1</v>
      </c>
      <c r="M57">
        <v>1</v>
      </c>
      <c r="N57">
        <v>1</v>
      </c>
      <c r="O57" t="s">
        <v>152</v>
      </c>
      <c r="P57" t="s">
        <v>70</v>
      </c>
      <c r="S57" t="s">
        <v>53</v>
      </c>
      <c r="T57">
        <v>2</v>
      </c>
      <c r="U57">
        <v>1</v>
      </c>
      <c r="V57">
        <v>1</v>
      </c>
      <c r="W57" t="s">
        <v>54</v>
      </c>
      <c r="X57" t="s">
        <v>83</v>
      </c>
      <c r="AA57" t="s">
        <v>33</v>
      </c>
      <c r="AB57">
        <v>2</v>
      </c>
      <c r="AD57">
        <v>1</v>
      </c>
      <c r="AE57" t="s">
        <v>65</v>
      </c>
      <c r="AI57">
        <v>7</v>
      </c>
      <c r="AJ57">
        <v>24</v>
      </c>
    </row>
    <row r="58" spans="1:36" x14ac:dyDescent="0.25">
      <c r="A58" t="s">
        <v>679</v>
      </c>
      <c r="B58">
        <v>56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113</v>
      </c>
      <c r="I58" t="s">
        <v>97</v>
      </c>
      <c r="K58" t="s">
        <v>33</v>
      </c>
      <c r="L58">
        <v>2</v>
      </c>
      <c r="N58">
        <v>3</v>
      </c>
      <c r="O58" t="s">
        <v>34</v>
      </c>
      <c r="S58" t="s">
        <v>43</v>
      </c>
      <c r="T58">
        <v>3</v>
      </c>
      <c r="V58">
        <v>1</v>
      </c>
      <c r="W58" t="s">
        <v>73</v>
      </c>
      <c r="AA58" t="s">
        <v>227</v>
      </c>
      <c r="AB58">
        <v>3</v>
      </c>
      <c r="AC58">
        <v>1</v>
      </c>
      <c r="AD58">
        <v>2</v>
      </c>
      <c r="AE58" t="s">
        <v>228</v>
      </c>
      <c r="AF58" t="s">
        <v>231</v>
      </c>
      <c r="AI58">
        <v>11</v>
      </c>
      <c r="AJ58">
        <v>30</v>
      </c>
    </row>
    <row r="59" spans="1:36" x14ac:dyDescent="0.25">
      <c r="A59" t="s">
        <v>680</v>
      </c>
      <c r="B59">
        <v>57</v>
      </c>
      <c r="C59" t="s">
        <v>53</v>
      </c>
      <c r="D59">
        <v>3</v>
      </c>
      <c r="E59">
        <v>1</v>
      </c>
      <c r="F59">
        <v>1</v>
      </c>
      <c r="G59" t="s">
        <v>54</v>
      </c>
      <c r="K59" t="s">
        <v>33</v>
      </c>
      <c r="L59">
        <v>2</v>
      </c>
      <c r="N59">
        <v>2</v>
      </c>
      <c r="O59" t="s">
        <v>34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1</v>
      </c>
      <c r="AD59">
        <v>2</v>
      </c>
      <c r="AE59" t="s">
        <v>103</v>
      </c>
      <c r="AF59" t="s">
        <v>95</v>
      </c>
      <c r="AI59">
        <v>7</v>
      </c>
      <c r="AJ59">
        <v>23</v>
      </c>
    </row>
    <row r="60" spans="1:36" x14ac:dyDescent="0.25">
      <c r="A60" t="s">
        <v>681</v>
      </c>
      <c r="B60">
        <v>58</v>
      </c>
      <c r="C60" t="s">
        <v>53</v>
      </c>
      <c r="D60">
        <v>1</v>
      </c>
      <c r="E60">
        <v>1</v>
      </c>
      <c r="F60">
        <v>1</v>
      </c>
      <c r="G60" t="s">
        <v>54</v>
      </c>
      <c r="H60" t="s">
        <v>113</v>
      </c>
      <c r="K60" t="s">
        <v>33</v>
      </c>
      <c r="L60">
        <v>3</v>
      </c>
      <c r="N60">
        <v>2</v>
      </c>
      <c r="O60" t="s">
        <v>65</v>
      </c>
      <c r="P60" t="s">
        <v>66</v>
      </c>
      <c r="S60" t="s">
        <v>45</v>
      </c>
      <c r="T60">
        <v>3</v>
      </c>
      <c r="V60">
        <v>1</v>
      </c>
      <c r="W60" t="s">
        <v>140</v>
      </c>
      <c r="AA60" t="s">
        <v>38</v>
      </c>
      <c r="AB60">
        <v>1</v>
      </c>
      <c r="AC60">
        <v>1</v>
      </c>
      <c r="AD60">
        <v>2</v>
      </c>
      <c r="AE60" t="s">
        <v>152</v>
      </c>
      <c r="AF60" t="s">
        <v>70</v>
      </c>
      <c r="AG60" t="s">
        <v>153</v>
      </c>
      <c r="AH60" t="s">
        <v>42</v>
      </c>
      <c r="AI60">
        <v>11</v>
      </c>
      <c r="AJ60">
        <v>40</v>
      </c>
    </row>
    <row r="61" spans="1:36" x14ac:dyDescent="0.25">
      <c r="A61" t="s">
        <v>682</v>
      </c>
      <c r="B61">
        <v>59</v>
      </c>
      <c r="C61" t="s">
        <v>45</v>
      </c>
      <c r="D61">
        <v>3</v>
      </c>
      <c r="F61">
        <v>1</v>
      </c>
      <c r="G61" t="s">
        <v>140</v>
      </c>
      <c r="H61" t="s">
        <v>141</v>
      </c>
      <c r="K61" t="s">
        <v>227</v>
      </c>
      <c r="L61">
        <v>3</v>
      </c>
      <c r="M61">
        <v>1</v>
      </c>
      <c r="N61">
        <v>1</v>
      </c>
      <c r="O61" t="s">
        <v>228</v>
      </c>
      <c r="S61" t="s">
        <v>53</v>
      </c>
      <c r="T61">
        <v>1</v>
      </c>
      <c r="U61">
        <v>3</v>
      </c>
      <c r="V61">
        <v>1</v>
      </c>
      <c r="W61" t="s">
        <v>111</v>
      </c>
      <c r="X61" t="s">
        <v>83</v>
      </c>
      <c r="AA61" t="s">
        <v>33</v>
      </c>
      <c r="AB61">
        <v>2</v>
      </c>
      <c r="AD61">
        <v>3</v>
      </c>
      <c r="AE61" t="s">
        <v>65</v>
      </c>
      <c r="AF61" t="s">
        <v>35</v>
      </c>
      <c r="AG61" t="s">
        <v>131</v>
      </c>
      <c r="AI61">
        <v>13</v>
      </c>
      <c r="AJ61">
        <v>31</v>
      </c>
    </row>
    <row r="62" spans="1:36" x14ac:dyDescent="0.25">
      <c r="A62" t="s">
        <v>683</v>
      </c>
      <c r="B62">
        <v>60</v>
      </c>
      <c r="C62" t="s">
        <v>53</v>
      </c>
      <c r="D62">
        <v>1</v>
      </c>
      <c r="E62">
        <v>1</v>
      </c>
      <c r="F62">
        <v>1</v>
      </c>
      <c r="G62" t="s">
        <v>111</v>
      </c>
      <c r="H62" t="s">
        <v>55</v>
      </c>
      <c r="K62" t="s">
        <v>33</v>
      </c>
      <c r="L62">
        <v>2</v>
      </c>
      <c r="N62">
        <v>3</v>
      </c>
      <c r="O62" t="s">
        <v>65</v>
      </c>
      <c r="P62" t="s">
        <v>35</v>
      </c>
      <c r="Q62" t="s">
        <v>131</v>
      </c>
      <c r="S62" t="s">
        <v>63</v>
      </c>
      <c r="T62">
        <v>1</v>
      </c>
      <c r="V62">
        <v>1</v>
      </c>
      <c r="W62" t="s">
        <v>103</v>
      </c>
      <c r="X62" t="s">
        <v>95</v>
      </c>
      <c r="AA62" t="s">
        <v>38</v>
      </c>
      <c r="AB62">
        <v>3</v>
      </c>
      <c r="AC62">
        <v>2</v>
      </c>
      <c r="AD62">
        <v>2</v>
      </c>
      <c r="AE62" t="s">
        <v>152</v>
      </c>
      <c r="AF62" t="s">
        <v>40</v>
      </c>
      <c r="AI62">
        <v>12</v>
      </c>
      <c r="AJ62">
        <v>37</v>
      </c>
    </row>
    <row r="63" spans="1:36" x14ac:dyDescent="0.25">
      <c r="A63" t="s">
        <v>684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54</v>
      </c>
      <c r="H63" t="s">
        <v>83</v>
      </c>
      <c r="K63" t="s">
        <v>33</v>
      </c>
      <c r="L63">
        <v>1</v>
      </c>
      <c r="N63">
        <v>3</v>
      </c>
      <c r="O63" t="s">
        <v>34</v>
      </c>
      <c r="S63" t="s">
        <v>63</v>
      </c>
      <c r="T63">
        <v>3</v>
      </c>
      <c r="V63">
        <v>1</v>
      </c>
      <c r="W63" t="s">
        <v>72</v>
      </c>
      <c r="X63" t="s">
        <v>91</v>
      </c>
      <c r="Y63" t="s">
        <v>104</v>
      </c>
      <c r="AA63" t="s">
        <v>227</v>
      </c>
      <c r="AB63">
        <v>2</v>
      </c>
      <c r="AC63">
        <v>1</v>
      </c>
      <c r="AD63">
        <v>1</v>
      </c>
      <c r="AE63" t="s">
        <v>228</v>
      </c>
      <c r="AI63">
        <v>9</v>
      </c>
      <c r="AJ63">
        <v>28</v>
      </c>
    </row>
    <row r="64" spans="1:36" x14ac:dyDescent="0.25">
      <c r="A64" t="s">
        <v>685</v>
      </c>
      <c r="B64">
        <v>62</v>
      </c>
      <c r="C64" t="s">
        <v>38</v>
      </c>
      <c r="D64">
        <v>1</v>
      </c>
      <c r="E64">
        <v>1</v>
      </c>
      <c r="F64">
        <v>1</v>
      </c>
      <c r="G64" t="s">
        <v>152</v>
      </c>
      <c r="H64" t="s">
        <v>70</v>
      </c>
      <c r="K64" t="s">
        <v>227</v>
      </c>
      <c r="L64">
        <v>2</v>
      </c>
      <c r="M64">
        <v>1</v>
      </c>
      <c r="N64">
        <v>2</v>
      </c>
      <c r="O64" t="s">
        <v>228</v>
      </c>
      <c r="P64" t="s">
        <v>231</v>
      </c>
      <c r="S64" t="s">
        <v>53</v>
      </c>
      <c r="T64">
        <v>2</v>
      </c>
      <c r="U64">
        <v>1</v>
      </c>
      <c r="V64">
        <v>1</v>
      </c>
      <c r="W64" t="s">
        <v>54</v>
      </c>
      <c r="X64" t="s">
        <v>83</v>
      </c>
      <c r="Y64" t="s">
        <v>105</v>
      </c>
      <c r="AA64" t="s">
        <v>33</v>
      </c>
      <c r="AB64">
        <v>2</v>
      </c>
      <c r="AD64">
        <v>1</v>
      </c>
      <c r="AE64" t="s">
        <v>65</v>
      </c>
      <c r="AI64">
        <v>8</v>
      </c>
      <c r="AJ64">
        <v>30</v>
      </c>
    </row>
    <row r="65" spans="1:36" x14ac:dyDescent="0.25">
      <c r="A65" t="s">
        <v>686</v>
      </c>
      <c r="B65">
        <v>63</v>
      </c>
      <c r="C65" t="s">
        <v>56</v>
      </c>
      <c r="D65">
        <v>1</v>
      </c>
      <c r="F65">
        <v>1</v>
      </c>
      <c r="G65" t="s">
        <v>57</v>
      </c>
      <c r="K65" t="s">
        <v>48</v>
      </c>
      <c r="L65">
        <v>3</v>
      </c>
      <c r="N65">
        <v>3</v>
      </c>
      <c r="O65" t="s">
        <v>89</v>
      </c>
      <c r="P65" t="s">
        <v>84</v>
      </c>
      <c r="Q65" t="s">
        <v>127</v>
      </c>
      <c r="R65" t="s">
        <v>129</v>
      </c>
      <c r="S65" t="s">
        <v>53</v>
      </c>
      <c r="T65">
        <v>3</v>
      </c>
      <c r="U65">
        <v>1</v>
      </c>
      <c r="V65">
        <v>1</v>
      </c>
      <c r="W65" t="s">
        <v>54</v>
      </c>
      <c r="X65" t="s">
        <v>83</v>
      </c>
      <c r="AA65" t="s">
        <v>43</v>
      </c>
      <c r="AB65">
        <v>3</v>
      </c>
      <c r="AD65">
        <v>1</v>
      </c>
      <c r="AE65" t="s">
        <v>73</v>
      </c>
      <c r="AF65" t="s">
        <v>99</v>
      </c>
      <c r="AG65" t="s">
        <v>137</v>
      </c>
      <c r="AH65" t="s">
        <v>101</v>
      </c>
      <c r="AI65">
        <v>15</v>
      </c>
      <c r="AJ65">
        <v>35</v>
      </c>
    </row>
    <row r="66" spans="1:36" x14ac:dyDescent="0.25">
      <c r="A66" t="s">
        <v>687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83</v>
      </c>
      <c r="K66" t="s">
        <v>43</v>
      </c>
      <c r="L66">
        <v>1</v>
      </c>
      <c r="N66">
        <v>1</v>
      </c>
      <c r="O66" t="s">
        <v>73</v>
      </c>
      <c r="P66" t="s">
        <v>136</v>
      </c>
      <c r="Q66" t="s">
        <v>100</v>
      </c>
      <c r="R66" t="s">
        <v>138</v>
      </c>
      <c r="S66" t="s">
        <v>56</v>
      </c>
      <c r="T66">
        <v>2</v>
      </c>
      <c r="V66">
        <v>1</v>
      </c>
      <c r="W66" t="s">
        <v>68</v>
      </c>
      <c r="AA66" t="s">
        <v>33</v>
      </c>
      <c r="AB66">
        <v>1</v>
      </c>
      <c r="AD66">
        <v>3</v>
      </c>
      <c r="AE66" t="s">
        <v>34</v>
      </c>
      <c r="AF66" t="s">
        <v>66</v>
      </c>
      <c r="AI66">
        <v>9</v>
      </c>
      <c r="AJ66">
        <v>34</v>
      </c>
    </row>
    <row r="67" spans="1:36" x14ac:dyDescent="0.25">
      <c r="A67" t="s">
        <v>688</v>
      </c>
      <c r="B67">
        <v>65</v>
      </c>
      <c r="C67" t="s">
        <v>56</v>
      </c>
      <c r="D67">
        <v>3</v>
      </c>
      <c r="F67">
        <v>1</v>
      </c>
      <c r="G67" t="s">
        <v>57</v>
      </c>
      <c r="H67" t="s">
        <v>122</v>
      </c>
      <c r="I67" t="s">
        <v>85</v>
      </c>
      <c r="K67" t="s">
        <v>45</v>
      </c>
      <c r="L67">
        <v>3</v>
      </c>
      <c r="N67">
        <v>1</v>
      </c>
      <c r="O67" t="s">
        <v>86</v>
      </c>
      <c r="S67" t="s">
        <v>53</v>
      </c>
      <c r="T67">
        <v>2</v>
      </c>
      <c r="U67">
        <v>3</v>
      </c>
      <c r="V67">
        <v>3</v>
      </c>
      <c r="W67" t="s">
        <v>54</v>
      </c>
      <c r="X67" t="s">
        <v>83</v>
      </c>
      <c r="Y67" t="s">
        <v>97</v>
      </c>
      <c r="AA67" t="s">
        <v>43</v>
      </c>
      <c r="AB67">
        <v>1</v>
      </c>
      <c r="AD67">
        <v>1</v>
      </c>
      <c r="AE67" t="s">
        <v>73</v>
      </c>
      <c r="AI67">
        <v>13</v>
      </c>
      <c r="AJ67">
        <v>30</v>
      </c>
    </row>
    <row r="68" spans="1:36" x14ac:dyDescent="0.25">
      <c r="A68" t="s">
        <v>689</v>
      </c>
      <c r="B68">
        <v>66</v>
      </c>
      <c r="C68" t="s">
        <v>53</v>
      </c>
      <c r="D68">
        <v>2</v>
      </c>
      <c r="E68">
        <v>2</v>
      </c>
      <c r="F68">
        <v>2</v>
      </c>
      <c r="G68" t="s">
        <v>111</v>
      </c>
      <c r="H68" t="s">
        <v>83</v>
      </c>
      <c r="K68" t="s">
        <v>43</v>
      </c>
      <c r="L68">
        <v>1</v>
      </c>
      <c r="N68">
        <v>1</v>
      </c>
      <c r="O68" t="s">
        <v>73</v>
      </c>
      <c r="P68" t="s">
        <v>99</v>
      </c>
      <c r="Q68" t="s">
        <v>75</v>
      </c>
      <c r="R68" t="s">
        <v>101</v>
      </c>
      <c r="S68" t="s">
        <v>56</v>
      </c>
      <c r="T68">
        <v>3</v>
      </c>
      <c r="V68">
        <v>1</v>
      </c>
      <c r="W68" t="s">
        <v>57</v>
      </c>
      <c r="X68" t="s">
        <v>121</v>
      </c>
      <c r="Y68" t="s">
        <v>85</v>
      </c>
      <c r="Z68" t="s">
        <v>125</v>
      </c>
      <c r="AA68" t="s">
        <v>63</v>
      </c>
      <c r="AB68">
        <v>1</v>
      </c>
      <c r="AD68">
        <v>1</v>
      </c>
      <c r="AE68" t="s">
        <v>72</v>
      </c>
      <c r="AF68" t="s">
        <v>95</v>
      </c>
      <c r="AG68" t="s">
        <v>148</v>
      </c>
      <c r="AI68">
        <v>14</v>
      </c>
      <c r="AJ68">
        <v>32</v>
      </c>
    </row>
    <row r="69" spans="1:36" x14ac:dyDescent="0.25">
      <c r="A69" t="s">
        <v>690</v>
      </c>
      <c r="B69">
        <v>67</v>
      </c>
      <c r="C69" t="s">
        <v>53</v>
      </c>
      <c r="D69">
        <v>2</v>
      </c>
      <c r="E69">
        <v>1</v>
      </c>
      <c r="F69">
        <v>1</v>
      </c>
      <c r="G69" t="s">
        <v>54</v>
      </c>
      <c r="K69" t="s">
        <v>43</v>
      </c>
      <c r="L69">
        <v>2</v>
      </c>
      <c r="N69">
        <v>1</v>
      </c>
      <c r="O69" t="s">
        <v>73</v>
      </c>
      <c r="P69" t="s">
        <v>99</v>
      </c>
      <c r="Q69" t="s">
        <v>75</v>
      </c>
      <c r="R69" t="s">
        <v>138</v>
      </c>
      <c r="S69" t="s">
        <v>56</v>
      </c>
      <c r="T69">
        <v>2</v>
      </c>
      <c r="V69">
        <v>1</v>
      </c>
      <c r="W69" t="s">
        <v>57</v>
      </c>
      <c r="X69" t="s">
        <v>122</v>
      </c>
      <c r="AA69" t="s">
        <v>38</v>
      </c>
      <c r="AB69">
        <v>1</v>
      </c>
      <c r="AC69">
        <v>1</v>
      </c>
      <c r="AD69">
        <v>3</v>
      </c>
      <c r="AE69" t="s">
        <v>152</v>
      </c>
      <c r="AF69" t="s">
        <v>70</v>
      </c>
      <c r="AG69" t="s">
        <v>41</v>
      </c>
      <c r="AI69">
        <v>11</v>
      </c>
      <c r="AJ69">
        <v>38</v>
      </c>
    </row>
    <row r="70" spans="1:36" x14ac:dyDescent="0.25">
      <c r="A70" t="s">
        <v>691</v>
      </c>
      <c r="B70">
        <v>68</v>
      </c>
      <c r="C70" t="s">
        <v>53</v>
      </c>
      <c r="D70">
        <v>1</v>
      </c>
      <c r="E70">
        <v>1</v>
      </c>
      <c r="F70">
        <v>1</v>
      </c>
      <c r="G70" t="s">
        <v>54</v>
      </c>
      <c r="H70" t="s">
        <v>113</v>
      </c>
      <c r="I70" t="s">
        <v>114</v>
      </c>
      <c r="J70" t="s">
        <v>116</v>
      </c>
      <c r="K70" t="s">
        <v>43</v>
      </c>
      <c r="L70">
        <v>1</v>
      </c>
      <c r="N70">
        <v>3</v>
      </c>
      <c r="O70" t="s">
        <v>73</v>
      </c>
      <c r="P70" t="s">
        <v>99</v>
      </c>
      <c r="Q70" t="s">
        <v>100</v>
      </c>
      <c r="S70" t="s">
        <v>56</v>
      </c>
      <c r="T70">
        <v>3</v>
      </c>
      <c r="V70">
        <v>2</v>
      </c>
      <c r="W70" t="s">
        <v>57</v>
      </c>
      <c r="X70" t="s">
        <v>121</v>
      </c>
      <c r="Y70" t="s">
        <v>123</v>
      </c>
      <c r="AA70" t="s">
        <v>227</v>
      </c>
      <c r="AB70">
        <v>2</v>
      </c>
      <c r="AC70">
        <v>1</v>
      </c>
      <c r="AD70">
        <v>1</v>
      </c>
      <c r="AE70" t="s">
        <v>228</v>
      </c>
      <c r="AI70">
        <v>13</v>
      </c>
      <c r="AJ70">
        <v>35</v>
      </c>
    </row>
    <row r="71" spans="1:36" x14ac:dyDescent="0.25">
      <c r="A71" t="s">
        <v>692</v>
      </c>
      <c r="B71">
        <v>69</v>
      </c>
      <c r="C71" t="s">
        <v>48</v>
      </c>
      <c r="D71">
        <v>3</v>
      </c>
      <c r="F71">
        <v>1</v>
      </c>
      <c r="G71" t="s">
        <v>89</v>
      </c>
      <c r="H71" t="s">
        <v>71</v>
      </c>
      <c r="K71" t="s">
        <v>33</v>
      </c>
      <c r="L71">
        <v>1</v>
      </c>
      <c r="N71">
        <v>2</v>
      </c>
      <c r="O71" t="s">
        <v>34</v>
      </c>
      <c r="S71" t="s">
        <v>53</v>
      </c>
      <c r="T71">
        <v>3</v>
      </c>
      <c r="U71">
        <v>1</v>
      </c>
      <c r="V71">
        <v>1</v>
      </c>
      <c r="W71" t="s">
        <v>111</v>
      </c>
      <c r="X71" t="s">
        <v>55</v>
      </c>
      <c r="AA71" t="s">
        <v>43</v>
      </c>
      <c r="AB71">
        <v>2</v>
      </c>
      <c r="AD71">
        <v>1</v>
      </c>
      <c r="AE71" t="s">
        <v>73</v>
      </c>
      <c r="AI71">
        <v>8</v>
      </c>
      <c r="AJ71">
        <v>28</v>
      </c>
    </row>
    <row r="72" spans="1:36" x14ac:dyDescent="0.25">
      <c r="A72" t="s">
        <v>693</v>
      </c>
      <c r="B72">
        <v>70</v>
      </c>
      <c r="C72" t="s">
        <v>48</v>
      </c>
      <c r="D72">
        <v>3</v>
      </c>
      <c r="F72">
        <v>3</v>
      </c>
      <c r="G72" t="s">
        <v>49</v>
      </c>
      <c r="H72" t="s">
        <v>84</v>
      </c>
      <c r="I72" t="s">
        <v>90</v>
      </c>
      <c r="J72" t="s">
        <v>52</v>
      </c>
      <c r="K72" t="s">
        <v>45</v>
      </c>
      <c r="L72">
        <v>2</v>
      </c>
      <c r="N72">
        <v>1</v>
      </c>
      <c r="O72" t="s">
        <v>86</v>
      </c>
      <c r="S72" t="s">
        <v>53</v>
      </c>
      <c r="T72">
        <v>2</v>
      </c>
      <c r="U72">
        <v>1</v>
      </c>
      <c r="V72">
        <v>1</v>
      </c>
      <c r="W72" t="s">
        <v>54</v>
      </c>
      <c r="AA72" t="s">
        <v>43</v>
      </c>
      <c r="AB72">
        <v>3</v>
      </c>
      <c r="AD72">
        <v>3</v>
      </c>
      <c r="AE72" t="s">
        <v>73</v>
      </c>
      <c r="AF72" t="s">
        <v>74</v>
      </c>
      <c r="AG72" t="s">
        <v>75</v>
      </c>
      <c r="AH72" t="s">
        <v>101</v>
      </c>
      <c r="AI72">
        <v>17</v>
      </c>
      <c r="AJ72">
        <v>54</v>
      </c>
    </row>
    <row r="73" spans="1:36" x14ac:dyDescent="0.25">
      <c r="A73" t="s">
        <v>694</v>
      </c>
      <c r="B73">
        <v>71</v>
      </c>
      <c r="C73" t="s">
        <v>53</v>
      </c>
      <c r="D73">
        <v>2</v>
      </c>
      <c r="E73">
        <v>1</v>
      </c>
      <c r="F73">
        <v>1</v>
      </c>
      <c r="G73" t="s">
        <v>111</v>
      </c>
      <c r="K73" t="s">
        <v>43</v>
      </c>
      <c r="L73">
        <v>2</v>
      </c>
      <c r="N73">
        <v>1</v>
      </c>
      <c r="O73" t="s">
        <v>73</v>
      </c>
      <c r="P73" t="s">
        <v>99</v>
      </c>
      <c r="Q73" t="s">
        <v>75</v>
      </c>
      <c r="R73" t="s">
        <v>101</v>
      </c>
      <c r="S73" t="s">
        <v>48</v>
      </c>
      <c r="T73">
        <v>3</v>
      </c>
      <c r="V73">
        <v>2</v>
      </c>
      <c r="W73" t="s">
        <v>89</v>
      </c>
      <c r="AA73" t="s">
        <v>63</v>
      </c>
      <c r="AB73">
        <v>2</v>
      </c>
      <c r="AD73">
        <v>1</v>
      </c>
      <c r="AE73" t="s">
        <v>72</v>
      </c>
      <c r="AI73">
        <v>9</v>
      </c>
      <c r="AJ73">
        <v>28</v>
      </c>
    </row>
    <row r="74" spans="1:36" x14ac:dyDescent="0.25">
      <c r="A74" t="s">
        <v>695</v>
      </c>
      <c r="B74">
        <v>72</v>
      </c>
      <c r="C74" t="s">
        <v>48</v>
      </c>
      <c r="D74">
        <v>3</v>
      </c>
      <c r="F74">
        <v>1</v>
      </c>
      <c r="G74" t="s">
        <v>89</v>
      </c>
      <c r="H74" t="s">
        <v>50</v>
      </c>
      <c r="K74" t="s">
        <v>38</v>
      </c>
      <c r="L74">
        <v>1</v>
      </c>
      <c r="M74">
        <v>1</v>
      </c>
      <c r="N74">
        <v>2</v>
      </c>
      <c r="O74" t="s">
        <v>152</v>
      </c>
      <c r="P74" t="s">
        <v>70</v>
      </c>
      <c r="Q74" t="s">
        <v>154</v>
      </c>
      <c r="S74" t="s">
        <v>53</v>
      </c>
      <c r="T74">
        <v>2</v>
      </c>
      <c r="U74">
        <v>1</v>
      </c>
      <c r="V74">
        <v>1</v>
      </c>
      <c r="W74" t="s">
        <v>111</v>
      </c>
      <c r="X74" t="s">
        <v>83</v>
      </c>
      <c r="Y74" t="s">
        <v>105</v>
      </c>
      <c r="AA74" t="s">
        <v>43</v>
      </c>
      <c r="AB74">
        <v>1</v>
      </c>
      <c r="AD74">
        <v>1</v>
      </c>
      <c r="AE74" t="s">
        <v>73</v>
      </c>
      <c r="AI74">
        <v>9</v>
      </c>
      <c r="AJ74">
        <v>31</v>
      </c>
    </row>
    <row r="75" spans="1:36" x14ac:dyDescent="0.25">
      <c r="A75" t="s">
        <v>696</v>
      </c>
      <c r="B75">
        <v>73</v>
      </c>
      <c r="C75" t="s">
        <v>48</v>
      </c>
      <c r="D75">
        <v>2</v>
      </c>
      <c r="F75">
        <v>1</v>
      </c>
      <c r="G75" t="s">
        <v>89</v>
      </c>
      <c r="H75" t="s">
        <v>84</v>
      </c>
      <c r="I75" t="s">
        <v>127</v>
      </c>
      <c r="J75" t="s">
        <v>128</v>
      </c>
      <c r="K75" t="s">
        <v>227</v>
      </c>
      <c r="L75">
        <v>2</v>
      </c>
      <c r="M75">
        <v>1</v>
      </c>
      <c r="N75">
        <v>1</v>
      </c>
      <c r="O75" t="s">
        <v>228</v>
      </c>
      <c r="S75" t="s">
        <v>53</v>
      </c>
      <c r="T75">
        <v>3</v>
      </c>
      <c r="U75">
        <v>2</v>
      </c>
      <c r="V75">
        <v>1</v>
      </c>
      <c r="W75" t="s">
        <v>54</v>
      </c>
      <c r="X75" t="s">
        <v>55</v>
      </c>
      <c r="Y75" t="s">
        <v>97</v>
      </c>
      <c r="AA75" t="s">
        <v>43</v>
      </c>
      <c r="AB75">
        <v>1</v>
      </c>
      <c r="AD75">
        <v>1</v>
      </c>
      <c r="AE75" t="s">
        <v>73</v>
      </c>
      <c r="AF75" t="s">
        <v>99</v>
      </c>
      <c r="AI75">
        <v>11</v>
      </c>
      <c r="AJ75">
        <v>37</v>
      </c>
    </row>
    <row r="76" spans="1:36" x14ac:dyDescent="0.25">
      <c r="A76" t="s">
        <v>697</v>
      </c>
      <c r="B76">
        <v>74</v>
      </c>
      <c r="C76" t="s">
        <v>33</v>
      </c>
      <c r="D76">
        <v>1</v>
      </c>
      <c r="F76">
        <v>2</v>
      </c>
      <c r="G76" t="s">
        <v>34</v>
      </c>
      <c r="K76" t="s">
        <v>45</v>
      </c>
      <c r="L76">
        <v>2</v>
      </c>
      <c r="N76">
        <v>1</v>
      </c>
      <c r="O76" t="s">
        <v>140</v>
      </c>
      <c r="S76" t="s">
        <v>53</v>
      </c>
      <c r="T76">
        <v>3</v>
      </c>
      <c r="U76">
        <v>1</v>
      </c>
      <c r="V76">
        <v>1</v>
      </c>
      <c r="W76" t="s">
        <v>54</v>
      </c>
      <c r="X76" t="s">
        <v>55</v>
      </c>
      <c r="AA76" t="s">
        <v>43</v>
      </c>
      <c r="AB76">
        <v>1</v>
      </c>
      <c r="AD76">
        <v>1</v>
      </c>
      <c r="AE76" t="s">
        <v>73</v>
      </c>
      <c r="AI76">
        <v>5</v>
      </c>
      <c r="AJ76">
        <v>21</v>
      </c>
    </row>
    <row r="77" spans="1:36" x14ac:dyDescent="0.25">
      <c r="A77" t="s">
        <v>698</v>
      </c>
      <c r="B77">
        <v>75</v>
      </c>
      <c r="C77" t="s">
        <v>33</v>
      </c>
      <c r="D77">
        <v>1</v>
      </c>
      <c r="F77">
        <v>3</v>
      </c>
      <c r="G77" t="s">
        <v>34</v>
      </c>
      <c r="K77" t="s">
        <v>63</v>
      </c>
      <c r="L77">
        <v>1</v>
      </c>
      <c r="N77">
        <v>1</v>
      </c>
      <c r="O77" t="s">
        <v>103</v>
      </c>
      <c r="P77" t="s">
        <v>91</v>
      </c>
      <c r="S77" t="s">
        <v>53</v>
      </c>
      <c r="T77">
        <v>2</v>
      </c>
      <c r="U77">
        <v>1</v>
      </c>
      <c r="V77">
        <v>1</v>
      </c>
      <c r="W77" t="s">
        <v>111</v>
      </c>
      <c r="X77" t="s">
        <v>83</v>
      </c>
      <c r="AA77" t="s">
        <v>43</v>
      </c>
      <c r="AB77">
        <v>3</v>
      </c>
      <c r="AD77">
        <v>1</v>
      </c>
      <c r="AE77" t="s">
        <v>73</v>
      </c>
      <c r="AF77" t="s">
        <v>99</v>
      </c>
      <c r="AG77" t="s">
        <v>75</v>
      </c>
      <c r="AI77">
        <v>9</v>
      </c>
      <c r="AJ77">
        <v>29</v>
      </c>
    </row>
    <row r="78" spans="1:36" x14ac:dyDescent="0.25">
      <c r="A78" t="s">
        <v>699</v>
      </c>
      <c r="B78">
        <v>76</v>
      </c>
      <c r="C78" t="s">
        <v>33</v>
      </c>
      <c r="D78">
        <v>3</v>
      </c>
      <c r="F78">
        <v>3</v>
      </c>
      <c r="G78" t="s">
        <v>34</v>
      </c>
      <c r="H78" t="s">
        <v>66</v>
      </c>
      <c r="I78" t="s">
        <v>36</v>
      </c>
      <c r="K78" t="s">
        <v>38</v>
      </c>
      <c r="L78">
        <v>1</v>
      </c>
      <c r="M78">
        <v>1</v>
      </c>
      <c r="N78">
        <v>1</v>
      </c>
      <c r="O78" t="s">
        <v>67</v>
      </c>
      <c r="S78" t="s">
        <v>53</v>
      </c>
      <c r="T78">
        <v>1</v>
      </c>
      <c r="U78">
        <v>1</v>
      </c>
      <c r="V78">
        <v>1</v>
      </c>
      <c r="W78" t="s">
        <v>54</v>
      </c>
      <c r="X78" t="s">
        <v>113</v>
      </c>
      <c r="AA78" t="s">
        <v>43</v>
      </c>
      <c r="AB78">
        <v>2</v>
      </c>
      <c r="AD78">
        <v>2</v>
      </c>
      <c r="AE78" t="s">
        <v>73</v>
      </c>
      <c r="AF78" t="s">
        <v>136</v>
      </c>
      <c r="AG78" t="s">
        <v>137</v>
      </c>
      <c r="AH78" t="s">
        <v>101</v>
      </c>
      <c r="AI78">
        <v>12</v>
      </c>
      <c r="AJ78">
        <v>40</v>
      </c>
    </row>
    <row r="79" spans="1:36" x14ac:dyDescent="0.25">
      <c r="A79" t="s">
        <v>700</v>
      </c>
      <c r="B79">
        <v>77</v>
      </c>
      <c r="C79" t="s">
        <v>53</v>
      </c>
      <c r="D79">
        <v>3</v>
      </c>
      <c r="E79">
        <v>1</v>
      </c>
      <c r="F79">
        <v>1</v>
      </c>
      <c r="G79" t="s">
        <v>111</v>
      </c>
      <c r="H79" t="s">
        <v>83</v>
      </c>
      <c r="I79" t="s">
        <v>114</v>
      </c>
      <c r="K79" t="s">
        <v>43</v>
      </c>
      <c r="L79">
        <v>1</v>
      </c>
      <c r="N79">
        <v>1</v>
      </c>
      <c r="O79" t="s">
        <v>73</v>
      </c>
      <c r="P79" t="s">
        <v>136</v>
      </c>
      <c r="Q79" t="s">
        <v>75</v>
      </c>
      <c r="S79" t="s">
        <v>33</v>
      </c>
      <c r="T79">
        <v>2</v>
      </c>
      <c r="V79">
        <v>2</v>
      </c>
      <c r="W79" t="s">
        <v>34</v>
      </c>
      <c r="AA79" t="s">
        <v>227</v>
      </c>
      <c r="AB79">
        <v>1</v>
      </c>
      <c r="AC79">
        <v>1</v>
      </c>
      <c r="AD79">
        <v>3</v>
      </c>
      <c r="AE79" t="s">
        <v>228</v>
      </c>
      <c r="AF79" t="s">
        <v>231</v>
      </c>
      <c r="AG79" t="s">
        <v>235</v>
      </c>
      <c r="AI79">
        <v>12</v>
      </c>
      <c r="AJ79">
        <v>32</v>
      </c>
    </row>
    <row r="80" spans="1:36" x14ac:dyDescent="0.25">
      <c r="A80" t="s">
        <v>701</v>
      </c>
      <c r="B80">
        <v>78</v>
      </c>
      <c r="C80" t="s">
        <v>45</v>
      </c>
      <c r="D80">
        <v>3</v>
      </c>
      <c r="F80">
        <v>2</v>
      </c>
      <c r="G80" t="s">
        <v>86</v>
      </c>
      <c r="K80" t="s">
        <v>63</v>
      </c>
      <c r="L80">
        <v>2</v>
      </c>
      <c r="N80">
        <v>1</v>
      </c>
      <c r="O80" t="s">
        <v>103</v>
      </c>
      <c r="P80" t="s">
        <v>95</v>
      </c>
      <c r="S80" t="s">
        <v>53</v>
      </c>
      <c r="T80">
        <v>3</v>
      </c>
      <c r="U80">
        <v>1</v>
      </c>
      <c r="V80">
        <v>1</v>
      </c>
      <c r="W80" t="s">
        <v>54</v>
      </c>
      <c r="X80" t="s">
        <v>83</v>
      </c>
      <c r="AA80" t="s">
        <v>43</v>
      </c>
      <c r="AB80">
        <v>2</v>
      </c>
      <c r="AD80">
        <v>2</v>
      </c>
      <c r="AE80" t="s">
        <v>73</v>
      </c>
      <c r="AF80" t="s">
        <v>74</v>
      </c>
      <c r="AG80" t="s">
        <v>100</v>
      </c>
      <c r="AH80" t="s">
        <v>101</v>
      </c>
      <c r="AI80">
        <v>13</v>
      </c>
      <c r="AJ80">
        <v>30</v>
      </c>
    </row>
    <row r="81" spans="1:36" x14ac:dyDescent="0.25">
      <c r="A81" t="s">
        <v>702</v>
      </c>
      <c r="B81">
        <v>79</v>
      </c>
      <c r="C81" t="s">
        <v>53</v>
      </c>
      <c r="D81">
        <v>2</v>
      </c>
      <c r="E81">
        <v>1</v>
      </c>
      <c r="F81">
        <v>1</v>
      </c>
      <c r="G81" t="s">
        <v>111</v>
      </c>
      <c r="H81" t="s">
        <v>55</v>
      </c>
      <c r="K81" t="s">
        <v>43</v>
      </c>
      <c r="L81">
        <v>2</v>
      </c>
      <c r="N81">
        <v>2</v>
      </c>
      <c r="O81" t="s">
        <v>73</v>
      </c>
      <c r="P81" t="s">
        <v>136</v>
      </c>
      <c r="S81" t="s">
        <v>45</v>
      </c>
      <c r="T81">
        <v>2</v>
      </c>
      <c r="V81">
        <v>1</v>
      </c>
      <c r="W81" t="s">
        <v>47</v>
      </c>
      <c r="AA81" t="s">
        <v>38</v>
      </c>
      <c r="AB81">
        <v>1</v>
      </c>
      <c r="AC81">
        <v>1</v>
      </c>
      <c r="AD81">
        <v>2</v>
      </c>
      <c r="AE81" t="s">
        <v>152</v>
      </c>
      <c r="AF81" t="s">
        <v>70</v>
      </c>
      <c r="AG81" t="s">
        <v>41</v>
      </c>
      <c r="AH81" t="s">
        <v>42</v>
      </c>
      <c r="AI81">
        <v>10</v>
      </c>
      <c r="AJ81">
        <v>25</v>
      </c>
    </row>
    <row r="82" spans="1:36" x14ac:dyDescent="0.25">
      <c r="A82" t="s">
        <v>703</v>
      </c>
      <c r="B82">
        <v>80</v>
      </c>
      <c r="C82" t="s">
        <v>45</v>
      </c>
      <c r="D82">
        <v>3</v>
      </c>
      <c r="F82">
        <v>2</v>
      </c>
      <c r="G82" t="s">
        <v>47</v>
      </c>
      <c r="H82" t="s">
        <v>76</v>
      </c>
      <c r="K82" t="s">
        <v>227</v>
      </c>
      <c r="L82">
        <v>2</v>
      </c>
      <c r="M82">
        <v>1</v>
      </c>
      <c r="N82">
        <v>1</v>
      </c>
      <c r="O82" t="s">
        <v>228</v>
      </c>
      <c r="S82" t="s">
        <v>53</v>
      </c>
      <c r="T82">
        <v>3</v>
      </c>
      <c r="U82">
        <v>3</v>
      </c>
      <c r="V82">
        <v>1</v>
      </c>
      <c r="W82" t="s">
        <v>54</v>
      </c>
      <c r="AA82" t="s">
        <v>43</v>
      </c>
      <c r="AB82">
        <v>1</v>
      </c>
      <c r="AD82">
        <v>1</v>
      </c>
      <c r="AE82" t="s">
        <v>73</v>
      </c>
      <c r="AF82" t="s">
        <v>99</v>
      </c>
      <c r="AI82">
        <v>11</v>
      </c>
      <c r="AJ82">
        <v>29</v>
      </c>
    </row>
    <row r="83" spans="1:36" x14ac:dyDescent="0.25">
      <c r="A83" t="s">
        <v>704</v>
      </c>
      <c r="B83">
        <v>81</v>
      </c>
      <c r="C83" t="s">
        <v>63</v>
      </c>
      <c r="D83">
        <v>1</v>
      </c>
      <c r="F83">
        <v>1</v>
      </c>
      <c r="G83" t="s">
        <v>103</v>
      </c>
      <c r="H83" t="s">
        <v>91</v>
      </c>
      <c r="I83" t="s">
        <v>147</v>
      </c>
      <c r="K83" t="s">
        <v>38</v>
      </c>
      <c r="L83">
        <v>1</v>
      </c>
      <c r="M83">
        <v>1</v>
      </c>
      <c r="N83">
        <v>1</v>
      </c>
      <c r="O83" t="s">
        <v>152</v>
      </c>
      <c r="P83" t="s">
        <v>70</v>
      </c>
      <c r="Q83" t="s">
        <v>41</v>
      </c>
      <c r="S83" t="s">
        <v>53</v>
      </c>
      <c r="T83">
        <v>3</v>
      </c>
      <c r="U83">
        <v>1</v>
      </c>
      <c r="V83">
        <v>1</v>
      </c>
      <c r="W83" t="s">
        <v>54</v>
      </c>
      <c r="X83" t="s">
        <v>83</v>
      </c>
      <c r="AA83" t="s">
        <v>43</v>
      </c>
      <c r="AB83">
        <v>1</v>
      </c>
      <c r="AD83">
        <v>1</v>
      </c>
      <c r="AE83" t="s">
        <v>73</v>
      </c>
      <c r="AF83" t="s">
        <v>99</v>
      </c>
      <c r="AI83">
        <v>8</v>
      </c>
      <c r="AJ83">
        <v>31</v>
      </c>
    </row>
    <row r="84" spans="1:36" x14ac:dyDescent="0.25">
      <c r="A84" t="s">
        <v>705</v>
      </c>
      <c r="B84">
        <v>82</v>
      </c>
      <c r="C84" t="s">
        <v>53</v>
      </c>
      <c r="D84">
        <v>2</v>
      </c>
      <c r="E84">
        <v>1</v>
      </c>
      <c r="F84">
        <v>1</v>
      </c>
      <c r="G84" t="s">
        <v>54</v>
      </c>
      <c r="K84" t="s">
        <v>43</v>
      </c>
      <c r="L84">
        <v>1</v>
      </c>
      <c r="N84">
        <v>1</v>
      </c>
      <c r="O84" t="s">
        <v>73</v>
      </c>
      <c r="P84" t="s">
        <v>99</v>
      </c>
      <c r="S84" t="s">
        <v>63</v>
      </c>
      <c r="T84">
        <v>2</v>
      </c>
      <c r="V84">
        <v>1</v>
      </c>
      <c r="W84" t="s">
        <v>103</v>
      </c>
      <c r="X84" t="s">
        <v>91</v>
      </c>
      <c r="Y84" t="s">
        <v>148</v>
      </c>
      <c r="AA84" t="s">
        <v>227</v>
      </c>
      <c r="AB84">
        <v>1</v>
      </c>
      <c r="AC84">
        <v>1</v>
      </c>
      <c r="AD84">
        <v>1</v>
      </c>
      <c r="AE84" t="s">
        <v>228</v>
      </c>
      <c r="AI84">
        <v>5</v>
      </c>
      <c r="AJ84">
        <v>22</v>
      </c>
    </row>
    <row r="85" spans="1:36" x14ac:dyDescent="0.25">
      <c r="A85" t="s">
        <v>706</v>
      </c>
      <c r="B85">
        <v>83</v>
      </c>
      <c r="C85" t="s">
        <v>53</v>
      </c>
      <c r="D85">
        <v>2</v>
      </c>
      <c r="E85">
        <v>1</v>
      </c>
      <c r="F85">
        <v>2</v>
      </c>
      <c r="G85" t="s">
        <v>54</v>
      </c>
      <c r="H85" t="s">
        <v>83</v>
      </c>
      <c r="I85" t="s">
        <v>105</v>
      </c>
      <c r="K85" t="s">
        <v>43</v>
      </c>
      <c r="L85">
        <v>1</v>
      </c>
      <c r="N85">
        <v>1</v>
      </c>
      <c r="O85" t="s">
        <v>73</v>
      </c>
      <c r="P85" t="s">
        <v>99</v>
      </c>
      <c r="S85" t="s">
        <v>38</v>
      </c>
      <c r="T85">
        <v>3</v>
      </c>
      <c r="U85">
        <v>1</v>
      </c>
      <c r="V85">
        <v>1</v>
      </c>
      <c r="W85" t="s">
        <v>152</v>
      </c>
      <c r="X85" t="s">
        <v>96</v>
      </c>
      <c r="Y85" t="s">
        <v>41</v>
      </c>
      <c r="AA85" t="s">
        <v>227</v>
      </c>
      <c r="AB85">
        <v>2</v>
      </c>
      <c r="AC85">
        <v>1</v>
      </c>
      <c r="AD85">
        <v>1</v>
      </c>
      <c r="AE85" t="s">
        <v>228</v>
      </c>
      <c r="AI85">
        <v>10</v>
      </c>
      <c r="AJ85">
        <v>26</v>
      </c>
    </row>
    <row r="86" spans="1:36" x14ac:dyDescent="0.25">
      <c r="A86" t="s">
        <v>707</v>
      </c>
      <c r="B86">
        <v>84</v>
      </c>
      <c r="C86" t="s">
        <v>56</v>
      </c>
      <c r="D86">
        <v>2</v>
      </c>
      <c r="F86">
        <v>1</v>
      </c>
      <c r="G86" t="s">
        <v>57</v>
      </c>
      <c r="H86" t="s">
        <v>122</v>
      </c>
      <c r="K86" t="s">
        <v>48</v>
      </c>
      <c r="L86">
        <v>1</v>
      </c>
      <c r="N86">
        <v>1</v>
      </c>
      <c r="O86" t="s">
        <v>49</v>
      </c>
      <c r="P86" t="s">
        <v>84</v>
      </c>
      <c r="Q86" t="s">
        <v>127</v>
      </c>
      <c r="S86" t="s">
        <v>53</v>
      </c>
      <c r="T86">
        <v>2</v>
      </c>
      <c r="U86">
        <v>3</v>
      </c>
      <c r="V86">
        <v>1</v>
      </c>
      <c r="W86" t="s">
        <v>54</v>
      </c>
      <c r="AA86" t="s">
        <v>45</v>
      </c>
      <c r="AB86">
        <v>3</v>
      </c>
      <c r="AD86">
        <v>1</v>
      </c>
      <c r="AE86" t="s">
        <v>86</v>
      </c>
      <c r="AI86">
        <v>9</v>
      </c>
      <c r="AJ86">
        <v>30</v>
      </c>
    </row>
    <row r="87" spans="1:36" x14ac:dyDescent="0.25">
      <c r="A87" t="s">
        <v>708</v>
      </c>
      <c r="B87">
        <v>85</v>
      </c>
      <c r="C87" t="s">
        <v>53</v>
      </c>
      <c r="D87">
        <v>3</v>
      </c>
      <c r="E87">
        <v>1</v>
      </c>
      <c r="F87">
        <v>1</v>
      </c>
      <c r="G87" t="s">
        <v>54</v>
      </c>
      <c r="H87" t="s">
        <v>55</v>
      </c>
      <c r="I87" t="s">
        <v>114</v>
      </c>
      <c r="K87" t="s">
        <v>45</v>
      </c>
      <c r="L87">
        <v>3</v>
      </c>
      <c r="N87">
        <v>1</v>
      </c>
      <c r="O87" t="s">
        <v>86</v>
      </c>
      <c r="S87" t="s">
        <v>56</v>
      </c>
      <c r="T87">
        <v>1</v>
      </c>
      <c r="V87">
        <v>1</v>
      </c>
      <c r="W87" t="s">
        <v>57</v>
      </c>
      <c r="X87" t="s">
        <v>121</v>
      </c>
      <c r="AA87" t="s">
        <v>33</v>
      </c>
      <c r="AB87">
        <v>2</v>
      </c>
      <c r="AD87">
        <v>3</v>
      </c>
      <c r="AE87" t="s">
        <v>65</v>
      </c>
      <c r="AI87">
        <v>10</v>
      </c>
      <c r="AJ87">
        <v>28</v>
      </c>
    </row>
    <row r="88" spans="1:36" x14ac:dyDescent="0.25">
      <c r="A88" t="s">
        <v>709</v>
      </c>
      <c r="B88">
        <v>86</v>
      </c>
      <c r="C88" t="s">
        <v>53</v>
      </c>
      <c r="D88">
        <v>2</v>
      </c>
      <c r="E88">
        <v>1</v>
      </c>
      <c r="F88">
        <v>1</v>
      </c>
      <c r="G88" t="s">
        <v>54</v>
      </c>
      <c r="H88" t="s">
        <v>113</v>
      </c>
      <c r="I88" t="s">
        <v>105</v>
      </c>
      <c r="K88" t="s">
        <v>45</v>
      </c>
      <c r="L88">
        <v>3</v>
      </c>
      <c r="N88">
        <v>1</v>
      </c>
      <c r="O88" t="s">
        <v>140</v>
      </c>
      <c r="S88" t="s">
        <v>56</v>
      </c>
      <c r="T88">
        <v>3</v>
      </c>
      <c r="V88">
        <v>3</v>
      </c>
      <c r="W88" t="s">
        <v>68</v>
      </c>
      <c r="AA88" t="s">
        <v>43</v>
      </c>
      <c r="AB88">
        <v>2</v>
      </c>
      <c r="AD88">
        <v>1</v>
      </c>
      <c r="AE88" t="s">
        <v>73</v>
      </c>
      <c r="AI88">
        <v>10</v>
      </c>
      <c r="AJ88">
        <v>28</v>
      </c>
    </row>
    <row r="89" spans="1:36" x14ac:dyDescent="0.25">
      <c r="A89" t="s">
        <v>710</v>
      </c>
      <c r="B89">
        <v>87</v>
      </c>
      <c r="C89" t="s">
        <v>53</v>
      </c>
      <c r="D89">
        <v>2</v>
      </c>
      <c r="E89">
        <v>1</v>
      </c>
      <c r="F89">
        <v>1</v>
      </c>
      <c r="G89" t="s">
        <v>54</v>
      </c>
      <c r="H89" t="s">
        <v>83</v>
      </c>
      <c r="K89" t="s">
        <v>45</v>
      </c>
      <c r="L89">
        <v>3</v>
      </c>
      <c r="N89">
        <v>1</v>
      </c>
      <c r="O89" t="s">
        <v>86</v>
      </c>
      <c r="S89" t="s">
        <v>56</v>
      </c>
      <c r="T89">
        <v>3</v>
      </c>
      <c r="V89">
        <v>1</v>
      </c>
      <c r="W89" t="s">
        <v>57</v>
      </c>
      <c r="AA89" t="s">
        <v>63</v>
      </c>
      <c r="AB89">
        <v>2</v>
      </c>
      <c r="AD89">
        <v>1</v>
      </c>
      <c r="AE89" t="s">
        <v>72</v>
      </c>
      <c r="AF89" t="s">
        <v>91</v>
      </c>
      <c r="AI89">
        <v>9</v>
      </c>
      <c r="AJ89">
        <v>23</v>
      </c>
    </row>
    <row r="90" spans="1:36" x14ac:dyDescent="0.25">
      <c r="A90" t="s">
        <v>711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83</v>
      </c>
      <c r="K90" t="s">
        <v>45</v>
      </c>
      <c r="L90">
        <v>3</v>
      </c>
      <c r="N90">
        <v>1</v>
      </c>
      <c r="O90" t="s">
        <v>86</v>
      </c>
      <c r="P90" t="s">
        <v>141</v>
      </c>
      <c r="S90" t="s">
        <v>56</v>
      </c>
      <c r="T90">
        <v>2</v>
      </c>
      <c r="V90">
        <v>2</v>
      </c>
      <c r="W90" t="s">
        <v>57</v>
      </c>
      <c r="X90" t="s">
        <v>69</v>
      </c>
      <c r="AA90" t="s">
        <v>38</v>
      </c>
      <c r="AB90">
        <v>2</v>
      </c>
      <c r="AC90">
        <v>1</v>
      </c>
      <c r="AD90">
        <v>1</v>
      </c>
      <c r="AE90" t="s">
        <v>152</v>
      </c>
      <c r="AI90">
        <v>9</v>
      </c>
      <c r="AJ90">
        <v>23</v>
      </c>
    </row>
    <row r="91" spans="1:36" x14ac:dyDescent="0.25">
      <c r="A91" t="s">
        <v>712</v>
      </c>
      <c r="B91">
        <v>89</v>
      </c>
      <c r="C91" t="s">
        <v>56</v>
      </c>
      <c r="D91">
        <v>1</v>
      </c>
      <c r="F91">
        <v>1</v>
      </c>
      <c r="G91" t="s">
        <v>57</v>
      </c>
      <c r="H91" t="s">
        <v>122</v>
      </c>
      <c r="K91" t="s">
        <v>227</v>
      </c>
      <c r="L91">
        <v>2</v>
      </c>
      <c r="M91">
        <v>1</v>
      </c>
      <c r="N91">
        <v>2</v>
      </c>
      <c r="O91" t="s">
        <v>228</v>
      </c>
      <c r="S91" t="s">
        <v>53</v>
      </c>
      <c r="T91">
        <v>3</v>
      </c>
      <c r="U91">
        <v>1</v>
      </c>
      <c r="V91">
        <v>1</v>
      </c>
      <c r="W91" t="s">
        <v>54</v>
      </c>
      <c r="X91" t="s">
        <v>83</v>
      </c>
      <c r="AA91" t="s">
        <v>45</v>
      </c>
      <c r="AB91">
        <v>2</v>
      </c>
      <c r="AD91">
        <v>1</v>
      </c>
      <c r="AE91" t="s">
        <v>86</v>
      </c>
      <c r="AI91">
        <v>7</v>
      </c>
      <c r="AJ91">
        <v>21</v>
      </c>
    </row>
    <row r="92" spans="1:36" x14ac:dyDescent="0.25">
      <c r="A92" t="s">
        <v>713</v>
      </c>
      <c r="B92">
        <v>90</v>
      </c>
      <c r="C92" t="s">
        <v>48</v>
      </c>
      <c r="D92">
        <v>3</v>
      </c>
      <c r="F92">
        <v>3</v>
      </c>
      <c r="G92" t="s">
        <v>49</v>
      </c>
      <c r="H92" t="s">
        <v>84</v>
      </c>
      <c r="I92" t="s">
        <v>90</v>
      </c>
      <c r="J92" t="s">
        <v>128</v>
      </c>
      <c r="K92" t="s">
        <v>33</v>
      </c>
      <c r="L92">
        <v>1</v>
      </c>
      <c r="N92">
        <v>2</v>
      </c>
      <c r="O92" t="s">
        <v>34</v>
      </c>
      <c r="S92" t="s">
        <v>53</v>
      </c>
      <c r="T92">
        <v>3</v>
      </c>
      <c r="U92">
        <v>1</v>
      </c>
      <c r="V92">
        <v>1</v>
      </c>
      <c r="W92" t="s">
        <v>54</v>
      </c>
      <c r="X92" t="s">
        <v>83</v>
      </c>
      <c r="Y92" t="s">
        <v>105</v>
      </c>
      <c r="Z92" t="s">
        <v>116</v>
      </c>
      <c r="AA92" t="s">
        <v>45</v>
      </c>
      <c r="AB92">
        <v>3</v>
      </c>
      <c r="AD92">
        <v>2</v>
      </c>
      <c r="AE92" t="s">
        <v>140</v>
      </c>
      <c r="AI92">
        <v>16</v>
      </c>
      <c r="AJ92">
        <v>46</v>
      </c>
    </row>
    <row r="93" spans="1:36" x14ac:dyDescent="0.25">
      <c r="A93" t="s">
        <v>714</v>
      </c>
      <c r="B93">
        <v>91</v>
      </c>
      <c r="C93" t="s">
        <v>48</v>
      </c>
      <c r="D93">
        <v>3</v>
      </c>
      <c r="F93">
        <v>3</v>
      </c>
      <c r="G93" t="s">
        <v>49</v>
      </c>
      <c r="H93" t="s">
        <v>84</v>
      </c>
      <c r="I93" t="s">
        <v>90</v>
      </c>
      <c r="J93" t="s">
        <v>129</v>
      </c>
      <c r="K93" t="s">
        <v>43</v>
      </c>
      <c r="L93">
        <v>3</v>
      </c>
      <c r="N93">
        <v>1</v>
      </c>
      <c r="O93" t="s">
        <v>73</v>
      </c>
      <c r="S93" t="s">
        <v>53</v>
      </c>
      <c r="T93">
        <v>1</v>
      </c>
      <c r="U93">
        <v>1</v>
      </c>
      <c r="V93">
        <v>1</v>
      </c>
      <c r="W93" t="s">
        <v>54</v>
      </c>
      <c r="X93" t="s">
        <v>113</v>
      </c>
      <c r="Y93" t="s">
        <v>114</v>
      </c>
      <c r="AA93" t="s">
        <v>45</v>
      </c>
      <c r="AB93">
        <v>3</v>
      </c>
      <c r="AD93">
        <v>3</v>
      </c>
      <c r="AE93" t="s">
        <v>86</v>
      </c>
      <c r="AF93" t="s">
        <v>76</v>
      </c>
      <c r="AG93" t="s">
        <v>102</v>
      </c>
      <c r="AH93" t="s">
        <v>144</v>
      </c>
      <c r="AI93">
        <v>18</v>
      </c>
      <c r="AJ93">
        <v>62</v>
      </c>
    </row>
    <row r="94" spans="1:36" x14ac:dyDescent="0.25">
      <c r="A94" t="s">
        <v>715</v>
      </c>
      <c r="B94">
        <v>92</v>
      </c>
      <c r="C94" t="s">
        <v>53</v>
      </c>
      <c r="D94">
        <v>3</v>
      </c>
      <c r="E94">
        <v>1</v>
      </c>
      <c r="F94">
        <v>1</v>
      </c>
      <c r="G94" t="s">
        <v>54</v>
      </c>
      <c r="H94" t="s">
        <v>83</v>
      </c>
      <c r="K94" t="s">
        <v>45</v>
      </c>
      <c r="L94">
        <v>3</v>
      </c>
      <c r="N94">
        <v>1</v>
      </c>
      <c r="O94" t="s">
        <v>47</v>
      </c>
      <c r="S94" t="s">
        <v>48</v>
      </c>
      <c r="T94">
        <v>3</v>
      </c>
      <c r="V94">
        <v>1</v>
      </c>
      <c r="W94" t="s">
        <v>49</v>
      </c>
      <c r="AA94" t="s">
        <v>63</v>
      </c>
      <c r="AB94">
        <v>2</v>
      </c>
      <c r="AD94">
        <v>1</v>
      </c>
      <c r="AE94" t="s">
        <v>103</v>
      </c>
      <c r="AF94" t="s">
        <v>91</v>
      </c>
      <c r="AG94" t="s">
        <v>147</v>
      </c>
      <c r="AI94">
        <v>10</v>
      </c>
      <c r="AJ94">
        <v>32</v>
      </c>
    </row>
    <row r="95" spans="1:36" x14ac:dyDescent="0.25">
      <c r="A95" t="s">
        <v>716</v>
      </c>
      <c r="B95">
        <v>93</v>
      </c>
      <c r="C95" t="s">
        <v>48</v>
      </c>
      <c r="D95">
        <v>1</v>
      </c>
      <c r="F95">
        <v>3</v>
      </c>
      <c r="G95" t="s">
        <v>49</v>
      </c>
      <c r="H95" t="s">
        <v>84</v>
      </c>
      <c r="I95" t="s">
        <v>90</v>
      </c>
      <c r="J95" t="s">
        <v>52</v>
      </c>
      <c r="K95" t="s">
        <v>38</v>
      </c>
      <c r="L95">
        <v>1</v>
      </c>
      <c r="M95">
        <v>1</v>
      </c>
      <c r="N95">
        <v>1</v>
      </c>
      <c r="O95" t="s">
        <v>152</v>
      </c>
      <c r="P95" t="s">
        <v>70</v>
      </c>
      <c r="S95" t="s">
        <v>53</v>
      </c>
      <c r="T95">
        <v>3</v>
      </c>
      <c r="U95">
        <v>1</v>
      </c>
      <c r="V95">
        <v>1</v>
      </c>
      <c r="W95" t="s">
        <v>54</v>
      </c>
      <c r="AA95" t="s">
        <v>45</v>
      </c>
      <c r="AB95">
        <v>3</v>
      </c>
      <c r="AD95">
        <v>1</v>
      </c>
      <c r="AE95" t="s">
        <v>86</v>
      </c>
      <c r="AF95" t="s">
        <v>76</v>
      </c>
      <c r="AG95" t="s">
        <v>102</v>
      </c>
      <c r="AH95" t="s">
        <v>144</v>
      </c>
      <c r="AI95">
        <v>13</v>
      </c>
      <c r="AJ95">
        <v>36</v>
      </c>
    </row>
    <row r="96" spans="1:36" x14ac:dyDescent="0.25">
      <c r="A96" t="s">
        <v>717</v>
      </c>
      <c r="B96">
        <v>94</v>
      </c>
      <c r="C96" t="s">
        <v>53</v>
      </c>
      <c r="D96">
        <v>3</v>
      </c>
      <c r="E96">
        <v>1</v>
      </c>
      <c r="F96">
        <v>1</v>
      </c>
      <c r="G96" t="s">
        <v>54</v>
      </c>
      <c r="H96" t="s">
        <v>83</v>
      </c>
      <c r="I96" t="s">
        <v>105</v>
      </c>
      <c r="K96" t="s">
        <v>45</v>
      </c>
      <c r="L96">
        <v>2</v>
      </c>
      <c r="N96">
        <v>1</v>
      </c>
      <c r="O96" t="s">
        <v>86</v>
      </c>
      <c r="S96" t="s">
        <v>48</v>
      </c>
      <c r="T96">
        <v>2</v>
      </c>
      <c r="V96">
        <v>1</v>
      </c>
      <c r="W96" t="s">
        <v>49</v>
      </c>
      <c r="X96" t="s">
        <v>84</v>
      </c>
      <c r="Y96" t="s">
        <v>127</v>
      </c>
      <c r="Z96" t="s">
        <v>128</v>
      </c>
      <c r="AA96" t="s">
        <v>227</v>
      </c>
      <c r="AB96">
        <v>2</v>
      </c>
      <c r="AC96">
        <v>1</v>
      </c>
      <c r="AD96">
        <v>2</v>
      </c>
      <c r="AE96" t="s">
        <v>228</v>
      </c>
      <c r="AF96" t="s">
        <v>231</v>
      </c>
      <c r="AI96">
        <v>12</v>
      </c>
      <c r="AJ96">
        <v>28</v>
      </c>
    </row>
    <row r="97" spans="1:36" x14ac:dyDescent="0.25">
      <c r="A97" t="s">
        <v>718</v>
      </c>
      <c r="B97">
        <v>95</v>
      </c>
      <c r="C97" t="s">
        <v>33</v>
      </c>
      <c r="D97">
        <v>2</v>
      </c>
      <c r="F97">
        <v>3</v>
      </c>
      <c r="G97" t="s">
        <v>65</v>
      </c>
      <c r="H97" t="s">
        <v>35</v>
      </c>
      <c r="I97" t="s">
        <v>36</v>
      </c>
      <c r="K97" t="s">
        <v>43</v>
      </c>
      <c r="L97">
        <v>1</v>
      </c>
      <c r="N97">
        <v>1</v>
      </c>
      <c r="O97" t="s">
        <v>73</v>
      </c>
      <c r="P97" t="s">
        <v>136</v>
      </c>
      <c r="S97" t="s">
        <v>53</v>
      </c>
      <c r="T97">
        <v>3</v>
      </c>
      <c r="U97">
        <v>1</v>
      </c>
      <c r="V97">
        <v>1</v>
      </c>
      <c r="W97" t="s">
        <v>111</v>
      </c>
      <c r="AA97" t="s">
        <v>45</v>
      </c>
      <c r="AB97">
        <v>2</v>
      </c>
      <c r="AD97">
        <v>1</v>
      </c>
      <c r="AE97" t="s">
        <v>140</v>
      </c>
      <c r="AI97">
        <v>9</v>
      </c>
      <c r="AJ97">
        <v>24</v>
      </c>
    </row>
    <row r="98" spans="1:36" x14ac:dyDescent="0.25">
      <c r="A98" t="s">
        <v>719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54</v>
      </c>
      <c r="K98" t="s">
        <v>45</v>
      </c>
      <c r="L98">
        <v>3</v>
      </c>
      <c r="N98">
        <v>1</v>
      </c>
      <c r="O98" t="s">
        <v>86</v>
      </c>
      <c r="S98" t="s">
        <v>33</v>
      </c>
      <c r="T98">
        <v>3</v>
      </c>
      <c r="V98">
        <v>3</v>
      </c>
      <c r="W98" t="s">
        <v>65</v>
      </c>
      <c r="AA98" t="s">
        <v>63</v>
      </c>
      <c r="AB98">
        <v>1</v>
      </c>
      <c r="AD98">
        <v>1</v>
      </c>
      <c r="AE98" t="s">
        <v>72</v>
      </c>
      <c r="AI98">
        <v>8</v>
      </c>
      <c r="AJ98">
        <v>23</v>
      </c>
    </row>
    <row r="99" spans="1:36" x14ac:dyDescent="0.25">
      <c r="A99" s="36" t="s">
        <v>720</v>
      </c>
      <c r="B99">
        <v>97</v>
      </c>
      <c r="C99" t="s">
        <v>53</v>
      </c>
      <c r="D99">
        <v>3</v>
      </c>
      <c r="E99">
        <v>1</v>
      </c>
      <c r="F99">
        <v>1</v>
      </c>
      <c r="G99" t="s">
        <v>54</v>
      </c>
      <c r="K99" t="s">
        <v>45</v>
      </c>
      <c r="L99">
        <v>3</v>
      </c>
      <c r="N99">
        <v>1</v>
      </c>
      <c r="O99" t="s">
        <v>140</v>
      </c>
      <c r="S99" t="s">
        <v>33</v>
      </c>
      <c r="T99">
        <v>2</v>
      </c>
      <c r="V99">
        <v>3</v>
      </c>
      <c r="W99" t="s">
        <v>65</v>
      </c>
      <c r="X99" t="s">
        <v>35</v>
      </c>
      <c r="AA99" t="s">
        <v>38</v>
      </c>
      <c r="AB99">
        <v>1</v>
      </c>
      <c r="AC99">
        <v>2</v>
      </c>
      <c r="AD99">
        <v>1</v>
      </c>
      <c r="AE99" t="s">
        <v>67</v>
      </c>
      <c r="AF99" t="s">
        <v>40</v>
      </c>
      <c r="AI99">
        <v>10</v>
      </c>
      <c r="AJ99">
        <v>24</v>
      </c>
    </row>
    <row r="100" spans="1:36" x14ac:dyDescent="0.25">
      <c r="A100" t="s">
        <v>721</v>
      </c>
      <c r="B100">
        <v>98</v>
      </c>
      <c r="C100" t="s">
        <v>53</v>
      </c>
      <c r="D100">
        <v>1</v>
      </c>
      <c r="E100">
        <v>1</v>
      </c>
      <c r="F100">
        <v>1</v>
      </c>
      <c r="G100" t="s">
        <v>54</v>
      </c>
      <c r="H100" t="s">
        <v>113</v>
      </c>
      <c r="I100" t="s">
        <v>105</v>
      </c>
      <c r="K100" t="s">
        <v>45</v>
      </c>
      <c r="L100">
        <v>3</v>
      </c>
      <c r="N100">
        <v>1</v>
      </c>
      <c r="O100" t="s">
        <v>86</v>
      </c>
      <c r="P100" t="s">
        <v>141</v>
      </c>
      <c r="S100" t="s">
        <v>33</v>
      </c>
      <c r="T100">
        <v>3</v>
      </c>
      <c r="V100">
        <v>3</v>
      </c>
      <c r="W100" t="s">
        <v>34</v>
      </c>
      <c r="AA100" t="s">
        <v>227</v>
      </c>
      <c r="AB100">
        <v>2</v>
      </c>
      <c r="AC100">
        <v>1</v>
      </c>
      <c r="AD100">
        <v>2</v>
      </c>
      <c r="AE100" t="s">
        <v>228</v>
      </c>
      <c r="AI100">
        <v>11</v>
      </c>
      <c r="AJ100">
        <v>31</v>
      </c>
    </row>
    <row r="101" spans="1:36" x14ac:dyDescent="0.25">
      <c r="A101" t="s">
        <v>722</v>
      </c>
      <c r="B101">
        <v>99</v>
      </c>
      <c r="C101" t="s">
        <v>53</v>
      </c>
      <c r="D101">
        <v>1</v>
      </c>
      <c r="E101">
        <v>1</v>
      </c>
      <c r="F101">
        <v>1</v>
      </c>
      <c r="G101" t="s">
        <v>54</v>
      </c>
      <c r="H101" t="s">
        <v>113</v>
      </c>
      <c r="K101" t="s">
        <v>45</v>
      </c>
      <c r="L101">
        <v>3</v>
      </c>
      <c r="N101">
        <v>1</v>
      </c>
      <c r="O101" t="s">
        <v>47</v>
      </c>
      <c r="S101" t="s">
        <v>43</v>
      </c>
      <c r="T101">
        <v>1</v>
      </c>
      <c r="V101">
        <v>1</v>
      </c>
      <c r="W101" t="s">
        <v>73</v>
      </c>
      <c r="X101" t="s">
        <v>99</v>
      </c>
      <c r="Y101" t="s">
        <v>75</v>
      </c>
      <c r="AA101" t="s">
        <v>63</v>
      </c>
      <c r="AB101">
        <v>2</v>
      </c>
      <c r="AD101">
        <v>1</v>
      </c>
      <c r="AE101" t="s">
        <v>72</v>
      </c>
      <c r="AF101" t="s">
        <v>91</v>
      </c>
      <c r="AG101" t="s">
        <v>147</v>
      </c>
      <c r="AI101">
        <v>8</v>
      </c>
      <c r="AJ101">
        <v>27</v>
      </c>
    </row>
    <row r="102" spans="1:36" x14ac:dyDescent="0.25">
      <c r="A102" t="s">
        <v>723</v>
      </c>
      <c r="B102">
        <v>100</v>
      </c>
      <c r="C102" t="s">
        <v>43</v>
      </c>
      <c r="D102">
        <v>1</v>
      </c>
      <c r="F102">
        <v>1</v>
      </c>
      <c r="G102" t="s">
        <v>73</v>
      </c>
      <c r="H102" t="s">
        <v>74</v>
      </c>
      <c r="I102" t="s">
        <v>100</v>
      </c>
      <c r="J102" t="s">
        <v>139</v>
      </c>
      <c r="K102" t="s">
        <v>38</v>
      </c>
      <c r="L102">
        <v>1</v>
      </c>
      <c r="M102">
        <v>1</v>
      </c>
      <c r="N102">
        <v>2</v>
      </c>
      <c r="O102" t="s">
        <v>152</v>
      </c>
      <c r="S102" t="s">
        <v>53</v>
      </c>
      <c r="T102">
        <v>1</v>
      </c>
      <c r="U102">
        <v>1</v>
      </c>
      <c r="V102">
        <v>2</v>
      </c>
      <c r="W102" t="s">
        <v>111</v>
      </c>
      <c r="X102" t="s">
        <v>83</v>
      </c>
      <c r="Y102" t="s">
        <v>105</v>
      </c>
      <c r="AA102" t="s">
        <v>45</v>
      </c>
      <c r="AB102">
        <v>3</v>
      </c>
      <c r="AD102">
        <v>1</v>
      </c>
      <c r="AE102" t="s">
        <v>86</v>
      </c>
      <c r="AI102">
        <v>9</v>
      </c>
      <c r="AJ102">
        <v>28</v>
      </c>
    </row>
    <row r="103" spans="1:36" x14ac:dyDescent="0.25">
      <c r="A103" t="s">
        <v>724</v>
      </c>
      <c r="B103">
        <v>101</v>
      </c>
      <c r="C103" t="s">
        <v>53</v>
      </c>
      <c r="D103">
        <v>2</v>
      </c>
      <c r="E103">
        <v>1</v>
      </c>
      <c r="F103">
        <v>1</v>
      </c>
      <c r="G103" t="s">
        <v>54</v>
      </c>
      <c r="H103" t="s">
        <v>83</v>
      </c>
      <c r="I103" t="s">
        <v>105</v>
      </c>
      <c r="K103" t="s">
        <v>45</v>
      </c>
      <c r="L103">
        <v>3</v>
      </c>
      <c r="N103">
        <v>1</v>
      </c>
      <c r="O103" t="s">
        <v>47</v>
      </c>
      <c r="S103" t="s">
        <v>43</v>
      </c>
      <c r="T103">
        <v>1</v>
      </c>
      <c r="V103">
        <v>2</v>
      </c>
      <c r="W103" t="s">
        <v>73</v>
      </c>
      <c r="X103" t="s">
        <v>99</v>
      </c>
      <c r="Y103" t="s">
        <v>75</v>
      </c>
      <c r="Z103" t="s">
        <v>101</v>
      </c>
      <c r="AA103" t="s">
        <v>227</v>
      </c>
      <c r="AB103">
        <v>2</v>
      </c>
      <c r="AC103">
        <v>1</v>
      </c>
      <c r="AD103">
        <v>1</v>
      </c>
      <c r="AE103" t="s">
        <v>228</v>
      </c>
      <c r="AI103">
        <v>10</v>
      </c>
      <c r="AJ103">
        <v>30</v>
      </c>
    </row>
    <row r="104" spans="1:36" x14ac:dyDescent="0.25">
      <c r="A104" t="s">
        <v>725</v>
      </c>
      <c r="B104">
        <v>102</v>
      </c>
      <c r="C104" t="s">
        <v>53</v>
      </c>
      <c r="D104">
        <v>2</v>
      </c>
      <c r="E104">
        <v>1</v>
      </c>
      <c r="F104">
        <v>1</v>
      </c>
      <c r="G104" t="s">
        <v>54</v>
      </c>
      <c r="H104" t="s">
        <v>83</v>
      </c>
      <c r="I104" t="s">
        <v>97</v>
      </c>
      <c r="K104" t="s">
        <v>45</v>
      </c>
      <c r="L104">
        <v>3</v>
      </c>
      <c r="N104">
        <v>1</v>
      </c>
      <c r="O104" t="s">
        <v>86</v>
      </c>
      <c r="S104" t="s">
        <v>63</v>
      </c>
      <c r="T104">
        <v>1</v>
      </c>
      <c r="V104">
        <v>1</v>
      </c>
      <c r="W104" t="s">
        <v>103</v>
      </c>
      <c r="X104" t="s">
        <v>91</v>
      </c>
      <c r="AA104" t="s">
        <v>38</v>
      </c>
      <c r="AB104">
        <v>3</v>
      </c>
      <c r="AC104">
        <v>1</v>
      </c>
      <c r="AD104">
        <v>2</v>
      </c>
      <c r="AE104" t="s">
        <v>152</v>
      </c>
      <c r="AF104" t="s">
        <v>96</v>
      </c>
      <c r="AI104">
        <v>10</v>
      </c>
      <c r="AJ104">
        <v>33</v>
      </c>
    </row>
    <row r="105" spans="1:36" x14ac:dyDescent="0.25">
      <c r="A105" t="s">
        <v>726</v>
      </c>
      <c r="B105">
        <v>103</v>
      </c>
      <c r="C105" t="s">
        <v>63</v>
      </c>
      <c r="D105">
        <v>2</v>
      </c>
      <c r="F105">
        <v>1</v>
      </c>
      <c r="G105" t="s">
        <v>103</v>
      </c>
      <c r="K105" t="s">
        <v>227</v>
      </c>
      <c r="L105">
        <v>2</v>
      </c>
      <c r="M105">
        <v>1</v>
      </c>
      <c r="N105">
        <v>2</v>
      </c>
      <c r="O105" t="s">
        <v>228</v>
      </c>
      <c r="P105" t="s">
        <v>231</v>
      </c>
      <c r="S105" t="s">
        <v>53</v>
      </c>
      <c r="T105">
        <v>2</v>
      </c>
      <c r="U105">
        <v>1</v>
      </c>
      <c r="V105">
        <v>1</v>
      </c>
      <c r="W105" t="s">
        <v>54</v>
      </c>
      <c r="X105" t="s">
        <v>83</v>
      </c>
      <c r="Y105" t="s">
        <v>105</v>
      </c>
      <c r="AA105" t="s">
        <v>45</v>
      </c>
      <c r="AB105">
        <v>3</v>
      </c>
      <c r="AD105">
        <v>1</v>
      </c>
      <c r="AE105" t="s">
        <v>86</v>
      </c>
      <c r="AI105">
        <v>9</v>
      </c>
      <c r="AJ105">
        <v>27</v>
      </c>
    </row>
    <row r="106" spans="1:36" x14ac:dyDescent="0.25">
      <c r="A106" t="s">
        <v>727</v>
      </c>
      <c r="B106">
        <v>104</v>
      </c>
      <c r="C106" t="s">
        <v>38</v>
      </c>
      <c r="D106">
        <v>1</v>
      </c>
      <c r="E106">
        <v>1</v>
      </c>
      <c r="F106">
        <v>2</v>
      </c>
      <c r="G106" t="s">
        <v>152</v>
      </c>
      <c r="K106" t="s">
        <v>227</v>
      </c>
      <c r="L106">
        <v>2</v>
      </c>
      <c r="M106">
        <v>1</v>
      </c>
      <c r="N106">
        <v>1</v>
      </c>
      <c r="O106" t="s">
        <v>228</v>
      </c>
      <c r="P106" t="s">
        <v>231</v>
      </c>
      <c r="Q106" t="s">
        <v>235</v>
      </c>
      <c r="S106" t="s">
        <v>53</v>
      </c>
      <c r="T106">
        <v>3</v>
      </c>
      <c r="U106">
        <v>1</v>
      </c>
      <c r="V106">
        <v>1</v>
      </c>
      <c r="W106" t="s">
        <v>54</v>
      </c>
      <c r="X106" t="s">
        <v>83</v>
      </c>
      <c r="AA106" t="s">
        <v>45</v>
      </c>
      <c r="AB106">
        <v>1</v>
      </c>
      <c r="AD106">
        <v>1</v>
      </c>
      <c r="AE106" t="s">
        <v>47</v>
      </c>
      <c r="AI106">
        <v>7</v>
      </c>
      <c r="AJ106">
        <v>29</v>
      </c>
    </row>
    <row r="107" spans="1:36" x14ac:dyDescent="0.25">
      <c r="A107" t="s">
        <v>728</v>
      </c>
      <c r="B107">
        <v>105</v>
      </c>
      <c r="C107" t="s">
        <v>56</v>
      </c>
      <c r="D107">
        <v>2</v>
      </c>
      <c r="F107">
        <v>1</v>
      </c>
      <c r="G107" t="s">
        <v>57</v>
      </c>
      <c r="H107" t="s">
        <v>122</v>
      </c>
      <c r="I107" t="s">
        <v>85</v>
      </c>
      <c r="K107" t="s">
        <v>48</v>
      </c>
      <c r="L107">
        <v>3</v>
      </c>
      <c r="N107">
        <v>1</v>
      </c>
      <c r="O107" t="s">
        <v>49</v>
      </c>
      <c r="S107" t="s">
        <v>53</v>
      </c>
      <c r="T107">
        <v>2</v>
      </c>
      <c r="U107">
        <v>1</v>
      </c>
      <c r="V107">
        <v>1</v>
      </c>
      <c r="W107" t="s">
        <v>54</v>
      </c>
      <c r="AA107" t="s">
        <v>63</v>
      </c>
      <c r="AB107">
        <v>1</v>
      </c>
      <c r="AD107">
        <v>1</v>
      </c>
      <c r="AE107" t="s">
        <v>103</v>
      </c>
      <c r="AF107" t="s">
        <v>91</v>
      </c>
      <c r="AG107" t="s">
        <v>147</v>
      </c>
      <c r="AH107" t="s">
        <v>150</v>
      </c>
      <c r="AI107">
        <v>9</v>
      </c>
      <c r="AJ107">
        <v>23</v>
      </c>
    </row>
    <row r="108" spans="1:36" x14ac:dyDescent="0.25">
      <c r="A108" t="s">
        <v>729</v>
      </c>
      <c r="B108">
        <v>106</v>
      </c>
      <c r="C108" t="s">
        <v>56</v>
      </c>
      <c r="D108">
        <v>2</v>
      </c>
      <c r="F108">
        <v>1</v>
      </c>
      <c r="G108" t="s">
        <v>57</v>
      </c>
      <c r="H108" t="s">
        <v>122</v>
      </c>
      <c r="I108" t="s">
        <v>85</v>
      </c>
      <c r="K108" t="s">
        <v>33</v>
      </c>
      <c r="L108">
        <v>1</v>
      </c>
      <c r="N108">
        <v>3</v>
      </c>
      <c r="O108" t="s">
        <v>34</v>
      </c>
      <c r="S108" t="s">
        <v>53</v>
      </c>
      <c r="T108">
        <v>2</v>
      </c>
      <c r="U108">
        <v>1</v>
      </c>
      <c r="V108">
        <v>2</v>
      </c>
      <c r="W108" t="s">
        <v>54</v>
      </c>
      <c r="AA108" t="s">
        <v>63</v>
      </c>
      <c r="AB108">
        <v>2</v>
      </c>
      <c r="AD108">
        <v>1</v>
      </c>
      <c r="AE108" t="s">
        <v>72</v>
      </c>
      <c r="AF108" t="s">
        <v>91</v>
      </c>
      <c r="AG108" t="s">
        <v>147</v>
      </c>
      <c r="AI108">
        <v>10</v>
      </c>
      <c r="AJ108">
        <v>30</v>
      </c>
    </row>
    <row r="109" spans="1:36" x14ac:dyDescent="0.25">
      <c r="A109" t="s">
        <v>730</v>
      </c>
      <c r="B109">
        <v>107</v>
      </c>
      <c r="C109" t="s">
        <v>53</v>
      </c>
      <c r="D109">
        <v>2</v>
      </c>
      <c r="E109">
        <v>1</v>
      </c>
      <c r="F109">
        <v>2</v>
      </c>
      <c r="G109" t="s">
        <v>54</v>
      </c>
      <c r="H109" t="s">
        <v>83</v>
      </c>
      <c r="I109" t="s">
        <v>97</v>
      </c>
      <c r="K109" t="s">
        <v>63</v>
      </c>
      <c r="L109">
        <v>1</v>
      </c>
      <c r="N109">
        <v>1</v>
      </c>
      <c r="O109" t="s">
        <v>72</v>
      </c>
      <c r="P109" t="s">
        <v>146</v>
      </c>
      <c r="S109" t="s">
        <v>56</v>
      </c>
      <c r="T109">
        <v>2</v>
      </c>
      <c r="V109">
        <v>1</v>
      </c>
      <c r="W109" t="s">
        <v>57</v>
      </c>
      <c r="X109" t="s">
        <v>122</v>
      </c>
      <c r="Y109" t="s">
        <v>85</v>
      </c>
      <c r="AA109" t="s">
        <v>43</v>
      </c>
      <c r="AB109">
        <v>1</v>
      </c>
      <c r="AD109">
        <v>2</v>
      </c>
      <c r="AE109" t="s">
        <v>73</v>
      </c>
      <c r="AF109" t="s">
        <v>74</v>
      </c>
      <c r="AG109" t="s">
        <v>75</v>
      </c>
      <c r="AH109" t="s">
        <v>101</v>
      </c>
      <c r="AI109">
        <v>12</v>
      </c>
      <c r="AJ109">
        <v>35</v>
      </c>
    </row>
    <row r="110" spans="1:36" x14ac:dyDescent="0.25">
      <c r="A110" t="s">
        <v>731</v>
      </c>
      <c r="B110">
        <v>108</v>
      </c>
      <c r="C110" t="s">
        <v>56</v>
      </c>
      <c r="D110">
        <v>2</v>
      </c>
      <c r="F110">
        <v>1</v>
      </c>
      <c r="G110" t="s">
        <v>57</v>
      </c>
      <c r="K110" t="s">
        <v>45</v>
      </c>
      <c r="L110">
        <v>3</v>
      </c>
      <c r="N110">
        <v>1</v>
      </c>
      <c r="O110" t="s">
        <v>47</v>
      </c>
      <c r="S110" t="s">
        <v>53</v>
      </c>
      <c r="T110">
        <v>2</v>
      </c>
      <c r="U110">
        <v>1</v>
      </c>
      <c r="V110">
        <v>1</v>
      </c>
      <c r="W110" t="s">
        <v>54</v>
      </c>
      <c r="X110" t="s">
        <v>83</v>
      </c>
      <c r="AA110" t="s">
        <v>63</v>
      </c>
      <c r="AB110">
        <v>2</v>
      </c>
      <c r="AD110">
        <v>1</v>
      </c>
      <c r="AE110" t="s">
        <v>72</v>
      </c>
      <c r="AF110" t="s">
        <v>146</v>
      </c>
      <c r="AI110">
        <v>7</v>
      </c>
      <c r="AJ110">
        <v>22</v>
      </c>
    </row>
    <row r="111" spans="1:36" x14ac:dyDescent="0.25">
      <c r="A111" t="s">
        <v>732</v>
      </c>
      <c r="B111">
        <v>109</v>
      </c>
      <c r="C111" t="s">
        <v>56</v>
      </c>
      <c r="D111">
        <v>3</v>
      </c>
      <c r="F111">
        <v>1</v>
      </c>
      <c r="G111" t="s">
        <v>57</v>
      </c>
      <c r="H111" t="s">
        <v>122</v>
      </c>
      <c r="I111" t="s">
        <v>85</v>
      </c>
      <c r="K111" t="s">
        <v>38</v>
      </c>
      <c r="L111">
        <v>1</v>
      </c>
      <c r="M111">
        <v>1</v>
      </c>
      <c r="N111">
        <v>1</v>
      </c>
      <c r="O111" t="s">
        <v>152</v>
      </c>
      <c r="P111" t="s">
        <v>70</v>
      </c>
      <c r="S111" t="s">
        <v>53</v>
      </c>
      <c r="T111">
        <v>2</v>
      </c>
      <c r="U111">
        <v>1</v>
      </c>
      <c r="V111">
        <v>3</v>
      </c>
      <c r="W111" t="s">
        <v>54</v>
      </c>
      <c r="X111" t="s">
        <v>83</v>
      </c>
      <c r="AA111" t="s">
        <v>63</v>
      </c>
      <c r="AB111">
        <v>1</v>
      </c>
      <c r="AD111">
        <v>1</v>
      </c>
      <c r="AE111" t="s">
        <v>103</v>
      </c>
      <c r="AF111" t="s">
        <v>95</v>
      </c>
      <c r="AI111">
        <v>10</v>
      </c>
      <c r="AJ111">
        <v>33</v>
      </c>
    </row>
    <row r="112" spans="1:36" x14ac:dyDescent="0.25">
      <c r="A112" t="s">
        <v>733</v>
      </c>
      <c r="B112">
        <v>110</v>
      </c>
      <c r="C112" t="s">
        <v>53</v>
      </c>
      <c r="D112">
        <v>2</v>
      </c>
      <c r="E112">
        <v>1</v>
      </c>
      <c r="F112">
        <v>1</v>
      </c>
      <c r="G112" t="s">
        <v>54</v>
      </c>
      <c r="K112" t="s">
        <v>63</v>
      </c>
      <c r="L112">
        <v>2</v>
      </c>
      <c r="N112">
        <v>1</v>
      </c>
      <c r="O112" t="s">
        <v>103</v>
      </c>
      <c r="P112" t="s">
        <v>95</v>
      </c>
      <c r="Q112" t="s">
        <v>104</v>
      </c>
      <c r="S112" t="s">
        <v>56</v>
      </c>
      <c r="T112">
        <v>2</v>
      </c>
      <c r="V112">
        <v>1</v>
      </c>
      <c r="W112" t="s">
        <v>57</v>
      </c>
      <c r="X112" t="s">
        <v>122</v>
      </c>
      <c r="Y112" t="s">
        <v>85</v>
      </c>
      <c r="AA112" t="s">
        <v>227</v>
      </c>
      <c r="AB112">
        <v>1</v>
      </c>
      <c r="AC112">
        <v>1</v>
      </c>
      <c r="AD112">
        <v>1</v>
      </c>
      <c r="AE112" t="s">
        <v>228</v>
      </c>
      <c r="AF112" t="s">
        <v>231</v>
      </c>
      <c r="AI112">
        <v>8</v>
      </c>
      <c r="AJ112">
        <v>22</v>
      </c>
    </row>
    <row r="113" spans="1:36" x14ac:dyDescent="0.25">
      <c r="A113" t="s">
        <v>734</v>
      </c>
      <c r="B113">
        <v>111</v>
      </c>
      <c r="C113" t="s">
        <v>48</v>
      </c>
      <c r="D113">
        <v>1</v>
      </c>
      <c r="F113">
        <v>1</v>
      </c>
      <c r="G113" t="s">
        <v>49</v>
      </c>
      <c r="H113" t="s">
        <v>84</v>
      </c>
      <c r="I113" t="s">
        <v>127</v>
      </c>
      <c r="K113" t="s">
        <v>33</v>
      </c>
      <c r="L113">
        <v>1</v>
      </c>
      <c r="N113">
        <v>3</v>
      </c>
      <c r="O113" t="s">
        <v>34</v>
      </c>
      <c r="P113" t="s">
        <v>66</v>
      </c>
      <c r="S113" t="s">
        <v>53</v>
      </c>
      <c r="T113">
        <v>2</v>
      </c>
      <c r="U113">
        <v>1</v>
      </c>
      <c r="V113">
        <v>1</v>
      </c>
      <c r="W113" t="s">
        <v>111</v>
      </c>
      <c r="AA113" t="s">
        <v>63</v>
      </c>
      <c r="AB113">
        <v>1</v>
      </c>
      <c r="AD113">
        <v>1</v>
      </c>
      <c r="AE113" t="s">
        <v>72</v>
      </c>
      <c r="AF113" t="s">
        <v>95</v>
      </c>
      <c r="AI113">
        <v>7</v>
      </c>
      <c r="AJ113">
        <v>22</v>
      </c>
    </row>
    <row r="114" spans="1:36" x14ac:dyDescent="0.25">
      <c r="A114" t="s">
        <v>735</v>
      </c>
      <c r="B114">
        <v>112</v>
      </c>
      <c r="C114" t="s">
        <v>48</v>
      </c>
      <c r="D114">
        <v>3</v>
      </c>
      <c r="F114">
        <v>1</v>
      </c>
      <c r="G114" t="s">
        <v>49</v>
      </c>
      <c r="H114" t="s">
        <v>71</v>
      </c>
      <c r="I114" t="s">
        <v>127</v>
      </c>
      <c r="K114" t="s">
        <v>43</v>
      </c>
      <c r="L114">
        <v>1</v>
      </c>
      <c r="N114">
        <v>1</v>
      </c>
      <c r="O114" t="s">
        <v>73</v>
      </c>
      <c r="P114" t="s">
        <v>99</v>
      </c>
      <c r="S114" t="s">
        <v>53</v>
      </c>
      <c r="T114">
        <v>3</v>
      </c>
      <c r="U114">
        <v>1</v>
      </c>
      <c r="V114">
        <v>1</v>
      </c>
      <c r="W114" t="s">
        <v>54</v>
      </c>
      <c r="X114" t="s">
        <v>83</v>
      </c>
      <c r="Y114" t="s">
        <v>97</v>
      </c>
      <c r="AA114" t="s">
        <v>63</v>
      </c>
      <c r="AB114">
        <v>2</v>
      </c>
      <c r="AD114">
        <v>1</v>
      </c>
      <c r="AE114" t="s">
        <v>72</v>
      </c>
      <c r="AF114" t="s">
        <v>95</v>
      </c>
      <c r="AI114">
        <v>11</v>
      </c>
      <c r="AJ114">
        <v>30</v>
      </c>
    </row>
    <row r="115" spans="1:36" x14ac:dyDescent="0.25">
      <c r="A115" t="s">
        <v>736</v>
      </c>
      <c r="B115">
        <v>113</v>
      </c>
      <c r="C115" t="s">
        <v>53</v>
      </c>
      <c r="D115">
        <v>2</v>
      </c>
      <c r="E115">
        <v>1</v>
      </c>
      <c r="F115">
        <v>1</v>
      </c>
      <c r="G115" t="s">
        <v>54</v>
      </c>
      <c r="H115" t="s">
        <v>83</v>
      </c>
      <c r="K115" t="s">
        <v>63</v>
      </c>
      <c r="L115">
        <v>1</v>
      </c>
      <c r="N115">
        <v>1</v>
      </c>
      <c r="O115" t="s">
        <v>72</v>
      </c>
      <c r="P115" t="s">
        <v>95</v>
      </c>
      <c r="S115" t="s">
        <v>48</v>
      </c>
      <c r="T115">
        <v>3</v>
      </c>
      <c r="V115">
        <v>3</v>
      </c>
      <c r="W115" t="s">
        <v>49</v>
      </c>
      <c r="X115" t="s">
        <v>84</v>
      </c>
      <c r="AA115" t="s">
        <v>45</v>
      </c>
      <c r="AB115">
        <v>2</v>
      </c>
      <c r="AD115">
        <v>1</v>
      </c>
      <c r="AE115" t="s">
        <v>47</v>
      </c>
      <c r="AI115">
        <v>9</v>
      </c>
      <c r="AJ115">
        <v>29</v>
      </c>
    </row>
    <row r="116" spans="1:36" x14ac:dyDescent="0.25">
      <c r="A116" t="s">
        <v>737</v>
      </c>
      <c r="B116">
        <v>114</v>
      </c>
      <c r="C116" t="s">
        <v>48</v>
      </c>
      <c r="D116">
        <v>3</v>
      </c>
      <c r="F116">
        <v>3</v>
      </c>
      <c r="G116" t="s">
        <v>49</v>
      </c>
      <c r="K116" t="s">
        <v>38</v>
      </c>
      <c r="L116">
        <v>3</v>
      </c>
      <c r="M116">
        <v>1</v>
      </c>
      <c r="N116">
        <v>1</v>
      </c>
      <c r="O116" t="s">
        <v>152</v>
      </c>
      <c r="P116" t="s">
        <v>70</v>
      </c>
      <c r="S116" t="s">
        <v>53</v>
      </c>
      <c r="T116">
        <v>3</v>
      </c>
      <c r="U116">
        <v>1</v>
      </c>
      <c r="V116">
        <v>1</v>
      </c>
      <c r="W116" t="s">
        <v>54</v>
      </c>
      <c r="X116" t="s">
        <v>83</v>
      </c>
      <c r="Y116" t="s">
        <v>105</v>
      </c>
      <c r="AA116" t="s">
        <v>63</v>
      </c>
      <c r="AB116">
        <v>1</v>
      </c>
      <c r="AD116">
        <v>2</v>
      </c>
      <c r="AE116" t="s">
        <v>72</v>
      </c>
      <c r="AF116" t="s">
        <v>95</v>
      </c>
      <c r="AI116">
        <v>13</v>
      </c>
      <c r="AJ116">
        <v>34</v>
      </c>
    </row>
    <row r="117" spans="1:36" x14ac:dyDescent="0.25">
      <c r="A117" t="s">
        <v>738</v>
      </c>
      <c r="B117">
        <v>115</v>
      </c>
      <c r="C117" t="s">
        <v>48</v>
      </c>
      <c r="D117">
        <v>3</v>
      </c>
      <c r="F117">
        <v>1</v>
      </c>
      <c r="G117" t="s">
        <v>49</v>
      </c>
      <c r="K117" t="s">
        <v>227</v>
      </c>
      <c r="L117">
        <v>3</v>
      </c>
      <c r="M117">
        <v>1</v>
      </c>
      <c r="N117">
        <v>2</v>
      </c>
      <c r="O117" t="s">
        <v>228</v>
      </c>
      <c r="P117" t="s">
        <v>231</v>
      </c>
      <c r="S117" t="s">
        <v>53</v>
      </c>
      <c r="T117">
        <v>3</v>
      </c>
      <c r="U117">
        <v>1</v>
      </c>
      <c r="V117">
        <v>1</v>
      </c>
      <c r="W117" t="s">
        <v>54</v>
      </c>
      <c r="X117" t="s">
        <v>83</v>
      </c>
      <c r="Y117" t="s">
        <v>105</v>
      </c>
      <c r="AA117" t="s">
        <v>63</v>
      </c>
      <c r="AB117">
        <v>1</v>
      </c>
      <c r="AD117">
        <v>1</v>
      </c>
      <c r="AE117" t="s">
        <v>72</v>
      </c>
      <c r="AF117" t="s">
        <v>95</v>
      </c>
      <c r="AI117">
        <v>11</v>
      </c>
      <c r="AJ117">
        <v>30</v>
      </c>
    </row>
    <row r="118" spans="1:36" x14ac:dyDescent="0.25">
      <c r="A118" t="s">
        <v>739</v>
      </c>
      <c r="B118">
        <v>116</v>
      </c>
      <c r="C118" t="s">
        <v>33</v>
      </c>
      <c r="D118">
        <v>1</v>
      </c>
      <c r="F118">
        <v>3</v>
      </c>
      <c r="G118" t="s">
        <v>34</v>
      </c>
      <c r="K118" t="s">
        <v>43</v>
      </c>
      <c r="L118">
        <v>3</v>
      </c>
      <c r="N118">
        <v>1</v>
      </c>
      <c r="O118" t="s">
        <v>135</v>
      </c>
      <c r="P118" t="s">
        <v>74</v>
      </c>
      <c r="Q118" t="s">
        <v>75</v>
      </c>
      <c r="S118" t="s">
        <v>53</v>
      </c>
      <c r="T118">
        <v>2</v>
      </c>
      <c r="U118">
        <v>1</v>
      </c>
      <c r="V118">
        <v>2</v>
      </c>
      <c r="W118" t="s">
        <v>54</v>
      </c>
      <c r="AA118" t="s">
        <v>63</v>
      </c>
      <c r="AB118">
        <v>3</v>
      </c>
      <c r="AD118">
        <v>1</v>
      </c>
      <c r="AE118" t="s">
        <v>72</v>
      </c>
      <c r="AF118" t="s">
        <v>146</v>
      </c>
      <c r="AG118" t="s">
        <v>104</v>
      </c>
      <c r="AH118" t="s">
        <v>151</v>
      </c>
      <c r="AI118">
        <v>13</v>
      </c>
      <c r="AJ118">
        <v>32</v>
      </c>
    </row>
    <row r="119" spans="1:36" x14ac:dyDescent="0.25">
      <c r="A119" t="s">
        <v>740</v>
      </c>
      <c r="B119">
        <v>117</v>
      </c>
      <c r="C119" t="s">
        <v>33</v>
      </c>
      <c r="D119">
        <v>1</v>
      </c>
      <c r="F119">
        <v>3</v>
      </c>
      <c r="G119" t="s">
        <v>34</v>
      </c>
      <c r="H119" t="s">
        <v>66</v>
      </c>
      <c r="K119" t="s">
        <v>45</v>
      </c>
      <c r="L119">
        <v>3</v>
      </c>
      <c r="N119">
        <v>2</v>
      </c>
      <c r="O119" t="s">
        <v>47</v>
      </c>
      <c r="S119" t="s">
        <v>53</v>
      </c>
      <c r="T119">
        <v>2</v>
      </c>
      <c r="U119">
        <v>1</v>
      </c>
      <c r="V119">
        <v>1</v>
      </c>
      <c r="W119" t="s">
        <v>54</v>
      </c>
      <c r="X119" t="s">
        <v>83</v>
      </c>
      <c r="AA119" t="s">
        <v>63</v>
      </c>
      <c r="AB119">
        <v>2</v>
      </c>
      <c r="AD119">
        <v>1</v>
      </c>
      <c r="AE119" t="s">
        <v>72</v>
      </c>
      <c r="AF119" t="s">
        <v>91</v>
      </c>
      <c r="AI119">
        <v>10</v>
      </c>
      <c r="AJ119">
        <v>27</v>
      </c>
    </row>
    <row r="120" spans="1:36" x14ac:dyDescent="0.25">
      <c r="A120" t="s">
        <v>741</v>
      </c>
      <c r="B120">
        <v>118</v>
      </c>
      <c r="C120" t="s">
        <v>33</v>
      </c>
      <c r="D120">
        <v>1</v>
      </c>
      <c r="F120">
        <v>3</v>
      </c>
      <c r="G120" t="s">
        <v>34</v>
      </c>
      <c r="H120" t="s">
        <v>35</v>
      </c>
      <c r="I120" t="s">
        <v>132</v>
      </c>
      <c r="J120" t="s">
        <v>133</v>
      </c>
      <c r="K120" t="s">
        <v>38</v>
      </c>
      <c r="L120">
        <v>2</v>
      </c>
      <c r="M120">
        <v>1</v>
      </c>
      <c r="N120">
        <v>1</v>
      </c>
      <c r="O120" t="s">
        <v>152</v>
      </c>
      <c r="P120" t="s">
        <v>70</v>
      </c>
      <c r="S120" t="s">
        <v>53</v>
      </c>
      <c r="T120">
        <v>3</v>
      </c>
      <c r="U120">
        <v>1</v>
      </c>
      <c r="V120">
        <v>2</v>
      </c>
      <c r="W120" t="s">
        <v>54</v>
      </c>
      <c r="AA120" t="s">
        <v>63</v>
      </c>
      <c r="AB120">
        <v>1</v>
      </c>
      <c r="AD120">
        <v>1</v>
      </c>
      <c r="AE120" t="s">
        <v>72</v>
      </c>
      <c r="AF120" t="s">
        <v>95</v>
      </c>
      <c r="AI120">
        <v>11</v>
      </c>
      <c r="AJ120">
        <v>26</v>
      </c>
    </row>
    <row r="121" spans="1:36" x14ac:dyDescent="0.25">
      <c r="A121" t="s">
        <v>742</v>
      </c>
      <c r="B121">
        <v>119</v>
      </c>
      <c r="C121" t="s">
        <v>33</v>
      </c>
      <c r="D121">
        <v>1</v>
      </c>
      <c r="F121">
        <v>2</v>
      </c>
      <c r="G121" t="s">
        <v>34</v>
      </c>
      <c r="H121" t="s">
        <v>66</v>
      </c>
      <c r="K121" t="s">
        <v>227</v>
      </c>
      <c r="L121">
        <v>2</v>
      </c>
      <c r="M121">
        <v>1</v>
      </c>
      <c r="N121">
        <v>3</v>
      </c>
      <c r="O121" t="s">
        <v>228</v>
      </c>
      <c r="P121" t="s">
        <v>231</v>
      </c>
      <c r="S121" t="s">
        <v>53</v>
      </c>
      <c r="T121">
        <v>3</v>
      </c>
      <c r="U121">
        <v>1</v>
      </c>
      <c r="V121">
        <v>1</v>
      </c>
      <c r="W121" t="s">
        <v>54</v>
      </c>
      <c r="X121" t="s">
        <v>83</v>
      </c>
      <c r="Y121" t="s">
        <v>105</v>
      </c>
      <c r="AA121" t="s">
        <v>63</v>
      </c>
      <c r="AB121">
        <v>1</v>
      </c>
      <c r="AD121">
        <v>1</v>
      </c>
      <c r="AE121" t="s">
        <v>72</v>
      </c>
      <c r="AF121" t="s">
        <v>95</v>
      </c>
      <c r="AI121">
        <v>11</v>
      </c>
      <c r="AJ121">
        <v>27</v>
      </c>
    </row>
    <row r="122" spans="1:36" x14ac:dyDescent="0.25">
      <c r="A122" t="s">
        <v>743</v>
      </c>
      <c r="B122">
        <v>120</v>
      </c>
      <c r="C122" t="s">
        <v>43</v>
      </c>
      <c r="D122">
        <v>1</v>
      </c>
      <c r="F122">
        <v>1</v>
      </c>
      <c r="G122" t="s">
        <v>73</v>
      </c>
      <c r="H122" t="s">
        <v>99</v>
      </c>
      <c r="I122" t="s">
        <v>75</v>
      </c>
      <c r="J122" t="s">
        <v>101</v>
      </c>
      <c r="K122" t="s">
        <v>45</v>
      </c>
      <c r="L122">
        <v>3</v>
      </c>
      <c r="N122">
        <v>1</v>
      </c>
      <c r="O122" t="s">
        <v>47</v>
      </c>
      <c r="S122" t="s">
        <v>53</v>
      </c>
      <c r="T122">
        <v>1</v>
      </c>
      <c r="U122">
        <v>1</v>
      </c>
      <c r="V122">
        <v>1</v>
      </c>
      <c r="W122" t="s">
        <v>54</v>
      </c>
      <c r="AA122" t="s">
        <v>63</v>
      </c>
      <c r="AB122">
        <v>3</v>
      </c>
      <c r="AD122">
        <v>1</v>
      </c>
      <c r="AE122" t="s">
        <v>72</v>
      </c>
      <c r="AF122" t="s">
        <v>91</v>
      </c>
      <c r="AG122" t="s">
        <v>104</v>
      </c>
      <c r="AI122">
        <v>9</v>
      </c>
      <c r="AJ122">
        <v>27</v>
      </c>
    </row>
    <row r="123" spans="1:36" x14ac:dyDescent="0.25">
      <c r="A123" t="s">
        <v>744</v>
      </c>
      <c r="B123">
        <v>121</v>
      </c>
      <c r="C123" t="s">
        <v>43</v>
      </c>
      <c r="D123">
        <v>3</v>
      </c>
      <c r="F123">
        <v>3</v>
      </c>
      <c r="G123" t="s">
        <v>73</v>
      </c>
      <c r="H123" t="s">
        <v>74</v>
      </c>
      <c r="I123" t="s">
        <v>75</v>
      </c>
      <c r="J123" t="s">
        <v>138</v>
      </c>
      <c r="K123" t="s">
        <v>38</v>
      </c>
      <c r="L123">
        <v>1</v>
      </c>
      <c r="M123">
        <v>1</v>
      </c>
      <c r="N123">
        <v>1</v>
      </c>
      <c r="O123" t="s">
        <v>152</v>
      </c>
      <c r="S123" t="s">
        <v>53</v>
      </c>
      <c r="T123">
        <v>1</v>
      </c>
      <c r="U123">
        <v>1</v>
      </c>
      <c r="V123">
        <v>1</v>
      </c>
      <c r="W123" t="s">
        <v>54</v>
      </c>
      <c r="AA123" t="s">
        <v>63</v>
      </c>
      <c r="AB123">
        <v>3</v>
      </c>
      <c r="AD123">
        <v>3</v>
      </c>
      <c r="AE123" t="s">
        <v>72</v>
      </c>
      <c r="AF123" t="s">
        <v>91</v>
      </c>
      <c r="AI123">
        <v>12</v>
      </c>
      <c r="AJ123">
        <v>38</v>
      </c>
    </row>
    <row r="124" spans="1:36" x14ac:dyDescent="0.25">
      <c r="A124" t="s">
        <v>745</v>
      </c>
      <c r="B124">
        <v>122</v>
      </c>
      <c r="C124" t="s">
        <v>43</v>
      </c>
      <c r="D124">
        <v>2</v>
      </c>
      <c r="F124">
        <v>1</v>
      </c>
      <c r="G124" t="s">
        <v>135</v>
      </c>
      <c r="H124" t="s">
        <v>74</v>
      </c>
      <c r="I124" t="s">
        <v>100</v>
      </c>
      <c r="K124" t="s">
        <v>227</v>
      </c>
      <c r="L124">
        <v>1</v>
      </c>
      <c r="M124">
        <v>1</v>
      </c>
      <c r="N124">
        <v>1</v>
      </c>
      <c r="O124" t="s">
        <v>228</v>
      </c>
      <c r="P124" t="s">
        <v>231</v>
      </c>
      <c r="S124" t="s">
        <v>53</v>
      </c>
      <c r="T124">
        <v>1</v>
      </c>
      <c r="U124">
        <v>1</v>
      </c>
      <c r="V124">
        <v>1</v>
      </c>
      <c r="W124" t="s">
        <v>54</v>
      </c>
      <c r="AA124" t="s">
        <v>63</v>
      </c>
      <c r="AB124">
        <v>1</v>
      </c>
      <c r="AD124">
        <v>1</v>
      </c>
      <c r="AE124" t="s">
        <v>72</v>
      </c>
      <c r="AF124" t="s">
        <v>95</v>
      </c>
      <c r="AG124" t="s">
        <v>104</v>
      </c>
      <c r="AI124">
        <v>6</v>
      </c>
      <c r="AJ124">
        <v>28</v>
      </c>
    </row>
    <row r="125" spans="1:36" x14ac:dyDescent="0.25">
      <c r="A125" t="s">
        <v>746</v>
      </c>
      <c r="B125">
        <v>123</v>
      </c>
      <c r="C125" t="s">
        <v>53</v>
      </c>
      <c r="D125">
        <v>2</v>
      </c>
      <c r="E125">
        <v>1</v>
      </c>
      <c r="F125">
        <v>1</v>
      </c>
      <c r="G125" t="s">
        <v>54</v>
      </c>
      <c r="H125" t="s">
        <v>83</v>
      </c>
      <c r="I125" t="s">
        <v>105</v>
      </c>
      <c r="K125" t="s">
        <v>63</v>
      </c>
      <c r="L125">
        <v>2</v>
      </c>
      <c r="N125">
        <v>1</v>
      </c>
      <c r="O125" t="s">
        <v>72</v>
      </c>
      <c r="P125" t="s">
        <v>91</v>
      </c>
      <c r="S125" t="s">
        <v>45</v>
      </c>
      <c r="T125">
        <v>3</v>
      </c>
      <c r="V125">
        <v>1</v>
      </c>
      <c r="W125" t="s">
        <v>86</v>
      </c>
      <c r="AA125" t="s">
        <v>38</v>
      </c>
      <c r="AB125">
        <v>3</v>
      </c>
      <c r="AC125">
        <v>1</v>
      </c>
      <c r="AD125">
        <v>2</v>
      </c>
      <c r="AE125" t="s">
        <v>152</v>
      </c>
      <c r="AF125" t="s">
        <v>40</v>
      </c>
      <c r="AI125">
        <v>11</v>
      </c>
      <c r="AJ125">
        <v>27</v>
      </c>
    </row>
    <row r="126" spans="1:36" x14ac:dyDescent="0.25">
      <c r="A126" t="s">
        <v>747</v>
      </c>
      <c r="B126">
        <v>124</v>
      </c>
      <c r="C126" t="s">
        <v>45</v>
      </c>
      <c r="D126">
        <v>3</v>
      </c>
      <c r="F126">
        <v>3</v>
      </c>
      <c r="G126" t="s">
        <v>86</v>
      </c>
      <c r="K126" t="s">
        <v>227</v>
      </c>
      <c r="L126">
        <v>1</v>
      </c>
      <c r="M126">
        <v>1</v>
      </c>
      <c r="N126">
        <v>3</v>
      </c>
      <c r="O126" t="s">
        <v>228</v>
      </c>
      <c r="P126" t="s">
        <v>231</v>
      </c>
      <c r="S126" t="s">
        <v>53</v>
      </c>
      <c r="T126">
        <v>3</v>
      </c>
      <c r="U126">
        <v>2</v>
      </c>
      <c r="V126">
        <v>1</v>
      </c>
      <c r="W126" t="s">
        <v>54</v>
      </c>
      <c r="X126" t="s">
        <v>83</v>
      </c>
      <c r="AA126" t="s">
        <v>63</v>
      </c>
      <c r="AB126">
        <v>1</v>
      </c>
      <c r="AD126">
        <v>1</v>
      </c>
      <c r="AE126" t="s">
        <v>72</v>
      </c>
      <c r="AF126" t="s">
        <v>95</v>
      </c>
      <c r="AI126">
        <v>12</v>
      </c>
      <c r="AJ126">
        <v>33</v>
      </c>
    </row>
    <row r="127" spans="1:36" x14ac:dyDescent="0.25">
      <c r="A127" t="s">
        <v>748</v>
      </c>
      <c r="B127">
        <v>125</v>
      </c>
      <c r="C127" t="s">
        <v>53</v>
      </c>
      <c r="D127">
        <v>2</v>
      </c>
      <c r="E127">
        <v>1</v>
      </c>
      <c r="F127">
        <v>1</v>
      </c>
      <c r="G127" t="s">
        <v>54</v>
      </c>
      <c r="H127" t="s">
        <v>83</v>
      </c>
      <c r="K127" t="s">
        <v>63</v>
      </c>
      <c r="L127">
        <v>1</v>
      </c>
      <c r="N127">
        <v>2</v>
      </c>
      <c r="O127" t="s">
        <v>72</v>
      </c>
      <c r="P127" t="s">
        <v>95</v>
      </c>
      <c r="Q127" t="s">
        <v>104</v>
      </c>
      <c r="R127" t="s">
        <v>151</v>
      </c>
      <c r="S127" t="s">
        <v>38</v>
      </c>
      <c r="T127">
        <v>3</v>
      </c>
      <c r="U127">
        <v>1</v>
      </c>
      <c r="V127">
        <v>2</v>
      </c>
      <c r="W127" t="s">
        <v>152</v>
      </c>
      <c r="AA127" t="s">
        <v>227</v>
      </c>
      <c r="AB127">
        <v>3</v>
      </c>
      <c r="AC127">
        <v>1</v>
      </c>
      <c r="AD127">
        <v>2</v>
      </c>
      <c r="AE127" t="s">
        <v>228</v>
      </c>
      <c r="AI127">
        <v>12</v>
      </c>
      <c r="AJ127">
        <v>38</v>
      </c>
    </row>
    <row r="128" spans="1:36" x14ac:dyDescent="0.25">
      <c r="A128" t="s">
        <v>749</v>
      </c>
      <c r="B128">
        <v>126</v>
      </c>
      <c r="C128" t="s">
        <v>56</v>
      </c>
      <c r="D128">
        <v>1</v>
      </c>
      <c r="F128">
        <v>1</v>
      </c>
      <c r="G128" t="s">
        <v>57</v>
      </c>
      <c r="H128" t="s">
        <v>122</v>
      </c>
      <c r="I128" t="s">
        <v>85</v>
      </c>
      <c r="K128" t="s">
        <v>48</v>
      </c>
      <c r="L128">
        <v>2</v>
      </c>
      <c r="N128">
        <v>1</v>
      </c>
      <c r="O128" t="s">
        <v>49</v>
      </c>
      <c r="P128" t="s">
        <v>50</v>
      </c>
      <c r="S128" t="s">
        <v>53</v>
      </c>
      <c r="T128">
        <v>2</v>
      </c>
      <c r="U128">
        <v>1</v>
      </c>
      <c r="V128">
        <v>1</v>
      </c>
      <c r="W128" t="s">
        <v>54</v>
      </c>
      <c r="AA128" t="s">
        <v>38</v>
      </c>
      <c r="AB128">
        <v>1</v>
      </c>
      <c r="AC128">
        <v>2</v>
      </c>
      <c r="AD128">
        <v>2</v>
      </c>
      <c r="AE128" t="s">
        <v>67</v>
      </c>
      <c r="AF128" t="s">
        <v>96</v>
      </c>
      <c r="AI128">
        <v>8</v>
      </c>
      <c r="AJ128">
        <v>29</v>
      </c>
    </row>
    <row r="129" spans="1:36" x14ac:dyDescent="0.25">
      <c r="A129" t="s">
        <v>750</v>
      </c>
      <c r="B129">
        <v>127</v>
      </c>
      <c r="C129" t="s">
        <v>53</v>
      </c>
      <c r="D129">
        <v>2</v>
      </c>
      <c r="E129">
        <v>2</v>
      </c>
      <c r="F129">
        <v>1</v>
      </c>
      <c r="G129" t="s">
        <v>54</v>
      </c>
      <c r="K129" t="s">
        <v>38</v>
      </c>
      <c r="L129">
        <v>1</v>
      </c>
      <c r="M129">
        <v>1</v>
      </c>
      <c r="N129">
        <v>2</v>
      </c>
      <c r="O129" t="s">
        <v>67</v>
      </c>
      <c r="S129" t="s">
        <v>56</v>
      </c>
      <c r="T129">
        <v>2</v>
      </c>
      <c r="V129">
        <v>1</v>
      </c>
      <c r="W129" t="s">
        <v>57</v>
      </c>
      <c r="X129" t="s">
        <v>122</v>
      </c>
      <c r="AA129" t="s">
        <v>33</v>
      </c>
      <c r="AB129">
        <v>2</v>
      </c>
      <c r="AD129">
        <v>1</v>
      </c>
      <c r="AE129" t="s">
        <v>65</v>
      </c>
      <c r="AI129">
        <v>6</v>
      </c>
      <c r="AJ129">
        <v>20</v>
      </c>
    </row>
    <row r="130" spans="1:36" x14ac:dyDescent="0.25">
      <c r="A130" t="s">
        <v>751</v>
      </c>
      <c r="B130">
        <v>128</v>
      </c>
      <c r="C130" t="s">
        <v>56</v>
      </c>
      <c r="D130">
        <v>2</v>
      </c>
      <c r="F130">
        <v>1</v>
      </c>
      <c r="G130" t="s">
        <v>57</v>
      </c>
      <c r="H130" t="s">
        <v>122</v>
      </c>
      <c r="I130" t="s">
        <v>85</v>
      </c>
      <c r="J130" t="s">
        <v>124</v>
      </c>
      <c r="K130" t="s">
        <v>43</v>
      </c>
      <c r="L130">
        <v>1</v>
      </c>
      <c r="N130">
        <v>1</v>
      </c>
      <c r="O130" t="s">
        <v>73</v>
      </c>
      <c r="P130" t="s">
        <v>74</v>
      </c>
      <c r="Q130" t="s">
        <v>100</v>
      </c>
      <c r="S130" t="s">
        <v>53</v>
      </c>
      <c r="T130">
        <v>2</v>
      </c>
      <c r="U130">
        <v>1</v>
      </c>
      <c r="V130">
        <v>3</v>
      </c>
      <c r="W130" t="s">
        <v>54</v>
      </c>
      <c r="X130" t="s">
        <v>83</v>
      </c>
      <c r="AA130" t="s">
        <v>38</v>
      </c>
      <c r="AB130">
        <v>1</v>
      </c>
      <c r="AC130">
        <v>1</v>
      </c>
      <c r="AD130">
        <v>2</v>
      </c>
      <c r="AE130" t="s">
        <v>67</v>
      </c>
      <c r="AF130" t="s">
        <v>70</v>
      </c>
      <c r="AI130">
        <v>12</v>
      </c>
      <c r="AJ130">
        <v>34</v>
      </c>
    </row>
    <row r="131" spans="1:36" x14ac:dyDescent="0.25">
      <c r="A131" t="s">
        <v>752</v>
      </c>
      <c r="B131">
        <v>129</v>
      </c>
      <c r="C131" t="s">
        <v>53</v>
      </c>
      <c r="D131">
        <v>2</v>
      </c>
      <c r="E131">
        <v>1</v>
      </c>
      <c r="F131">
        <v>1</v>
      </c>
      <c r="G131" t="s">
        <v>54</v>
      </c>
      <c r="H131" t="s">
        <v>83</v>
      </c>
      <c r="I131" t="s">
        <v>114</v>
      </c>
      <c r="K131" t="s">
        <v>38</v>
      </c>
      <c r="L131">
        <v>1</v>
      </c>
      <c r="M131">
        <v>1</v>
      </c>
      <c r="N131">
        <v>2</v>
      </c>
      <c r="O131" t="s">
        <v>67</v>
      </c>
      <c r="P131" t="s">
        <v>70</v>
      </c>
      <c r="Q131" t="s">
        <v>41</v>
      </c>
      <c r="S131" t="s">
        <v>56</v>
      </c>
      <c r="T131">
        <v>3</v>
      </c>
      <c r="V131">
        <v>1</v>
      </c>
      <c r="W131" t="s">
        <v>57</v>
      </c>
      <c r="AA131" t="s">
        <v>45</v>
      </c>
      <c r="AB131">
        <v>2</v>
      </c>
      <c r="AD131">
        <v>1</v>
      </c>
      <c r="AE131" t="s">
        <v>47</v>
      </c>
      <c r="AI131">
        <v>9</v>
      </c>
      <c r="AJ131">
        <v>25</v>
      </c>
    </row>
    <row r="132" spans="1:36" x14ac:dyDescent="0.25">
      <c r="A132" t="s">
        <v>753</v>
      </c>
      <c r="B132">
        <v>130</v>
      </c>
      <c r="C132" t="s">
        <v>53</v>
      </c>
      <c r="D132">
        <v>3</v>
      </c>
      <c r="E132">
        <v>2</v>
      </c>
      <c r="F132">
        <v>1</v>
      </c>
      <c r="G132" t="s">
        <v>54</v>
      </c>
      <c r="H132" t="s">
        <v>83</v>
      </c>
      <c r="I132" t="s">
        <v>114</v>
      </c>
      <c r="K132" t="s">
        <v>38</v>
      </c>
      <c r="L132">
        <v>1</v>
      </c>
      <c r="M132">
        <v>1</v>
      </c>
      <c r="N132">
        <v>1</v>
      </c>
      <c r="O132" t="s">
        <v>152</v>
      </c>
      <c r="P132" t="s">
        <v>70</v>
      </c>
      <c r="S132" t="s">
        <v>56</v>
      </c>
      <c r="T132">
        <v>1</v>
      </c>
      <c r="V132">
        <v>1</v>
      </c>
      <c r="W132" t="s">
        <v>57</v>
      </c>
      <c r="X132" t="s">
        <v>122</v>
      </c>
      <c r="Y132" t="s">
        <v>85</v>
      </c>
      <c r="AA132" t="s">
        <v>63</v>
      </c>
      <c r="AB132">
        <v>1</v>
      </c>
      <c r="AD132">
        <v>1</v>
      </c>
      <c r="AE132" t="s">
        <v>103</v>
      </c>
      <c r="AF132" t="s">
        <v>91</v>
      </c>
      <c r="AI132">
        <v>9</v>
      </c>
      <c r="AJ132">
        <v>29</v>
      </c>
    </row>
    <row r="133" spans="1:36" x14ac:dyDescent="0.25">
      <c r="A133" t="s">
        <v>754</v>
      </c>
      <c r="B133">
        <v>131</v>
      </c>
      <c r="C133" t="s">
        <v>53</v>
      </c>
      <c r="D133">
        <v>2</v>
      </c>
      <c r="E133">
        <v>1</v>
      </c>
      <c r="F133">
        <v>1</v>
      </c>
      <c r="G133" t="s">
        <v>54</v>
      </c>
      <c r="K133" t="s">
        <v>38</v>
      </c>
      <c r="L133">
        <v>2</v>
      </c>
      <c r="M133">
        <v>1</v>
      </c>
      <c r="N133">
        <v>2</v>
      </c>
      <c r="O133" t="s">
        <v>152</v>
      </c>
      <c r="P133" t="s">
        <v>70</v>
      </c>
      <c r="S133" t="s">
        <v>56</v>
      </c>
      <c r="T133">
        <v>2</v>
      </c>
      <c r="V133">
        <v>1</v>
      </c>
      <c r="W133" t="s">
        <v>57</v>
      </c>
      <c r="X133" t="s">
        <v>121</v>
      </c>
      <c r="Y133" t="s">
        <v>85</v>
      </c>
      <c r="Z133" t="s">
        <v>88</v>
      </c>
      <c r="AA133" t="s">
        <v>227</v>
      </c>
      <c r="AB133">
        <v>1</v>
      </c>
      <c r="AC133">
        <v>1</v>
      </c>
      <c r="AD133">
        <v>1</v>
      </c>
      <c r="AE133" t="s">
        <v>228</v>
      </c>
      <c r="AI133">
        <v>8</v>
      </c>
      <c r="AJ133">
        <v>26</v>
      </c>
    </row>
    <row r="134" spans="1:36" x14ac:dyDescent="0.25">
      <c r="A134" t="s">
        <v>755</v>
      </c>
      <c r="B134">
        <v>132</v>
      </c>
      <c r="C134" t="s">
        <v>53</v>
      </c>
      <c r="D134">
        <v>3</v>
      </c>
      <c r="E134">
        <v>1</v>
      </c>
      <c r="F134">
        <v>1</v>
      </c>
      <c r="G134" t="s">
        <v>54</v>
      </c>
      <c r="H134" t="s">
        <v>83</v>
      </c>
      <c r="K134" t="s">
        <v>38</v>
      </c>
      <c r="L134">
        <v>1</v>
      </c>
      <c r="M134">
        <v>1</v>
      </c>
      <c r="N134">
        <v>2</v>
      </c>
      <c r="O134" t="s">
        <v>67</v>
      </c>
      <c r="S134" t="s">
        <v>48</v>
      </c>
      <c r="T134">
        <v>3</v>
      </c>
      <c r="V134">
        <v>2</v>
      </c>
      <c r="W134" t="s">
        <v>49</v>
      </c>
      <c r="AA134" t="s">
        <v>33</v>
      </c>
      <c r="AB134">
        <v>2</v>
      </c>
      <c r="AD134">
        <v>1</v>
      </c>
      <c r="AE134" t="s">
        <v>65</v>
      </c>
      <c r="AI134">
        <v>8</v>
      </c>
      <c r="AJ134">
        <v>22</v>
      </c>
    </row>
    <row r="135" spans="1:36" x14ac:dyDescent="0.25">
      <c r="A135" t="s">
        <v>756</v>
      </c>
      <c r="B135">
        <v>133</v>
      </c>
      <c r="C135" t="s">
        <v>53</v>
      </c>
      <c r="D135">
        <v>2</v>
      </c>
      <c r="E135">
        <v>1</v>
      </c>
      <c r="F135">
        <v>1</v>
      </c>
      <c r="G135" t="s">
        <v>54</v>
      </c>
      <c r="H135" t="s">
        <v>55</v>
      </c>
      <c r="K135" t="s">
        <v>38</v>
      </c>
      <c r="L135">
        <v>1</v>
      </c>
      <c r="M135">
        <v>1</v>
      </c>
      <c r="N135">
        <v>2</v>
      </c>
      <c r="O135" t="s">
        <v>67</v>
      </c>
      <c r="P135" t="s">
        <v>70</v>
      </c>
      <c r="S135" t="s">
        <v>48</v>
      </c>
      <c r="T135">
        <v>3</v>
      </c>
      <c r="V135">
        <v>1</v>
      </c>
      <c r="W135" t="s">
        <v>49</v>
      </c>
      <c r="AA135" t="s">
        <v>43</v>
      </c>
      <c r="AB135">
        <v>1</v>
      </c>
      <c r="AD135">
        <v>1</v>
      </c>
      <c r="AE135" t="s">
        <v>73</v>
      </c>
      <c r="AF135" t="s">
        <v>99</v>
      </c>
      <c r="AI135">
        <v>7</v>
      </c>
      <c r="AJ135">
        <v>25</v>
      </c>
    </row>
    <row r="136" spans="1:36" x14ac:dyDescent="0.25">
      <c r="A136" t="s">
        <v>757</v>
      </c>
      <c r="B136">
        <v>134</v>
      </c>
      <c r="C136" t="s">
        <v>53</v>
      </c>
      <c r="D136">
        <v>3</v>
      </c>
      <c r="E136">
        <v>1</v>
      </c>
      <c r="F136">
        <v>1</v>
      </c>
      <c r="G136" t="s">
        <v>54</v>
      </c>
      <c r="H136" t="s">
        <v>83</v>
      </c>
      <c r="I136" t="s">
        <v>105</v>
      </c>
      <c r="K136" t="s">
        <v>38</v>
      </c>
      <c r="L136">
        <v>1</v>
      </c>
      <c r="M136">
        <v>1</v>
      </c>
      <c r="N136">
        <v>2</v>
      </c>
      <c r="O136" t="s">
        <v>67</v>
      </c>
      <c r="P136" t="s">
        <v>70</v>
      </c>
      <c r="S136" t="s">
        <v>48</v>
      </c>
      <c r="T136">
        <v>1</v>
      </c>
      <c r="V136">
        <v>2</v>
      </c>
      <c r="W136" t="s">
        <v>49</v>
      </c>
      <c r="X136" t="s">
        <v>84</v>
      </c>
      <c r="Y136" t="s">
        <v>90</v>
      </c>
      <c r="AA136" t="s">
        <v>45</v>
      </c>
      <c r="AB136">
        <v>2</v>
      </c>
      <c r="AD136">
        <v>1</v>
      </c>
      <c r="AE136" t="s">
        <v>86</v>
      </c>
      <c r="AI136">
        <v>10</v>
      </c>
      <c r="AJ136">
        <v>29</v>
      </c>
    </row>
    <row r="137" spans="1:36" x14ac:dyDescent="0.25">
      <c r="A137" t="s">
        <v>758</v>
      </c>
      <c r="B137">
        <v>135</v>
      </c>
      <c r="C137" t="s">
        <v>48</v>
      </c>
      <c r="D137">
        <v>2</v>
      </c>
      <c r="F137">
        <v>1</v>
      </c>
      <c r="G137" t="s">
        <v>49</v>
      </c>
      <c r="H137" t="s">
        <v>84</v>
      </c>
      <c r="I137" t="s">
        <v>127</v>
      </c>
      <c r="K137" t="s">
        <v>63</v>
      </c>
      <c r="L137">
        <v>1</v>
      </c>
      <c r="N137">
        <v>1</v>
      </c>
      <c r="O137" t="s">
        <v>103</v>
      </c>
      <c r="P137" t="s">
        <v>91</v>
      </c>
      <c r="S137" t="s">
        <v>53</v>
      </c>
      <c r="T137">
        <v>3</v>
      </c>
      <c r="U137">
        <v>1</v>
      </c>
      <c r="V137">
        <v>1</v>
      </c>
      <c r="W137" t="s">
        <v>54</v>
      </c>
      <c r="X137" t="s">
        <v>83</v>
      </c>
      <c r="AA137" t="s">
        <v>38</v>
      </c>
      <c r="AB137">
        <v>1</v>
      </c>
      <c r="AC137">
        <v>2</v>
      </c>
      <c r="AD137">
        <v>1</v>
      </c>
      <c r="AE137" t="s">
        <v>152</v>
      </c>
      <c r="AI137">
        <v>8</v>
      </c>
      <c r="AJ137">
        <v>25</v>
      </c>
    </row>
    <row r="138" spans="1:36" x14ac:dyDescent="0.25">
      <c r="A138" t="s">
        <v>759</v>
      </c>
      <c r="B138">
        <v>136</v>
      </c>
      <c r="C138" t="s">
        <v>53</v>
      </c>
      <c r="D138">
        <v>2</v>
      </c>
      <c r="E138">
        <v>1</v>
      </c>
      <c r="F138">
        <v>1</v>
      </c>
      <c r="G138" t="s">
        <v>54</v>
      </c>
      <c r="H138" t="s">
        <v>83</v>
      </c>
      <c r="K138" t="s">
        <v>38</v>
      </c>
      <c r="L138">
        <v>1</v>
      </c>
      <c r="M138">
        <v>3</v>
      </c>
      <c r="N138">
        <v>1</v>
      </c>
      <c r="O138" t="s">
        <v>152</v>
      </c>
      <c r="P138" t="s">
        <v>70</v>
      </c>
      <c r="S138" t="s">
        <v>48</v>
      </c>
      <c r="T138">
        <v>1</v>
      </c>
      <c r="V138">
        <v>1</v>
      </c>
      <c r="W138" t="s">
        <v>49</v>
      </c>
      <c r="X138" t="s">
        <v>84</v>
      </c>
      <c r="AA138" t="s">
        <v>227</v>
      </c>
      <c r="AB138">
        <v>2</v>
      </c>
      <c r="AC138">
        <v>1</v>
      </c>
      <c r="AD138">
        <v>1</v>
      </c>
      <c r="AE138" t="s">
        <v>228</v>
      </c>
      <c r="AI138">
        <v>7</v>
      </c>
      <c r="AJ138">
        <v>27</v>
      </c>
    </row>
    <row r="139" spans="1:36" x14ac:dyDescent="0.25">
      <c r="A139" t="s">
        <v>760</v>
      </c>
      <c r="B139">
        <v>137</v>
      </c>
      <c r="C139" t="s">
        <v>53</v>
      </c>
      <c r="D139">
        <v>3</v>
      </c>
      <c r="E139">
        <v>1</v>
      </c>
      <c r="F139">
        <v>2</v>
      </c>
      <c r="G139" t="s">
        <v>54</v>
      </c>
      <c r="H139" t="s">
        <v>55</v>
      </c>
      <c r="K139" t="s">
        <v>38</v>
      </c>
      <c r="L139">
        <v>1</v>
      </c>
      <c r="M139">
        <v>1</v>
      </c>
      <c r="N139">
        <v>2</v>
      </c>
      <c r="O139" t="s">
        <v>39</v>
      </c>
      <c r="P139" t="s">
        <v>70</v>
      </c>
      <c r="Q139" t="s">
        <v>153</v>
      </c>
      <c r="S139" t="s">
        <v>33</v>
      </c>
      <c r="T139">
        <v>2</v>
      </c>
      <c r="V139">
        <v>3</v>
      </c>
      <c r="W139" t="s">
        <v>65</v>
      </c>
      <c r="X139" t="s">
        <v>35</v>
      </c>
      <c r="Y139" t="s">
        <v>131</v>
      </c>
      <c r="AA139" t="s">
        <v>43</v>
      </c>
      <c r="AB139">
        <v>1</v>
      </c>
      <c r="AD139">
        <v>1</v>
      </c>
      <c r="AE139" t="s">
        <v>73</v>
      </c>
      <c r="AI139">
        <v>12</v>
      </c>
      <c r="AJ139">
        <v>30</v>
      </c>
    </row>
    <row r="140" spans="1:36" x14ac:dyDescent="0.25">
      <c r="A140" t="s">
        <v>761</v>
      </c>
      <c r="B140">
        <v>138</v>
      </c>
      <c r="C140" t="s">
        <v>53</v>
      </c>
      <c r="D140">
        <v>3</v>
      </c>
      <c r="E140">
        <v>1</v>
      </c>
      <c r="F140">
        <v>1</v>
      </c>
      <c r="G140" t="s">
        <v>54</v>
      </c>
      <c r="K140" t="s">
        <v>38</v>
      </c>
      <c r="L140">
        <v>1</v>
      </c>
      <c r="M140">
        <v>1</v>
      </c>
      <c r="N140">
        <v>2</v>
      </c>
      <c r="O140" t="s">
        <v>39</v>
      </c>
      <c r="P140" t="s">
        <v>70</v>
      </c>
      <c r="Q140" t="s">
        <v>41</v>
      </c>
      <c r="S140" t="s">
        <v>33</v>
      </c>
      <c r="T140">
        <v>2</v>
      </c>
      <c r="V140">
        <v>2</v>
      </c>
      <c r="W140" t="s">
        <v>65</v>
      </c>
      <c r="X140" t="s">
        <v>35</v>
      </c>
      <c r="AA140" t="s">
        <v>45</v>
      </c>
      <c r="AB140">
        <v>2</v>
      </c>
      <c r="AD140">
        <v>1</v>
      </c>
      <c r="AE140" t="s">
        <v>140</v>
      </c>
      <c r="AI140">
        <v>9</v>
      </c>
      <c r="AJ140">
        <v>23</v>
      </c>
    </row>
    <row r="141" spans="1:36" x14ac:dyDescent="0.25">
      <c r="A141" t="s">
        <v>762</v>
      </c>
      <c r="B141">
        <v>139</v>
      </c>
      <c r="C141" t="s">
        <v>33</v>
      </c>
      <c r="D141">
        <v>2</v>
      </c>
      <c r="F141">
        <v>2</v>
      </c>
      <c r="G141" t="s">
        <v>65</v>
      </c>
      <c r="K141" t="s">
        <v>63</v>
      </c>
      <c r="L141">
        <v>1</v>
      </c>
      <c r="N141">
        <v>1</v>
      </c>
      <c r="O141" t="s">
        <v>103</v>
      </c>
      <c r="P141" t="s">
        <v>95</v>
      </c>
      <c r="S141" t="s">
        <v>53</v>
      </c>
      <c r="T141">
        <v>2</v>
      </c>
      <c r="U141">
        <v>1</v>
      </c>
      <c r="V141">
        <v>1</v>
      </c>
      <c r="W141" t="s">
        <v>54</v>
      </c>
      <c r="AA141" t="s">
        <v>38</v>
      </c>
      <c r="AB141">
        <v>1</v>
      </c>
      <c r="AC141">
        <v>2</v>
      </c>
      <c r="AD141">
        <v>3</v>
      </c>
      <c r="AE141" t="s">
        <v>67</v>
      </c>
      <c r="AF141" t="s">
        <v>96</v>
      </c>
      <c r="AG141" t="s">
        <v>41</v>
      </c>
      <c r="AH141" t="s">
        <v>42</v>
      </c>
      <c r="AI141">
        <v>10</v>
      </c>
      <c r="AJ141">
        <v>36</v>
      </c>
    </row>
    <row r="142" spans="1:36" x14ac:dyDescent="0.25">
      <c r="A142" t="s">
        <v>763</v>
      </c>
      <c r="B142">
        <v>140</v>
      </c>
      <c r="C142" t="s">
        <v>53</v>
      </c>
      <c r="D142">
        <v>2</v>
      </c>
      <c r="E142">
        <v>1</v>
      </c>
      <c r="F142">
        <v>1</v>
      </c>
      <c r="G142" t="s">
        <v>54</v>
      </c>
      <c r="K142" t="s">
        <v>38</v>
      </c>
      <c r="L142">
        <v>2</v>
      </c>
      <c r="M142">
        <v>1</v>
      </c>
      <c r="N142">
        <v>2</v>
      </c>
      <c r="O142" t="s">
        <v>67</v>
      </c>
      <c r="P142" t="s">
        <v>70</v>
      </c>
      <c r="S142" t="s">
        <v>33</v>
      </c>
      <c r="T142">
        <v>2</v>
      </c>
      <c r="V142">
        <v>2</v>
      </c>
      <c r="W142" t="s">
        <v>65</v>
      </c>
      <c r="X142" t="s">
        <v>35</v>
      </c>
      <c r="AA142" t="s">
        <v>227</v>
      </c>
      <c r="AB142">
        <v>1</v>
      </c>
      <c r="AC142">
        <v>1</v>
      </c>
      <c r="AD142">
        <v>1</v>
      </c>
      <c r="AE142" t="s">
        <v>228</v>
      </c>
      <c r="AI142">
        <v>7</v>
      </c>
      <c r="AJ142">
        <v>28</v>
      </c>
    </row>
    <row r="143" spans="1:36" x14ac:dyDescent="0.25">
      <c r="A143" t="s">
        <v>764</v>
      </c>
      <c r="B143">
        <v>141</v>
      </c>
      <c r="C143" t="s">
        <v>53</v>
      </c>
      <c r="D143">
        <v>2</v>
      </c>
      <c r="E143">
        <v>1</v>
      </c>
      <c r="F143">
        <v>1</v>
      </c>
      <c r="G143" t="s">
        <v>54</v>
      </c>
      <c r="K143" t="s">
        <v>38</v>
      </c>
      <c r="L143">
        <v>1</v>
      </c>
      <c r="M143">
        <v>1</v>
      </c>
      <c r="N143">
        <v>3</v>
      </c>
      <c r="O143" t="s">
        <v>67</v>
      </c>
      <c r="P143" t="s">
        <v>70</v>
      </c>
      <c r="S143" t="s">
        <v>43</v>
      </c>
      <c r="T143">
        <v>1</v>
      </c>
      <c r="V143">
        <v>1</v>
      </c>
      <c r="W143" t="s">
        <v>73</v>
      </c>
      <c r="X143" t="s">
        <v>99</v>
      </c>
      <c r="Y143" t="s">
        <v>75</v>
      </c>
      <c r="AA143" t="s">
        <v>45</v>
      </c>
      <c r="AB143">
        <v>2</v>
      </c>
      <c r="AD143">
        <v>1</v>
      </c>
      <c r="AE143" t="s">
        <v>140</v>
      </c>
      <c r="AI143">
        <v>7</v>
      </c>
      <c r="AJ143">
        <v>19</v>
      </c>
    </row>
    <row r="144" spans="1:36" x14ac:dyDescent="0.25">
      <c r="A144" t="s">
        <v>765</v>
      </c>
      <c r="B144">
        <v>142</v>
      </c>
      <c r="C144" t="s">
        <v>53</v>
      </c>
      <c r="D144">
        <v>3</v>
      </c>
      <c r="E144">
        <v>1</v>
      </c>
      <c r="F144">
        <v>1</v>
      </c>
      <c r="G144" t="s">
        <v>54</v>
      </c>
      <c r="K144" t="s">
        <v>38</v>
      </c>
      <c r="L144">
        <v>2</v>
      </c>
      <c r="M144">
        <v>1</v>
      </c>
      <c r="N144">
        <v>2</v>
      </c>
      <c r="O144" t="s">
        <v>67</v>
      </c>
      <c r="P144" t="s">
        <v>70</v>
      </c>
      <c r="Q144" t="s">
        <v>153</v>
      </c>
      <c r="S144" t="s">
        <v>43</v>
      </c>
      <c r="T144">
        <v>1</v>
      </c>
      <c r="V144">
        <v>1</v>
      </c>
      <c r="W144" t="s">
        <v>73</v>
      </c>
      <c r="X144" t="s">
        <v>99</v>
      </c>
      <c r="AA144" t="s">
        <v>63</v>
      </c>
      <c r="AB144">
        <v>2</v>
      </c>
      <c r="AD144">
        <v>1</v>
      </c>
      <c r="AE144" t="s">
        <v>103</v>
      </c>
      <c r="AF144" t="s">
        <v>95</v>
      </c>
      <c r="AI144">
        <v>9</v>
      </c>
      <c r="AJ144">
        <v>27</v>
      </c>
    </row>
    <row r="145" spans="1:36" x14ac:dyDescent="0.25">
      <c r="A145" t="s">
        <v>766</v>
      </c>
      <c r="B145">
        <v>143</v>
      </c>
      <c r="C145" t="s">
        <v>53</v>
      </c>
      <c r="D145">
        <v>2</v>
      </c>
      <c r="E145">
        <v>1</v>
      </c>
      <c r="F145">
        <v>2</v>
      </c>
      <c r="G145" t="s">
        <v>54</v>
      </c>
      <c r="H145" t="s">
        <v>83</v>
      </c>
      <c r="K145" t="s">
        <v>38</v>
      </c>
      <c r="L145">
        <v>1</v>
      </c>
      <c r="M145">
        <v>1</v>
      </c>
      <c r="N145">
        <v>1</v>
      </c>
      <c r="O145" t="s">
        <v>67</v>
      </c>
      <c r="P145" t="s">
        <v>70</v>
      </c>
      <c r="S145" t="s">
        <v>43</v>
      </c>
      <c r="T145">
        <v>2</v>
      </c>
      <c r="V145">
        <v>1</v>
      </c>
      <c r="W145" t="s">
        <v>73</v>
      </c>
      <c r="X145" t="s">
        <v>74</v>
      </c>
      <c r="Y145" t="s">
        <v>75</v>
      </c>
      <c r="Z145" t="s">
        <v>101</v>
      </c>
      <c r="AA145" t="s">
        <v>227</v>
      </c>
      <c r="AB145">
        <v>1</v>
      </c>
      <c r="AC145">
        <v>1</v>
      </c>
      <c r="AD145">
        <v>1</v>
      </c>
      <c r="AE145" t="s">
        <v>228</v>
      </c>
      <c r="AI145">
        <v>8</v>
      </c>
      <c r="AJ145">
        <v>25</v>
      </c>
    </row>
    <row r="146" spans="1:36" x14ac:dyDescent="0.25">
      <c r="A146" t="s">
        <v>767</v>
      </c>
      <c r="B146">
        <v>144</v>
      </c>
      <c r="C146" t="s">
        <v>53</v>
      </c>
      <c r="D146">
        <v>2</v>
      </c>
      <c r="E146">
        <v>1</v>
      </c>
      <c r="F146">
        <v>1</v>
      </c>
      <c r="G146" t="s">
        <v>54</v>
      </c>
      <c r="K146" t="s">
        <v>38</v>
      </c>
      <c r="L146">
        <v>1</v>
      </c>
      <c r="M146">
        <v>1</v>
      </c>
      <c r="N146">
        <v>2</v>
      </c>
      <c r="O146" t="s">
        <v>67</v>
      </c>
      <c r="S146" t="s">
        <v>45</v>
      </c>
      <c r="T146">
        <v>2</v>
      </c>
      <c r="V146">
        <v>1</v>
      </c>
      <c r="W146" t="s">
        <v>86</v>
      </c>
      <c r="AA146" t="s">
        <v>63</v>
      </c>
      <c r="AB146">
        <v>1</v>
      </c>
      <c r="AD146">
        <v>1</v>
      </c>
      <c r="AE146" t="s">
        <v>103</v>
      </c>
      <c r="AF146" t="s">
        <v>95</v>
      </c>
      <c r="AI146">
        <v>4</v>
      </c>
      <c r="AJ146">
        <v>16</v>
      </c>
    </row>
    <row r="147" spans="1:36" x14ac:dyDescent="0.25">
      <c r="A147" t="s">
        <v>768</v>
      </c>
      <c r="B147">
        <v>145</v>
      </c>
      <c r="C147" t="s">
        <v>53</v>
      </c>
      <c r="D147">
        <v>1</v>
      </c>
      <c r="E147">
        <v>1</v>
      </c>
      <c r="F147">
        <v>1</v>
      </c>
      <c r="G147" t="s">
        <v>54</v>
      </c>
      <c r="H147" t="s">
        <v>55</v>
      </c>
      <c r="K147" t="s">
        <v>38</v>
      </c>
      <c r="L147">
        <v>1</v>
      </c>
      <c r="M147">
        <v>1</v>
      </c>
      <c r="N147">
        <v>1</v>
      </c>
      <c r="O147" t="s">
        <v>67</v>
      </c>
      <c r="P147" t="s">
        <v>70</v>
      </c>
      <c r="S147" t="s">
        <v>45</v>
      </c>
      <c r="T147">
        <v>2</v>
      </c>
      <c r="V147">
        <v>1</v>
      </c>
      <c r="W147" t="s">
        <v>86</v>
      </c>
      <c r="AA147" t="s">
        <v>227</v>
      </c>
      <c r="AB147">
        <v>2</v>
      </c>
      <c r="AC147">
        <v>1</v>
      </c>
      <c r="AD147">
        <v>1</v>
      </c>
      <c r="AE147" t="s">
        <v>228</v>
      </c>
      <c r="AF147" t="s">
        <v>231</v>
      </c>
      <c r="AI147">
        <v>5</v>
      </c>
      <c r="AJ147">
        <v>36</v>
      </c>
    </row>
    <row r="148" spans="1:36" x14ac:dyDescent="0.25">
      <c r="A148" t="s">
        <v>769</v>
      </c>
      <c r="B148">
        <v>146</v>
      </c>
      <c r="C148" t="s">
        <v>53</v>
      </c>
      <c r="D148">
        <v>2</v>
      </c>
      <c r="E148">
        <v>1</v>
      </c>
      <c r="F148">
        <v>1</v>
      </c>
      <c r="G148" t="s">
        <v>54</v>
      </c>
      <c r="K148" t="s">
        <v>38</v>
      </c>
      <c r="L148">
        <v>1</v>
      </c>
      <c r="M148">
        <v>1</v>
      </c>
      <c r="N148">
        <v>1</v>
      </c>
      <c r="O148" t="s">
        <v>152</v>
      </c>
      <c r="P148" t="s">
        <v>70</v>
      </c>
      <c r="Q148" t="s">
        <v>41</v>
      </c>
      <c r="S148" t="s">
        <v>63</v>
      </c>
      <c r="T148">
        <v>2</v>
      </c>
      <c r="V148">
        <v>1</v>
      </c>
      <c r="W148" t="s">
        <v>103</v>
      </c>
      <c r="AA148" t="s">
        <v>227</v>
      </c>
      <c r="AB148">
        <v>1</v>
      </c>
      <c r="AC148">
        <v>1</v>
      </c>
      <c r="AD148">
        <v>1</v>
      </c>
      <c r="AE148" t="s">
        <v>228</v>
      </c>
      <c r="AF148" t="s">
        <v>231</v>
      </c>
      <c r="AI148">
        <v>5</v>
      </c>
      <c r="AJ148">
        <v>21</v>
      </c>
    </row>
    <row r="149" spans="1:36" x14ac:dyDescent="0.25">
      <c r="A149" t="s">
        <v>770</v>
      </c>
      <c r="B149">
        <v>147</v>
      </c>
      <c r="C149" t="s">
        <v>56</v>
      </c>
      <c r="D149">
        <v>1</v>
      </c>
      <c r="F149">
        <v>1</v>
      </c>
      <c r="G149" t="s">
        <v>57</v>
      </c>
      <c r="H149" t="s">
        <v>69</v>
      </c>
      <c r="I149" t="s">
        <v>85</v>
      </c>
      <c r="K149" t="s">
        <v>48</v>
      </c>
      <c r="L149">
        <v>3</v>
      </c>
      <c r="N149">
        <v>3</v>
      </c>
      <c r="O149" t="s">
        <v>89</v>
      </c>
      <c r="P149" t="s">
        <v>84</v>
      </c>
      <c r="Q149" t="s">
        <v>127</v>
      </c>
      <c r="R149" t="s">
        <v>128</v>
      </c>
      <c r="S149" t="s">
        <v>53</v>
      </c>
      <c r="T149">
        <v>3</v>
      </c>
      <c r="U149">
        <v>1</v>
      </c>
      <c r="V149">
        <v>3</v>
      </c>
      <c r="W149" t="s">
        <v>54</v>
      </c>
      <c r="X149" t="s">
        <v>113</v>
      </c>
      <c r="Y149" t="s">
        <v>105</v>
      </c>
      <c r="Z149" t="s">
        <v>98</v>
      </c>
      <c r="AA149" t="s">
        <v>227</v>
      </c>
      <c r="AB149">
        <v>1</v>
      </c>
      <c r="AC149">
        <v>1</v>
      </c>
      <c r="AD149">
        <v>2</v>
      </c>
      <c r="AE149" t="s">
        <v>228</v>
      </c>
      <c r="AI149">
        <v>17</v>
      </c>
      <c r="AJ149">
        <v>53</v>
      </c>
    </row>
    <row r="150" spans="1:36" x14ac:dyDescent="0.25">
      <c r="A150" t="s">
        <v>771</v>
      </c>
      <c r="B150">
        <v>148</v>
      </c>
      <c r="C150" t="s">
        <v>56</v>
      </c>
      <c r="D150">
        <v>1</v>
      </c>
      <c r="F150">
        <v>1</v>
      </c>
      <c r="G150" t="s">
        <v>57</v>
      </c>
      <c r="H150" t="s">
        <v>121</v>
      </c>
      <c r="K150" t="s">
        <v>33</v>
      </c>
      <c r="L150">
        <v>2</v>
      </c>
      <c r="N150">
        <v>3</v>
      </c>
      <c r="O150" t="s">
        <v>65</v>
      </c>
      <c r="P150" t="s">
        <v>35</v>
      </c>
      <c r="Q150" t="s">
        <v>131</v>
      </c>
      <c r="R150" t="s">
        <v>37</v>
      </c>
      <c r="S150" t="s">
        <v>53</v>
      </c>
      <c r="T150">
        <v>3</v>
      </c>
      <c r="U150">
        <v>1</v>
      </c>
      <c r="V150">
        <v>1</v>
      </c>
      <c r="W150" t="s">
        <v>54</v>
      </c>
      <c r="AA150" t="s">
        <v>227</v>
      </c>
      <c r="AB150">
        <v>3</v>
      </c>
      <c r="AC150">
        <v>1</v>
      </c>
      <c r="AD150">
        <v>2</v>
      </c>
      <c r="AE150" t="s">
        <v>228</v>
      </c>
      <c r="AI150">
        <v>12</v>
      </c>
      <c r="AJ150">
        <v>26</v>
      </c>
    </row>
    <row r="151" spans="1:36" x14ac:dyDescent="0.25">
      <c r="A151" t="s">
        <v>772</v>
      </c>
      <c r="B151">
        <v>149</v>
      </c>
      <c r="C151" s="2" t="s">
        <v>56</v>
      </c>
      <c r="D151">
        <v>3</v>
      </c>
      <c r="F151">
        <v>1</v>
      </c>
      <c r="G151" t="s">
        <v>57</v>
      </c>
      <c r="H151" t="s">
        <v>121</v>
      </c>
      <c r="I151" t="s">
        <v>85</v>
      </c>
      <c r="J151" t="s">
        <v>125</v>
      </c>
      <c r="K151" s="2" t="s">
        <v>43</v>
      </c>
      <c r="L151">
        <v>2</v>
      </c>
      <c r="N151">
        <v>2</v>
      </c>
      <c r="O151" t="s">
        <v>73</v>
      </c>
      <c r="P151" t="s">
        <v>99</v>
      </c>
      <c r="Q151" t="s">
        <v>137</v>
      </c>
      <c r="R151" t="s">
        <v>101</v>
      </c>
      <c r="S151" t="s">
        <v>53</v>
      </c>
      <c r="T151">
        <v>3</v>
      </c>
      <c r="U151">
        <v>3</v>
      </c>
      <c r="V151">
        <v>3</v>
      </c>
      <c r="W151" t="s">
        <v>111</v>
      </c>
      <c r="AA151" t="s">
        <v>227</v>
      </c>
      <c r="AB151">
        <v>1</v>
      </c>
      <c r="AC151">
        <v>1</v>
      </c>
      <c r="AD151">
        <v>1</v>
      </c>
      <c r="AE151" t="s">
        <v>228</v>
      </c>
      <c r="AI151">
        <v>16</v>
      </c>
      <c r="AJ151">
        <v>38</v>
      </c>
    </row>
    <row r="152" spans="1:36" x14ac:dyDescent="0.25">
      <c r="A152" t="s">
        <v>773</v>
      </c>
      <c r="B152">
        <v>150</v>
      </c>
      <c r="C152" t="s">
        <v>53</v>
      </c>
      <c r="D152">
        <v>2</v>
      </c>
      <c r="E152">
        <v>1</v>
      </c>
      <c r="F152">
        <v>1</v>
      </c>
      <c r="G152" t="s">
        <v>54</v>
      </c>
      <c r="K152" t="s">
        <v>227</v>
      </c>
      <c r="L152">
        <v>2</v>
      </c>
      <c r="M152">
        <v>1</v>
      </c>
      <c r="N152">
        <v>2</v>
      </c>
      <c r="O152" t="s">
        <v>228</v>
      </c>
      <c r="S152" t="s">
        <v>56</v>
      </c>
      <c r="T152">
        <v>2</v>
      </c>
      <c r="V152">
        <v>1</v>
      </c>
      <c r="W152" t="s">
        <v>57</v>
      </c>
      <c r="X152" t="s">
        <v>122</v>
      </c>
      <c r="AA152" t="s">
        <v>45</v>
      </c>
      <c r="AB152">
        <v>1</v>
      </c>
      <c r="AD152">
        <v>1</v>
      </c>
      <c r="AE152" t="s">
        <v>47</v>
      </c>
      <c r="AI152">
        <v>5</v>
      </c>
      <c r="AJ152">
        <v>18</v>
      </c>
    </row>
    <row r="153" spans="1:36" x14ac:dyDescent="0.25">
      <c r="A153" t="s">
        <v>774</v>
      </c>
      <c r="B153">
        <v>151</v>
      </c>
      <c r="C153" t="s">
        <v>56</v>
      </c>
      <c r="D153">
        <v>1</v>
      </c>
      <c r="F153">
        <v>1</v>
      </c>
      <c r="G153" t="s">
        <v>57</v>
      </c>
      <c r="K153" t="s">
        <v>63</v>
      </c>
      <c r="L153">
        <v>1</v>
      </c>
      <c r="N153">
        <v>1</v>
      </c>
      <c r="O153" t="s">
        <v>103</v>
      </c>
      <c r="P153" t="s">
        <v>91</v>
      </c>
      <c r="Q153" t="s">
        <v>147</v>
      </c>
      <c r="S153" t="s">
        <v>53</v>
      </c>
      <c r="T153">
        <v>2</v>
      </c>
      <c r="U153">
        <v>1</v>
      </c>
      <c r="V153">
        <v>1</v>
      </c>
      <c r="W153" t="s">
        <v>54</v>
      </c>
      <c r="AA153" t="s">
        <v>227</v>
      </c>
      <c r="AB153">
        <v>2</v>
      </c>
      <c r="AC153">
        <v>1</v>
      </c>
      <c r="AD153">
        <v>1</v>
      </c>
      <c r="AE153" t="s">
        <v>228</v>
      </c>
      <c r="AI153">
        <v>4</v>
      </c>
      <c r="AJ153">
        <v>19</v>
      </c>
    </row>
    <row r="154" spans="1:36" x14ac:dyDescent="0.25">
      <c r="A154" t="s">
        <v>775</v>
      </c>
      <c r="B154">
        <v>152</v>
      </c>
      <c r="C154" t="s">
        <v>56</v>
      </c>
      <c r="D154">
        <v>3</v>
      </c>
      <c r="F154">
        <v>1</v>
      </c>
      <c r="G154" t="s">
        <v>57</v>
      </c>
      <c r="H154" t="s">
        <v>122</v>
      </c>
      <c r="I154" t="s">
        <v>85</v>
      </c>
      <c r="K154" t="s">
        <v>38</v>
      </c>
      <c r="L154">
        <v>1</v>
      </c>
      <c r="M154">
        <v>1</v>
      </c>
      <c r="N154">
        <v>1</v>
      </c>
      <c r="O154" t="s">
        <v>152</v>
      </c>
      <c r="P154" t="s">
        <v>70</v>
      </c>
      <c r="Q154" t="s">
        <v>41</v>
      </c>
      <c r="S154" t="s">
        <v>53</v>
      </c>
      <c r="T154">
        <v>2</v>
      </c>
      <c r="U154">
        <v>2</v>
      </c>
      <c r="V154">
        <v>3</v>
      </c>
      <c r="W154" t="s">
        <v>54</v>
      </c>
      <c r="AA154" t="s">
        <v>227</v>
      </c>
      <c r="AB154">
        <v>1</v>
      </c>
      <c r="AC154">
        <v>1</v>
      </c>
      <c r="AD154">
        <v>1</v>
      </c>
      <c r="AE154" t="s">
        <v>228</v>
      </c>
      <c r="AI154">
        <v>10</v>
      </c>
      <c r="AJ154">
        <v>33</v>
      </c>
    </row>
    <row r="155" spans="1:36" x14ac:dyDescent="0.25">
      <c r="A155" t="s">
        <v>776</v>
      </c>
      <c r="B155">
        <v>153</v>
      </c>
      <c r="C155" t="s">
        <v>48</v>
      </c>
      <c r="D155">
        <v>2</v>
      </c>
      <c r="F155">
        <v>1</v>
      </c>
      <c r="G155" t="s">
        <v>89</v>
      </c>
      <c r="H155" t="s">
        <v>71</v>
      </c>
      <c r="K155" t="s">
        <v>33</v>
      </c>
      <c r="L155">
        <v>1</v>
      </c>
      <c r="N155">
        <v>2</v>
      </c>
      <c r="O155" t="s">
        <v>34</v>
      </c>
      <c r="S155" t="s">
        <v>53</v>
      </c>
      <c r="T155">
        <v>2</v>
      </c>
      <c r="U155">
        <v>1</v>
      </c>
      <c r="V155">
        <v>1</v>
      </c>
      <c r="W155" t="s">
        <v>111</v>
      </c>
      <c r="AA155" t="s">
        <v>227</v>
      </c>
      <c r="AB155">
        <v>1</v>
      </c>
      <c r="AC155">
        <v>1</v>
      </c>
      <c r="AD155">
        <v>1</v>
      </c>
      <c r="AE155" t="s">
        <v>228</v>
      </c>
      <c r="AI155">
        <v>4</v>
      </c>
      <c r="AJ155">
        <v>21</v>
      </c>
    </row>
    <row r="156" spans="1:36" x14ac:dyDescent="0.25">
      <c r="A156" t="s">
        <v>777</v>
      </c>
      <c r="B156">
        <v>154</v>
      </c>
      <c r="C156" t="s">
        <v>48</v>
      </c>
      <c r="D156">
        <v>2</v>
      </c>
      <c r="F156">
        <v>1</v>
      </c>
      <c r="G156" t="s">
        <v>49</v>
      </c>
      <c r="H156" t="s">
        <v>71</v>
      </c>
      <c r="I156" t="s">
        <v>127</v>
      </c>
      <c r="K156" t="s">
        <v>43</v>
      </c>
      <c r="L156">
        <v>1</v>
      </c>
      <c r="N156">
        <v>1</v>
      </c>
      <c r="O156" t="s">
        <v>73</v>
      </c>
      <c r="P156" t="s">
        <v>74</v>
      </c>
      <c r="Q156" t="s">
        <v>75</v>
      </c>
      <c r="S156" t="s">
        <v>53</v>
      </c>
      <c r="T156">
        <v>3</v>
      </c>
      <c r="U156">
        <v>1</v>
      </c>
      <c r="V156">
        <v>2</v>
      </c>
      <c r="W156" t="s">
        <v>111</v>
      </c>
      <c r="X156" t="s">
        <v>83</v>
      </c>
      <c r="AA156" t="s">
        <v>227</v>
      </c>
      <c r="AB156">
        <v>2</v>
      </c>
      <c r="AC156">
        <v>1</v>
      </c>
      <c r="AD156">
        <v>1</v>
      </c>
      <c r="AE156" t="s">
        <v>228</v>
      </c>
      <c r="AI156">
        <v>10</v>
      </c>
      <c r="AJ156">
        <v>25</v>
      </c>
    </row>
    <row r="157" spans="1:36" x14ac:dyDescent="0.25">
      <c r="A157" t="s">
        <v>778</v>
      </c>
      <c r="B157">
        <v>155</v>
      </c>
      <c r="C157" t="s">
        <v>48</v>
      </c>
      <c r="D157">
        <v>3</v>
      </c>
      <c r="F157">
        <v>1</v>
      </c>
      <c r="G157" t="s">
        <v>89</v>
      </c>
      <c r="H157" t="s">
        <v>84</v>
      </c>
      <c r="I157" t="s">
        <v>51</v>
      </c>
      <c r="J157" t="s">
        <v>128</v>
      </c>
      <c r="K157" t="s">
        <v>45</v>
      </c>
      <c r="L157">
        <v>2</v>
      </c>
      <c r="N157">
        <v>1</v>
      </c>
      <c r="O157" t="s">
        <v>47</v>
      </c>
      <c r="P157" t="s">
        <v>141</v>
      </c>
      <c r="S157" t="s">
        <v>53</v>
      </c>
      <c r="T157">
        <v>2</v>
      </c>
      <c r="U157">
        <v>1</v>
      </c>
      <c r="V157">
        <v>1</v>
      </c>
      <c r="W157" t="s">
        <v>54</v>
      </c>
      <c r="X157" t="s">
        <v>83</v>
      </c>
      <c r="AA157" t="s">
        <v>227</v>
      </c>
      <c r="AB157">
        <v>1</v>
      </c>
      <c r="AC157">
        <v>1</v>
      </c>
      <c r="AD157">
        <v>1</v>
      </c>
      <c r="AE157" t="s">
        <v>228</v>
      </c>
      <c r="AF157" t="s">
        <v>231</v>
      </c>
      <c r="AI157">
        <v>10</v>
      </c>
      <c r="AJ157">
        <v>33</v>
      </c>
    </row>
    <row r="158" spans="1:36" x14ac:dyDescent="0.25">
      <c r="A158" t="s">
        <v>779</v>
      </c>
      <c r="B158">
        <v>156</v>
      </c>
      <c r="C158" t="s">
        <v>48</v>
      </c>
      <c r="D158">
        <v>2</v>
      </c>
      <c r="F158">
        <v>1</v>
      </c>
      <c r="G158" t="s">
        <v>89</v>
      </c>
      <c r="H158" t="s">
        <v>71</v>
      </c>
      <c r="I158" t="s">
        <v>51</v>
      </c>
      <c r="J158" t="s">
        <v>128</v>
      </c>
      <c r="K158" t="s">
        <v>63</v>
      </c>
      <c r="L158">
        <v>2</v>
      </c>
      <c r="N158">
        <v>1</v>
      </c>
      <c r="O158" t="s">
        <v>103</v>
      </c>
      <c r="P158" t="s">
        <v>95</v>
      </c>
      <c r="Q158" t="s">
        <v>104</v>
      </c>
      <c r="R158" t="s">
        <v>149</v>
      </c>
      <c r="S158" t="s">
        <v>53</v>
      </c>
      <c r="T158">
        <v>1</v>
      </c>
      <c r="U158">
        <v>2</v>
      </c>
      <c r="V158">
        <v>1</v>
      </c>
      <c r="W158" t="s">
        <v>111</v>
      </c>
      <c r="X158" t="s">
        <v>113</v>
      </c>
      <c r="AA158" t="s">
        <v>227</v>
      </c>
      <c r="AB158">
        <v>2</v>
      </c>
      <c r="AC158">
        <v>1</v>
      </c>
      <c r="AD158">
        <v>2</v>
      </c>
      <c r="AE158" t="s">
        <v>228</v>
      </c>
      <c r="AF158" t="s">
        <v>231</v>
      </c>
      <c r="AI158">
        <v>13</v>
      </c>
      <c r="AJ158">
        <v>43</v>
      </c>
    </row>
    <row r="159" spans="1:36" x14ac:dyDescent="0.25">
      <c r="A159" t="s">
        <v>780</v>
      </c>
      <c r="B159">
        <v>157</v>
      </c>
      <c r="C159" t="s">
        <v>48</v>
      </c>
      <c r="D159">
        <v>3</v>
      </c>
      <c r="F159">
        <v>1</v>
      </c>
      <c r="G159" t="s">
        <v>89</v>
      </c>
      <c r="H159" t="s">
        <v>71</v>
      </c>
      <c r="K159" t="s">
        <v>38</v>
      </c>
      <c r="L159">
        <v>1</v>
      </c>
      <c r="M159">
        <v>1</v>
      </c>
      <c r="N159">
        <v>1</v>
      </c>
      <c r="O159" t="s">
        <v>152</v>
      </c>
      <c r="P159" t="s">
        <v>70</v>
      </c>
      <c r="S159" t="s">
        <v>53</v>
      </c>
      <c r="T159">
        <v>3</v>
      </c>
      <c r="U159">
        <v>1</v>
      </c>
      <c r="V159">
        <v>1</v>
      </c>
      <c r="W159" t="s">
        <v>54</v>
      </c>
      <c r="X159" t="s">
        <v>83</v>
      </c>
      <c r="AA159" t="s">
        <v>227</v>
      </c>
      <c r="AB159">
        <v>1</v>
      </c>
      <c r="AC159">
        <v>1</v>
      </c>
      <c r="AD159">
        <v>1</v>
      </c>
      <c r="AE159" t="s">
        <v>228</v>
      </c>
      <c r="AI159">
        <v>7</v>
      </c>
      <c r="AJ159">
        <v>25</v>
      </c>
    </row>
    <row r="160" spans="1:36" x14ac:dyDescent="0.25">
      <c r="A160" t="s">
        <v>781</v>
      </c>
      <c r="B160">
        <v>158</v>
      </c>
      <c r="C160" s="2" t="s">
        <v>33</v>
      </c>
      <c r="D160">
        <v>1</v>
      </c>
      <c r="F160">
        <v>3</v>
      </c>
      <c r="G160" t="s">
        <v>34</v>
      </c>
      <c r="K160" s="2" t="s">
        <v>43</v>
      </c>
      <c r="L160">
        <v>1</v>
      </c>
      <c r="N160">
        <v>1</v>
      </c>
      <c r="O160" t="s">
        <v>73</v>
      </c>
      <c r="P160" t="s">
        <v>74</v>
      </c>
      <c r="Q160" t="s">
        <v>100</v>
      </c>
      <c r="S160" t="s">
        <v>53</v>
      </c>
      <c r="T160">
        <v>2</v>
      </c>
      <c r="U160">
        <v>3</v>
      </c>
      <c r="V160">
        <v>1</v>
      </c>
      <c r="W160" t="s">
        <v>111</v>
      </c>
      <c r="AA160" t="s">
        <v>227</v>
      </c>
      <c r="AB160">
        <v>2</v>
      </c>
      <c r="AC160">
        <v>1</v>
      </c>
      <c r="AD160">
        <v>1</v>
      </c>
      <c r="AE160" t="s">
        <v>228</v>
      </c>
      <c r="AI160">
        <v>8</v>
      </c>
      <c r="AJ160">
        <v>23</v>
      </c>
    </row>
    <row r="161" spans="1:36" x14ac:dyDescent="0.25">
      <c r="A161" t="s">
        <v>782</v>
      </c>
      <c r="B161">
        <v>159</v>
      </c>
      <c r="C161" t="s">
        <v>53</v>
      </c>
      <c r="D161">
        <v>2</v>
      </c>
      <c r="E161">
        <v>1</v>
      </c>
      <c r="F161">
        <v>1</v>
      </c>
      <c r="G161" t="s">
        <v>54</v>
      </c>
      <c r="H161" t="s">
        <v>83</v>
      </c>
      <c r="I161" t="s">
        <v>97</v>
      </c>
      <c r="K161" t="s">
        <v>227</v>
      </c>
      <c r="L161">
        <v>2</v>
      </c>
      <c r="M161">
        <v>1</v>
      </c>
      <c r="N161">
        <v>2</v>
      </c>
      <c r="O161" t="s">
        <v>228</v>
      </c>
      <c r="P161" t="s">
        <v>231</v>
      </c>
      <c r="S161" t="s">
        <v>33</v>
      </c>
      <c r="T161">
        <v>2</v>
      </c>
      <c r="V161">
        <v>3</v>
      </c>
      <c r="W161" t="s">
        <v>34</v>
      </c>
      <c r="X161" t="s">
        <v>35</v>
      </c>
      <c r="AA161" t="s">
        <v>45</v>
      </c>
      <c r="AB161">
        <v>3</v>
      </c>
      <c r="AD161">
        <v>1</v>
      </c>
      <c r="AE161" t="s">
        <v>140</v>
      </c>
      <c r="AI161">
        <v>12</v>
      </c>
      <c r="AJ161">
        <v>27</v>
      </c>
    </row>
    <row r="162" spans="1:36" x14ac:dyDescent="0.25">
      <c r="A162" t="s">
        <v>783</v>
      </c>
      <c r="B162">
        <v>160</v>
      </c>
      <c r="C162" t="s">
        <v>33</v>
      </c>
      <c r="D162">
        <v>1</v>
      </c>
      <c r="F162">
        <v>3</v>
      </c>
      <c r="G162" t="s">
        <v>34</v>
      </c>
      <c r="H162" t="s">
        <v>66</v>
      </c>
      <c r="K162" t="s">
        <v>63</v>
      </c>
      <c r="L162">
        <v>1</v>
      </c>
      <c r="N162">
        <v>1</v>
      </c>
      <c r="O162" t="s">
        <v>103</v>
      </c>
      <c r="P162" t="s">
        <v>91</v>
      </c>
      <c r="S162" t="s">
        <v>53</v>
      </c>
      <c r="T162">
        <v>3</v>
      </c>
      <c r="U162">
        <v>1</v>
      </c>
      <c r="V162">
        <v>1</v>
      </c>
      <c r="W162" t="s">
        <v>54</v>
      </c>
      <c r="AA162" t="s">
        <v>227</v>
      </c>
      <c r="AB162">
        <v>2</v>
      </c>
      <c r="AC162">
        <v>1</v>
      </c>
      <c r="AD162">
        <v>1</v>
      </c>
      <c r="AE162" t="s">
        <v>228</v>
      </c>
      <c r="AF162" t="s">
        <v>231</v>
      </c>
      <c r="AI162">
        <v>8</v>
      </c>
      <c r="AJ162">
        <v>31</v>
      </c>
    </row>
    <row r="163" spans="1:36" x14ac:dyDescent="0.25">
      <c r="A163" t="s">
        <v>784</v>
      </c>
      <c r="B163">
        <v>161</v>
      </c>
      <c r="C163" t="s">
        <v>33</v>
      </c>
      <c r="D163">
        <v>2</v>
      </c>
      <c r="F163">
        <v>1</v>
      </c>
      <c r="G163" t="s">
        <v>34</v>
      </c>
      <c r="H163" t="s">
        <v>130</v>
      </c>
      <c r="I163" t="s">
        <v>36</v>
      </c>
      <c r="K163" t="s">
        <v>38</v>
      </c>
      <c r="L163">
        <v>1</v>
      </c>
      <c r="M163">
        <v>1</v>
      </c>
      <c r="N163">
        <v>1</v>
      </c>
      <c r="O163" t="s">
        <v>152</v>
      </c>
      <c r="P163" t="s">
        <v>70</v>
      </c>
      <c r="Q163" t="s">
        <v>41</v>
      </c>
      <c r="R163" t="s">
        <v>155</v>
      </c>
      <c r="S163" t="s">
        <v>53</v>
      </c>
      <c r="T163">
        <v>3</v>
      </c>
      <c r="U163">
        <v>1</v>
      </c>
      <c r="V163">
        <v>1</v>
      </c>
      <c r="W163" t="s">
        <v>54</v>
      </c>
      <c r="AA163" t="s">
        <v>227</v>
      </c>
      <c r="AB163">
        <v>1</v>
      </c>
      <c r="AC163">
        <v>1</v>
      </c>
      <c r="AD163">
        <v>1</v>
      </c>
      <c r="AE163" t="s">
        <v>228</v>
      </c>
      <c r="AI163">
        <v>8</v>
      </c>
      <c r="AJ163">
        <v>26</v>
      </c>
    </row>
    <row r="164" spans="1:36" x14ac:dyDescent="0.25">
      <c r="A164" t="s">
        <v>785</v>
      </c>
      <c r="B164">
        <v>162</v>
      </c>
      <c r="C164" t="s">
        <v>43</v>
      </c>
      <c r="D164">
        <v>2</v>
      </c>
      <c r="F164">
        <v>1</v>
      </c>
      <c r="G164" t="s">
        <v>73</v>
      </c>
      <c r="H164" t="s">
        <v>74</v>
      </c>
      <c r="I164" t="s">
        <v>137</v>
      </c>
      <c r="J164" t="s">
        <v>139</v>
      </c>
      <c r="K164" t="s">
        <v>45</v>
      </c>
      <c r="L164">
        <v>3</v>
      </c>
      <c r="N164">
        <v>1</v>
      </c>
      <c r="O164" t="s">
        <v>140</v>
      </c>
      <c r="S164" t="s">
        <v>53</v>
      </c>
      <c r="T164">
        <v>1</v>
      </c>
      <c r="U164">
        <v>3</v>
      </c>
      <c r="V164">
        <v>1</v>
      </c>
      <c r="W164" t="s">
        <v>54</v>
      </c>
      <c r="X164" t="s">
        <v>83</v>
      </c>
      <c r="Y164" t="s">
        <v>105</v>
      </c>
      <c r="AA164" t="s">
        <v>227</v>
      </c>
      <c r="AB164">
        <v>2</v>
      </c>
      <c r="AC164">
        <v>1</v>
      </c>
      <c r="AD164">
        <v>1</v>
      </c>
      <c r="AE164" t="s">
        <v>228</v>
      </c>
      <c r="AI164">
        <v>11</v>
      </c>
      <c r="AJ164">
        <v>27</v>
      </c>
    </row>
    <row r="165" spans="1:36" x14ac:dyDescent="0.25">
      <c r="A165" t="s">
        <v>786</v>
      </c>
      <c r="B165">
        <v>163</v>
      </c>
      <c r="C165" t="s">
        <v>43</v>
      </c>
      <c r="D165">
        <v>1</v>
      </c>
      <c r="F165">
        <v>1</v>
      </c>
      <c r="G165" t="s">
        <v>73</v>
      </c>
      <c r="H165" t="s">
        <v>99</v>
      </c>
      <c r="I165" t="s">
        <v>137</v>
      </c>
      <c r="K165" t="s">
        <v>63</v>
      </c>
      <c r="L165">
        <v>2</v>
      </c>
      <c r="N165">
        <v>1</v>
      </c>
      <c r="O165" t="s">
        <v>103</v>
      </c>
      <c r="P165" t="s">
        <v>95</v>
      </c>
      <c r="Q165" t="s">
        <v>147</v>
      </c>
      <c r="S165" t="s">
        <v>53</v>
      </c>
      <c r="T165">
        <v>3</v>
      </c>
      <c r="U165">
        <v>1</v>
      </c>
      <c r="V165">
        <v>2</v>
      </c>
      <c r="W165" t="s">
        <v>54</v>
      </c>
      <c r="AA165" t="s">
        <v>227</v>
      </c>
      <c r="AB165">
        <v>2</v>
      </c>
      <c r="AC165">
        <v>1</v>
      </c>
      <c r="AD165">
        <v>1</v>
      </c>
      <c r="AE165" t="s">
        <v>228</v>
      </c>
      <c r="AF165" t="s">
        <v>231</v>
      </c>
      <c r="AI165">
        <v>10</v>
      </c>
      <c r="AJ165">
        <v>28</v>
      </c>
    </row>
    <row r="166" spans="1:36" x14ac:dyDescent="0.25">
      <c r="A166" t="s">
        <v>787</v>
      </c>
      <c r="B166">
        <v>164</v>
      </c>
      <c r="C166" t="s">
        <v>43</v>
      </c>
      <c r="D166">
        <v>1</v>
      </c>
      <c r="F166">
        <v>1</v>
      </c>
      <c r="G166" t="s">
        <v>73</v>
      </c>
      <c r="H166" t="s">
        <v>99</v>
      </c>
      <c r="I166" t="s">
        <v>100</v>
      </c>
      <c r="J166" t="s">
        <v>138</v>
      </c>
      <c r="K166" t="s">
        <v>38</v>
      </c>
      <c r="L166">
        <v>1</v>
      </c>
      <c r="M166">
        <v>1</v>
      </c>
      <c r="N166">
        <v>1</v>
      </c>
      <c r="O166" t="s">
        <v>152</v>
      </c>
      <c r="P166" t="s">
        <v>70</v>
      </c>
      <c r="Q166" t="s">
        <v>41</v>
      </c>
      <c r="S166" t="s">
        <v>53</v>
      </c>
      <c r="T166">
        <v>1</v>
      </c>
      <c r="U166">
        <v>1</v>
      </c>
      <c r="V166">
        <v>1</v>
      </c>
      <c r="W166" t="s">
        <v>111</v>
      </c>
      <c r="X166" t="s">
        <v>83</v>
      </c>
      <c r="Y166" t="s">
        <v>105</v>
      </c>
      <c r="AA166" t="s">
        <v>227</v>
      </c>
      <c r="AB166">
        <v>1</v>
      </c>
      <c r="AC166">
        <v>1</v>
      </c>
      <c r="AD166">
        <v>1</v>
      </c>
      <c r="AE166" t="s">
        <v>228</v>
      </c>
      <c r="AI166">
        <v>7</v>
      </c>
      <c r="AJ166">
        <v>31</v>
      </c>
    </row>
    <row r="167" spans="1:36" x14ac:dyDescent="0.25">
      <c r="A167" t="s">
        <v>788</v>
      </c>
      <c r="B167">
        <v>165</v>
      </c>
      <c r="C167" t="s">
        <v>45</v>
      </c>
      <c r="D167">
        <v>3</v>
      </c>
      <c r="F167">
        <v>1</v>
      </c>
      <c r="G167" t="s">
        <v>47</v>
      </c>
      <c r="K167" t="s">
        <v>63</v>
      </c>
      <c r="L167">
        <v>2</v>
      </c>
      <c r="N167">
        <v>1</v>
      </c>
      <c r="O167" t="s">
        <v>103</v>
      </c>
      <c r="P167" t="s">
        <v>95</v>
      </c>
      <c r="S167" t="s">
        <v>53</v>
      </c>
      <c r="T167">
        <v>3</v>
      </c>
      <c r="U167">
        <v>1</v>
      </c>
      <c r="V167">
        <v>1</v>
      </c>
      <c r="W167" t="s">
        <v>54</v>
      </c>
      <c r="X167" t="s">
        <v>83</v>
      </c>
      <c r="Y167" t="s">
        <v>97</v>
      </c>
      <c r="AA167" t="s">
        <v>227</v>
      </c>
      <c r="AB167">
        <v>1</v>
      </c>
      <c r="AC167">
        <v>1</v>
      </c>
      <c r="AD167">
        <v>1</v>
      </c>
      <c r="AE167" t="s">
        <v>228</v>
      </c>
      <c r="AI167">
        <v>8</v>
      </c>
      <c r="AJ167">
        <v>24</v>
      </c>
    </row>
    <row r="168" spans="1:36" x14ac:dyDescent="0.25">
      <c r="A168" t="s">
        <v>789</v>
      </c>
      <c r="B168">
        <v>166</v>
      </c>
      <c r="C168" t="s">
        <v>45</v>
      </c>
      <c r="D168">
        <v>3</v>
      </c>
      <c r="F168">
        <v>1</v>
      </c>
      <c r="G168" t="s">
        <v>86</v>
      </c>
      <c r="H168" t="s">
        <v>76</v>
      </c>
      <c r="K168" t="s">
        <v>38</v>
      </c>
      <c r="L168">
        <v>1</v>
      </c>
      <c r="M168">
        <v>1</v>
      </c>
      <c r="N168">
        <v>2</v>
      </c>
      <c r="O168" t="s">
        <v>152</v>
      </c>
      <c r="P168" t="s">
        <v>70</v>
      </c>
      <c r="Q168" t="s">
        <v>41</v>
      </c>
      <c r="R168" t="s">
        <v>42</v>
      </c>
      <c r="S168" t="s">
        <v>53</v>
      </c>
      <c r="T168">
        <v>2</v>
      </c>
      <c r="U168">
        <v>3</v>
      </c>
      <c r="V168">
        <v>2</v>
      </c>
      <c r="W168" t="s">
        <v>54</v>
      </c>
      <c r="AA168" t="s">
        <v>227</v>
      </c>
      <c r="AB168">
        <v>1</v>
      </c>
      <c r="AC168">
        <v>1</v>
      </c>
      <c r="AD168">
        <v>1</v>
      </c>
      <c r="AE168" t="s">
        <v>228</v>
      </c>
      <c r="AI168">
        <v>11</v>
      </c>
      <c r="AJ168">
        <v>25</v>
      </c>
    </row>
    <row r="169" spans="1:36" x14ac:dyDescent="0.25">
      <c r="A169" t="s">
        <v>790</v>
      </c>
      <c r="B169">
        <v>167</v>
      </c>
      <c r="C169" t="s">
        <v>63</v>
      </c>
      <c r="D169">
        <v>1</v>
      </c>
      <c r="F169">
        <v>1</v>
      </c>
      <c r="G169" t="s">
        <v>103</v>
      </c>
      <c r="H169" t="s">
        <v>91</v>
      </c>
      <c r="I169" t="s">
        <v>147</v>
      </c>
      <c r="K169" t="s">
        <v>38</v>
      </c>
      <c r="L169">
        <v>1</v>
      </c>
      <c r="M169">
        <v>1</v>
      </c>
      <c r="N169">
        <v>1</v>
      </c>
      <c r="O169" t="s">
        <v>152</v>
      </c>
      <c r="P169" t="s">
        <v>70</v>
      </c>
      <c r="S169" t="s">
        <v>53</v>
      </c>
      <c r="T169">
        <v>3</v>
      </c>
      <c r="U169">
        <v>1</v>
      </c>
      <c r="V169">
        <v>1</v>
      </c>
      <c r="W169" t="s">
        <v>54</v>
      </c>
      <c r="X169" t="s">
        <v>83</v>
      </c>
      <c r="AA169" t="s">
        <v>227</v>
      </c>
      <c r="AB169">
        <v>1</v>
      </c>
      <c r="AC169">
        <v>1</v>
      </c>
      <c r="AD169">
        <v>1</v>
      </c>
      <c r="AE169" t="s">
        <v>228</v>
      </c>
      <c r="AI169">
        <v>6</v>
      </c>
      <c r="AJ169">
        <v>21</v>
      </c>
    </row>
    <row r="170" spans="1:36" x14ac:dyDescent="0.25">
      <c r="A170" t="s">
        <v>791</v>
      </c>
      <c r="B170">
        <v>168</v>
      </c>
      <c r="C170" t="s">
        <v>33</v>
      </c>
      <c r="D170">
        <v>1</v>
      </c>
      <c r="F170">
        <v>3</v>
      </c>
      <c r="G170" t="s">
        <v>65</v>
      </c>
      <c r="H170" t="s">
        <v>66</v>
      </c>
      <c r="K170" t="s">
        <v>43</v>
      </c>
      <c r="L170">
        <v>1</v>
      </c>
      <c r="N170">
        <v>1</v>
      </c>
      <c r="O170" t="s">
        <v>73</v>
      </c>
      <c r="P170" t="s">
        <v>99</v>
      </c>
      <c r="Q170" t="s">
        <v>75</v>
      </c>
      <c r="R170" t="s">
        <v>138</v>
      </c>
      <c r="S170" t="s">
        <v>56</v>
      </c>
      <c r="T170">
        <v>2</v>
      </c>
      <c r="V170">
        <v>1</v>
      </c>
      <c r="W170" t="s">
        <v>68</v>
      </c>
      <c r="AA170" t="s">
        <v>48</v>
      </c>
      <c r="AB170">
        <v>1</v>
      </c>
      <c r="AD170">
        <v>2</v>
      </c>
      <c r="AE170" t="s">
        <v>89</v>
      </c>
      <c r="AF170" t="s">
        <v>84</v>
      </c>
      <c r="AI170">
        <v>9</v>
      </c>
      <c r="AJ170">
        <v>22</v>
      </c>
    </row>
    <row r="171" spans="1:36" x14ac:dyDescent="0.25">
      <c r="A171" t="s">
        <v>792</v>
      </c>
      <c r="B171">
        <v>169</v>
      </c>
      <c r="C171" t="s">
        <v>56</v>
      </c>
      <c r="D171">
        <v>2</v>
      </c>
      <c r="F171">
        <v>1</v>
      </c>
      <c r="G171" t="s">
        <v>68</v>
      </c>
      <c r="K171" t="s">
        <v>48</v>
      </c>
      <c r="L171">
        <v>3</v>
      </c>
      <c r="N171">
        <v>1</v>
      </c>
      <c r="O171" t="s">
        <v>89</v>
      </c>
      <c r="P171" t="s">
        <v>84</v>
      </c>
      <c r="Q171" t="s">
        <v>90</v>
      </c>
      <c r="S171" t="s">
        <v>33</v>
      </c>
      <c r="T171">
        <v>2</v>
      </c>
      <c r="V171">
        <v>3</v>
      </c>
      <c r="W171" t="s">
        <v>65</v>
      </c>
      <c r="X171" t="s">
        <v>35</v>
      </c>
      <c r="Y171" t="s">
        <v>131</v>
      </c>
      <c r="AA171" t="s">
        <v>45</v>
      </c>
      <c r="AB171">
        <v>3</v>
      </c>
      <c r="AD171">
        <v>1</v>
      </c>
      <c r="AE171" t="s">
        <v>47</v>
      </c>
      <c r="AI171">
        <v>12</v>
      </c>
      <c r="AJ171">
        <v>30</v>
      </c>
    </row>
    <row r="172" spans="1:36" x14ac:dyDescent="0.25">
      <c r="A172" t="s">
        <v>793</v>
      </c>
      <c r="B172">
        <v>170</v>
      </c>
      <c r="C172" t="s">
        <v>33</v>
      </c>
      <c r="D172">
        <v>3</v>
      </c>
      <c r="F172">
        <v>1</v>
      </c>
      <c r="G172" t="s">
        <v>65</v>
      </c>
      <c r="H172" t="s">
        <v>66</v>
      </c>
      <c r="K172" t="s">
        <v>63</v>
      </c>
      <c r="L172">
        <v>1</v>
      </c>
      <c r="N172">
        <v>1</v>
      </c>
      <c r="O172" t="s">
        <v>103</v>
      </c>
      <c r="P172" t="s">
        <v>91</v>
      </c>
      <c r="S172" t="s">
        <v>56</v>
      </c>
      <c r="T172">
        <v>3</v>
      </c>
      <c r="V172">
        <v>1</v>
      </c>
      <c r="W172" t="s">
        <v>68</v>
      </c>
      <c r="AA172" t="s">
        <v>48</v>
      </c>
      <c r="AB172">
        <v>3</v>
      </c>
      <c r="AD172">
        <v>2</v>
      </c>
      <c r="AE172" t="s">
        <v>49</v>
      </c>
      <c r="AI172">
        <v>9</v>
      </c>
      <c r="AJ172">
        <v>31</v>
      </c>
    </row>
    <row r="173" spans="1:36" x14ac:dyDescent="0.25">
      <c r="A173" t="s">
        <v>794</v>
      </c>
      <c r="B173">
        <v>171</v>
      </c>
      <c r="C173" t="s">
        <v>33</v>
      </c>
      <c r="D173">
        <v>3</v>
      </c>
      <c r="F173">
        <v>3</v>
      </c>
      <c r="G173" t="s">
        <v>65</v>
      </c>
      <c r="K173" t="s">
        <v>38</v>
      </c>
      <c r="L173">
        <v>1</v>
      </c>
      <c r="M173">
        <v>1</v>
      </c>
      <c r="N173">
        <v>1</v>
      </c>
      <c r="O173" t="s">
        <v>152</v>
      </c>
      <c r="P173" t="s">
        <v>70</v>
      </c>
      <c r="S173" t="s">
        <v>56</v>
      </c>
      <c r="T173">
        <v>1</v>
      </c>
      <c r="V173">
        <v>1</v>
      </c>
      <c r="W173" t="s">
        <v>68</v>
      </c>
      <c r="AA173" t="s">
        <v>48</v>
      </c>
      <c r="AB173">
        <v>3</v>
      </c>
      <c r="AD173">
        <v>1</v>
      </c>
      <c r="AE173" t="s">
        <v>49</v>
      </c>
      <c r="AF173" t="s">
        <v>71</v>
      </c>
      <c r="AG173" t="s">
        <v>51</v>
      </c>
      <c r="AI173">
        <v>9</v>
      </c>
      <c r="AJ173">
        <v>29</v>
      </c>
    </row>
    <row r="174" spans="1:36" x14ac:dyDescent="0.25">
      <c r="A174" t="s">
        <v>795</v>
      </c>
      <c r="B174">
        <v>172</v>
      </c>
      <c r="C174" t="s">
        <v>33</v>
      </c>
      <c r="D174">
        <v>1</v>
      </c>
      <c r="F174">
        <v>3</v>
      </c>
      <c r="G174" t="s">
        <v>46</v>
      </c>
      <c r="H174" t="s">
        <v>130</v>
      </c>
      <c r="I174" t="s">
        <v>132</v>
      </c>
      <c r="K174" t="s">
        <v>227</v>
      </c>
      <c r="L174">
        <v>2</v>
      </c>
      <c r="M174">
        <v>1</v>
      </c>
      <c r="N174">
        <v>1</v>
      </c>
      <c r="O174" t="s">
        <v>228</v>
      </c>
      <c r="S174" t="s">
        <v>56</v>
      </c>
      <c r="T174">
        <v>3</v>
      </c>
      <c r="V174">
        <v>2</v>
      </c>
      <c r="W174" t="s">
        <v>68</v>
      </c>
      <c r="AA174" t="s">
        <v>48</v>
      </c>
      <c r="AB174">
        <v>1</v>
      </c>
      <c r="AD174">
        <v>1</v>
      </c>
      <c r="AE174" t="s">
        <v>89</v>
      </c>
      <c r="AF174" t="s">
        <v>84</v>
      </c>
      <c r="AG174" t="s">
        <v>90</v>
      </c>
      <c r="AH174" t="s">
        <v>129</v>
      </c>
      <c r="AI174">
        <v>11</v>
      </c>
      <c r="AJ174">
        <v>30</v>
      </c>
    </row>
    <row r="175" spans="1:36" x14ac:dyDescent="0.25">
      <c r="A175" t="s">
        <v>796</v>
      </c>
      <c r="B175">
        <v>173</v>
      </c>
      <c r="C175" t="s">
        <v>56</v>
      </c>
      <c r="D175">
        <v>1</v>
      </c>
      <c r="F175">
        <v>1</v>
      </c>
      <c r="G175" t="s">
        <v>68</v>
      </c>
      <c r="H175" t="s">
        <v>122</v>
      </c>
      <c r="K175" t="s">
        <v>48</v>
      </c>
      <c r="L175">
        <v>2</v>
      </c>
      <c r="N175">
        <v>1</v>
      </c>
      <c r="O175" t="s">
        <v>89</v>
      </c>
      <c r="P175" t="s">
        <v>50</v>
      </c>
      <c r="Q175" t="s">
        <v>90</v>
      </c>
      <c r="R175" t="s">
        <v>129</v>
      </c>
      <c r="S175" t="s">
        <v>43</v>
      </c>
      <c r="T175">
        <v>1</v>
      </c>
      <c r="V175">
        <v>1</v>
      </c>
      <c r="W175" t="s">
        <v>73</v>
      </c>
      <c r="X175" t="s">
        <v>99</v>
      </c>
      <c r="Y175" t="s">
        <v>75</v>
      </c>
      <c r="AA175" t="s">
        <v>45</v>
      </c>
      <c r="AB175">
        <v>3</v>
      </c>
      <c r="AD175">
        <v>1</v>
      </c>
      <c r="AE175" t="s">
        <v>47</v>
      </c>
      <c r="AI175">
        <v>9</v>
      </c>
      <c r="AJ175">
        <v>33</v>
      </c>
    </row>
    <row r="176" spans="1:36" x14ac:dyDescent="0.25">
      <c r="A176" t="s">
        <v>797</v>
      </c>
      <c r="B176">
        <v>174</v>
      </c>
      <c r="C176" t="s">
        <v>56</v>
      </c>
      <c r="D176">
        <v>2</v>
      </c>
      <c r="F176">
        <v>1</v>
      </c>
      <c r="G176" t="s">
        <v>68</v>
      </c>
      <c r="K176" t="s">
        <v>48</v>
      </c>
      <c r="L176">
        <v>3</v>
      </c>
      <c r="N176">
        <v>3</v>
      </c>
      <c r="O176" t="s">
        <v>89</v>
      </c>
      <c r="P176" t="s">
        <v>71</v>
      </c>
      <c r="Q176" t="s">
        <v>51</v>
      </c>
      <c r="S176" t="s">
        <v>43</v>
      </c>
      <c r="T176">
        <v>1</v>
      </c>
      <c r="V176">
        <v>1</v>
      </c>
      <c r="W176" t="s">
        <v>73</v>
      </c>
      <c r="X176" t="s">
        <v>74</v>
      </c>
      <c r="Y176" t="s">
        <v>137</v>
      </c>
      <c r="Z176" t="s">
        <v>101</v>
      </c>
      <c r="AA176" t="s">
        <v>63</v>
      </c>
      <c r="AB176">
        <v>3</v>
      </c>
      <c r="AD176">
        <v>1</v>
      </c>
      <c r="AE176" t="s">
        <v>103</v>
      </c>
      <c r="AF176" t="s">
        <v>91</v>
      </c>
      <c r="AG176" t="s">
        <v>147</v>
      </c>
      <c r="AI176">
        <v>14</v>
      </c>
      <c r="AJ176">
        <v>40</v>
      </c>
    </row>
    <row r="177" spans="1:36" x14ac:dyDescent="0.25">
      <c r="A177" t="s">
        <v>798</v>
      </c>
      <c r="B177">
        <v>175</v>
      </c>
      <c r="C177" t="s">
        <v>56</v>
      </c>
      <c r="D177">
        <v>1</v>
      </c>
      <c r="F177">
        <v>1</v>
      </c>
      <c r="G177" t="s">
        <v>68</v>
      </c>
      <c r="H177" t="s">
        <v>69</v>
      </c>
      <c r="K177" t="s">
        <v>48</v>
      </c>
      <c r="L177">
        <v>3</v>
      </c>
      <c r="N177">
        <v>2</v>
      </c>
      <c r="O177" t="s">
        <v>89</v>
      </c>
      <c r="P177" t="s">
        <v>71</v>
      </c>
      <c r="S177" t="s">
        <v>43</v>
      </c>
      <c r="T177">
        <v>3</v>
      </c>
      <c r="V177">
        <v>1</v>
      </c>
      <c r="W177" t="s">
        <v>73</v>
      </c>
      <c r="X177" t="s">
        <v>74</v>
      </c>
      <c r="Y177" t="s">
        <v>75</v>
      </c>
      <c r="Z177" t="s">
        <v>139</v>
      </c>
      <c r="AA177" t="s">
        <v>38</v>
      </c>
      <c r="AB177">
        <v>2</v>
      </c>
      <c r="AC177">
        <v>1</v>
      </c>
      <c r="AD177">
        <v>1</v>
      </c>
      <c r="AE177" t="s">
        <v>152</v>
      </c>
      <c r="AI177">
        <v>11</v>
      </c>
      <c r="AJ177">
        <v>28</v>
      </c>
    </row>
    <row r="178" spans="1:36" x14ac:dyDescent="0.25">
      <c r="A178" t="s">
        <v>799</v>
      </c>
      <c r="B178">
        <v>176</v>
      </c>
      <c r="C178" t="s">
        <v>43</v>
      </c>
      <c r="D178">
        <v>2</v>
      </c>
      <c r="F178">
        <v>1</v>
      </c>
      <c r="G178" t="s">
        <v>73</v>
      </c>
      <c r="H178" t="s">
        <v>74</v>
      </c>
      <c r="I178" t="s">
        <v>75</v>
      </c>
      <c r="J178" t="s">
        <v>101</v>
      </c>
      <c r="K178" t="s">
        <v>227</v>
      </c>
      <c r="L178">
        <v>1</v>
      </c>
      <c r="M178">
        <v>1</v>
      </c>
      <c r="N178">
        <v>1</v>
      </c>
      <c r="O178" t="s">
        <v>228</v>
      </c>
      <c r="S178" t="s">
        <v>56</v>
      </c>
      <c r="T178">
        <v>2</v>
      </c>
      <c r="V178">
        <v>1</v>
      </c>
      <c r="W178" t="s">
        <v>68</v>
      </c>
      <c r="AA178" t="s">
        <v>48</v>
      </c>
      <c r="AB178">
        <v>2</v>
      </c>
      <c r="AD178">
        <v>1</v>
      </c>
      <c r="AE178" t="s">
        <v>89</v>
      </c>
      <c r="AI178">
        <v>6</v>
      </c>
      <c r="AJ178">
        <v>25</v>
      </c>
    </row>
    <row r="179" spans="1:36" x14ac:dyDescent="0.25">
      <c r="A179" t="s">
        <v>800</v>
      </c>
      <c r="B179">
        <v>177</v>
      </c>
      <c r="C179" t="s">
        <v>56</v>
      </c>
      <c r="D179">
        <v>2</v>
      </c>
      <c r="F179">
        <v>1</v>
      </c>
      <c r="G179" t="s">
        <v>68</v>
      </c>
      <c r="K179" t="s">
        <v>48</v>
      </c>
      <c r="L179">
        <v>1</v>
      </c>
      <c r="N179">
        <v>1</v>
      </c>
      <c r="O179" t="s">
        <v>49</v>
      </c>
      <c r="P179" t="s">
        <v>50</v>
      </c>
      <c r="Q179" t="s">
        <v>127</v>
      </c>
      <c r="S179" t="s">
        <v>45</v>
      </c>
      <c r="T179">
        <v>2</v>
      </c>
      <c r="V179">
        <v>1</v>
      </c>
      <c r="W179" t="s">
        <v>86</v>
      </c>
      <c r="AA179" t="s">
        <v>63</v>
      </c>
      <c r="AB179">
        <v>1</v>
      </c>
      <c r="AD179">
        <v>1</v>
      </c>
      <c r="AE179" t="s">
        <v>103</v>
      </c>
      <c r="AF179" t="s">
        <v>91</v>
      </c>
      <c r="AG179" t="s">
        <v>147</v>
      </c>
      <c r="AI179">
        <v>6</v>
      </c>
      <c r="AJ179">
        <v>18</v>
      </c>
    </row>
    <row r="180" spans="1:36" x14ac:dyDescent="0.25">
      <c r="A180" t="s">
        <v>801</v>
      </c>
      <c r="B180">
        <v>178</v>
      </c>
      <c r="C180" t="s">
        <v>45</v>
      </c>
      <c r="D180">
        <v>3</v>
      </c>
      <c r="F180">
        <v>2</v>
      </c>
      <c r="G180" t="s">
        <v>86</v>
      </c>
      <c r="H180" t="s">
        <v>92</v>
      </c>
      <c r="I180" t="s">
        <v>93</v>
      </c>
      <c r="J180" t="s">
        <v>143</v>
      </c>
      <c r="K180" t="s">
        <v>38</v>
      </c>
      <c r="L180">
        <v>1</v>
      </c>
      <c r="M180">
        <v>1</v>
      </c>
      <c r="N180">
        <v>2</v>
      </c>
      <c r="O180" t="s">
        <v>152</v>
      </c>
      <c r="P180" t="s">
        <v>70</v>
      </c>
      <c r="S180" t="s">
        <v>56</v>
      </c>
      <c r="T180">
        <v>1</v>
      </c>
      <c r="V180">
        <v>1</v>
      </c>
      <c r="W180" t="s">
        <v>68</v>
      </c>
      <c r="AA180" t="s">
        <v>48</v>
      </c>
      <c r="AB180">
        <v>1</v>
      </c>
      <c r="AD180">
        <v>3</v>
      </c>
      <c r="AE180" t="s">
        <v>89</v>
      </c>
      <c r="AF180" t="s">
        <v>84</v>
      </c>
      <c r="AG180" t="s">
        <v>90</v>
      </c>
      <c r="AH180" t="s">
        <v>128</v>
      </c>
      <c r="AI180">
        <v>13</v>
      </c>
      <c r="AJ180">
        <v>33</v>
      </c>
    </row>
    <row r="181" spans="1:36" x14ac:dyDescent="0.25">
      <c r="A181" t="s">
        <v>802</v>
      </c>
      <c r="B181">
        <v>179</v>
      </c>
      <c r="C181" t="s">
        <v>56</v>
      </c>
      <c r="D181">
        <v>1</v>
      </c>
      <c r="F181">
        <v>2</v>
      </c>
      <c r="G181" t="s">
        <v>68</v>
      </c>
      <c r="K181" t="s">
        <v>48</v>
      </c>
      <c r="L181">
        <v>3</v>
      </c>
      <c r="N181">
        <v>1</v>
      </c>
      <c r="O181" t="s">
        <v>89</v>
      </c>
      <c r="P181" t="s">
        <v>71</v>
      </c>
      <c r="Q181" t="s">
        <v>90</v>
      </c>
      <c r="S181" t="s">
        <v>45</v>
      </c>
      <c r="T181">
        <v>3</v>
      </c>
      <c r="V181">
        <v>1</v>
      </c>
      <c r="W181" t="s">
        <v>86</v>
      </c>
      <c r="AA181" t="s">
        <v>227</v>
      </c>
      <c r="AB181">
        <v>2</v>
      </c>
      <c r="AC181">
        <v>1</v>
      </c>
      <c r="AD181">
        <v>2</v>
      </c>
      <c r="AE181" t="s">
        <v>228</v>
      </c>
      <c r="AF181" t="s">
        <v>231</v>
      </c>
      <c r="AI181">
        <v>10</v>
      </c>
      <c r="AJ181">
        <v>41</v>
      </c>
    </row>
    <row r="182" spans="1:36" x14ac:dyDescent="0.25">
      <c r="A182" t="s">
        <v>803</v>
      </c>
      <c r="B182">
        <v>180</v>
      </c>
      <c r="C182" t="s">
        <v>56</v>
      </c>
      <c r="D182">
        <v>1</v>
      </c>
      <c r="F182">
        <v>1</v>
      </c>
      <c r="G182" t="s">
        <v>57</v>
      </c>
      <c r="H182" t="s">
        <v>122</v>
      </c>
      <c r="I182" t="s">
        <v>85</v>
      </c>
      <c r="K182" t="s">
        <v>48</v>
      </c>
      <c r="L182">
        <v>3</v>
      </c>
      <c r="N182">
        <v>2</v>
      </c>
      <c r="O182" t="s">
        <v>49</v>
      </c>
      <c r="P182" t="s">
        <v>84</v>
      </c>
      <c r="Q182" t="s">
        <v>127</v>
      </c>
      <c r="S182" t="s">
        <v>63</v>
      </c>
      <c r="T182">
        <v>3</v>
      </c>
      <c r="V182">
        <v>1</v>
      </c>
      <c r="W182" t="s">
        <v>103</v>
      </c>
      <c r="X182" t="s">
        <v>91</v>
      </c>
      <c r="Y182" t="s">
        <v>147</v>
      </c>
      <c r="Z182" t="s">
        <v>149</v>
      </c>
      <c r="AA182" t="s">
        <v>38</v>
      </c>
      <c r="AB182">
        <v>1</v>
      </c>
      <c r="AC182">
        <v>1</v>
      </c>
      <c r="AD182">
        <v>1</v>
      </c>
      <c r="AE182" t="s">
        <v>152</v>
      </c>
      <c r="AI182">
        <v>12</v>
      </c>
      <c r="AJ182">
        <v>34</v>
      </c>
    </row>
    <row r="183" spans="1:36" x14ac:dyDescent="0.25">
      <c r="A183" t="s">
        <v>804</v>
      </c>
      <c r="B183">
        <v>181</v>
      </c>
      <c r="C183" t="s">
        <v>56</v>
      </c>
      <c r="D183">
        <v>1</v>
      </c>
      <c r="F183">
        <v>1</v>
      </c>
      <c r="G183" t="s">
        <v>57</v>
      </c>
      <c r="H183" t="s">
        <v>122</v>
      </c>
      <c r="K183" t="s">
        <v>48</v>
      </c>
      <c r="L183">
        <v>3</v>
      </c>
      <c r="N183">
        <v>1</v>
      </c>
      <c r="O183" t="s">
        <v>89</v>
      </c>
      <c r="S183" t="s">
        <v>63</v>
      </c>
      <c r="T183">
        <v>2</v>
      </c>
      <c r="V183">
        <v>1</v>
      </c>
      <c r="W183" t="s">
        <v>103</v>
      </c>
      <c r="AA183" t="s">
        <v>227</v>
      </c>
      <c r="AB183">
        <v>2</v>
      </c>
      <c r="AC183">
        <v>1</v>
      </c>
      <c r="AD183">
        <v>1</v>
      </c>
      <c r="AE183" t="s">
        <v>228</v>
      </c>
      <c r="AI183">
        <v>5</v>
      </c>
      <c r="AJ183">
        <v>17</v>
      </c>
    </row>
    <row r="184" spans="1:36" x14ac:dyDescent="0.25">
      <c r="A184" t="s">
        <v>805</v>
      </c>
      <c r="B184">
        <v>182</v>
      </c>
      <c r="C184" t="s">
        <v>56</v>
      </c>
      <c r="D184">
        <v>1</v>
      </c>
      <c r="F184">
        <v>1</v>
      </c>
      <c r="G184" t="s">
        <v>57</v>
      </c>
      <c r="H184" t="s">
        <v>122</v>
      </c>
      <c r="I184" t="s">
        <v>85</v>
      </c>
      <c r="K184" t="s">
        <v>48</v>
      </c>
      <c r="L184">
        <v>1</v>
      </c>
      <c r="N184">
        <v>1</v>
      </c>
      <c r="O184" t="s">
        <v>89</v>
      </c>
      <c r="P184" t="s">
        <v>50</v>
      </c>
      <c r="Q184" t="s">
        <v>127</v>
      </c>
      <c r="S184" t="s">
        <v>38</v>
      </c>
      <c r="T184">
        <v>2</v>
      </c>
      <c r="U184">
        <v>1</v>
      </c>
      <c r="V184">
        <v>2</v>
      </c>
      <c r="W184" t="s">
        <v>67</v>
      </c>
      <c r="AA184" t="s">
        <v>227</v>
      </c>
      <c r="AB184">
        <v>2</v>
      </c>
      <c r="AC184">
        <v>1</v>
      </c>
      <c r="AD184">
        <v>1</v>
      </c>
      <c r="AE184" t="s">
        <v>228</v>
      </c>
      <c r="AI184">
        <v>7</v>
      </c>
      <c r="AJ184">
        <v>19</v>
      </c>
    </row>
    <row r="185" spans="1:36" x14ac:dyDescent="0.25">
      <c r="A185" t="s">
        <v>806</v>
      </c>
      <c r="B185">
        <v>183</v>
      </c>
      <c r="C185" t="s">
        <v>48</v>
      </c>
      <c r="D185">
        <v>3</v>
      </c>
      <c r="F185">
        <v>1</v>
      </c>
      <c r="G185" t="s">
        <v>89</v>
      </c>
      <c r="K185" t="s">
        <v>43</v>
      </c>
      <c r="L185">
        <v>1</v>
      </c>
      <c r="N185">
        <v>1</v>
      </c>
      <c r="O185" t="s">
        <v>73</v>
      </c>
      <c r="P185" t="s">
        <v>99</v>
      </c>
      <c r="S185" t="s">
        <v>56</v>
      </c>
      <c r="T185">
        <v>2</v>
      </c>
      <c r="V185">
        <v>1</v>
      </c>
      <c r="W185" t="s">
        <v>68</v>
      </c>
      <c r="AA185" t="s">
        <v>33</v>
      </c>
      <c r="AB185">
        <v>2</v>
      </c>
      <c r="AD185">
        <v>1</v>
      </c>
      <c r="AE185" t="s">
        <v>65</v>
      </c>
      <c r="AI185">
        <v>5</v>
      </c>
      <c r="AJ185">
        <v>22</v>
      </c>
    </row>
    <row r="186" spans="1:36" x14ac:dyDescent="0.25">
      <c r="A186" t="s">
        <v>807</v>
      </c>
      <c r="B186">
        <v>184</v>
      </c>
      <c r="C186" t="s">
        <v>48</v>
      </c>
      <c r="D186">
        <v>2</v>
      </c>
      <c r="F186">
        <v>1</v>
      </c>
      <c r="G186" t="s">
        <v>89</v>
      </c>
      <c r="H186" t="s">
        <v>71</v>
      </c>
      <c r="K186" t="s">
        <v>45</v>
      </c>
      <c r="L186">
        <v>3</v>
      </c>
      <c r="N186">
        <v>1</v>
      </c>
      <c r="O186" t="s">
        <v>140</v>
      </c>
      <c r="P186" t="s">
        <v>141</v>
      </c>
      <c r="S186" t="s">
        <v>56</v>
      </c>
      <c r="T186">
        <v>1</v>
      </c>
      <c r="V186">
        <v>1</v>
      </c>
      <c r="W186" t="s">
        <v>68</v>
      </c>
      <c r="X186" t="s">
        <v>69</v>
      </c>
      <c r="AA186" t="s">
        <v>33</v>
      </c>
      <c r="AB186">
        <v>1</v>
      </c>
      <c r="AD186">
        <v>3</v>
      </c>
      <c r="AE186" t="s">
        <v>65</v>
      </c>
      <c r="AF186" t="s">
        <v>35</v>
      </c>
      <c r="AI186">
        <v>9</v>
      </c>
      <c r="AJ186">
        <v>27</v>
      </c>
    </row>
    <row r="187" spans="1:36" x14ac:dyDescent="0.25">
      <c r="A187" t="s">
        <v>808</v>
      </c>
      <c r="B187">
        <v>185</v>
      </c>
      <c r="C187" t="s">
        <v>48</v>
      </c>
      <c r="D187">
        <v>3</v>
      </c>
      <c r="F187">
        <v>3</v>
      </c>
      <c r="G187" t="s">
        <v>89</v>
      </c>
      <c r="H187" t="s">
        <v>71</v>
      </c>
      <c r="K187" t="s">
        <v>63</v>
      </c>
      <c r="L187">
        <v>1</v>
      </c>
      <c r="N187">
        <v>1</v>
      </c>
      <c r="O187" t="s">
        <v>103</v>
      </c>
      <c r="P187" t="s">
        <v>146</v>
      </c>
      <c r="S187" t="s">
        <v>56</v>
      </c>
      <c r="T187">
        <v>3</v>
      </c>
      <c r="V187">
        <v>1</v>
      </c>
      <c r="W187" t="s">
        <v>57</v>
      </c>
      <c r="AA187" t="s">
        <v>33</v>
      </c>
      <c r="AB187">
        <v>1</v>
      </c>
      <c r="AD187">
        <v>2</v>
      </c>
      <c r="AE187" t="s">
        <v>46</v>
      </c>
      <c r="AI187">
        <v>9</v>
      </c>
      <c r="AJ187">
        <v>20</v>
      </c>
    </row>
    <row r="188" spans="1:36" x14ac:dyDescent="0.25">
      <c r="A188" t="s">
        <v>809</v>
      </c>
      <c r="B188">
        <v>186</v>
      </c>
      <c r="C188" t="s">
        <v>56</v>
      </c>
      <c r="D188">
        <v>1</v>
      </c>
      <c r="F188">
        <v>1</v>
      </c>
      <c r="G188" t="s">
        <v>57</v>
      </c>
      <c r="H188" t="s">
        <v>69</v>
      </c>
      <c r="K188" t="s">
        <v>33</v>
      </c>
      <c r="L188">
        <v>2</v>
      </c>
      <c r="N188">
        <v>3</v>
      </c>
      <c r="O188" t="s">
        <v>65</v>
      </c>
      <c r="P188" t="s">
        <v>130</v>
      </c>
      <c r="Q188" t="s">
        <v>36</v>
      </c>
      <c r="S188" t="s">
        <v>48</v>
      </c>
      <c r="T188">
        <v>3</v>
      </c>
      <c r="V188">
        <v>2</v>
      </c>
      <c r="W188" t="s">
        <v>89</v>
      </c>
      <c r="X188" t="s">
        <v>84</v>
      </c>
      <c r="Y188" t="s">
        <v>90</v>
      </c>
      <c r="AA188" t="s">
        <v>38</v>
      </c>
      <c r="AB188">
        <v>1</v>
      </c>
      <c r="AC188">
        <v>1</v>
      </c>
      <c r="AD188">
        <v>1</v>
      </c>
      <c r="AE188" t="s">
        <v>152</v>
      </c>
      <c r="AI188">
        <v>11</v>
      </c>
      <c r="AJ188">
        <v>30</v>
      </c>
    </row>
    <row r="189" spans="1:36" x14ac:dyDescent="0.25">
      <c r="A189" t="s">
        <v>810</v>
      </c>
      <c r="B189">
        <v>187</v>
      </c>
      <c r="C189" t="s">
        <v>56</v>
      </c>
      <c r="D189">
        <v>3</v>
      </c>
      <c r="F189">
        <v>1</v>
      </c>
      <c r="G189" t="s">
        <v>57</v>
      </c>
      <c r="H189" t="s">
        <v>122</v>
      </c>
      <c r="I189" t="s">
        <v>85</v>
      </c>
      <c r="K189" t="s">
        <v>33</v>
      </c>
      <c r="L189">
        <v>1</v>
      </c>
      <c r="N189">
        <v>2</v>
      </c>
      <c r="O189" t="s">
        <v>65</v>
      </c>
      <c r="P189" t="s">
        <v>35</v>
      </c>
      <c r="Q189" t="s">
        <v>36</v>
      </c>
      <c r="S189" t="s">
        <v>48</v>
      </c>
      <c r="T189">
        <v>3</v>
      </c>
      <c r="V189">
        <v>3</v>
      </c>
      <c r="W189" t="s">
        <v>89</v>
      </c>
      <c r="AA189" t="s">
        <v>227</v>
      </c>
      <c r="AB189">
        <v>1</v>
      </c>
      <c r="AC189">
        <v>3</v>
      </c>
      <c r="AD189">
        <v>3</v>
      </c>
      <c r="AE189" t="s">
        <v>228</v>
      </c>
      <c r="AF189" t="s">
        <v>231</v>
      </c>
      <c r="AG189" t="s">
        <v>235</v>
      </c>
      <c r="AI189">
        <v>17</v>
      </c>
      <c r="AJ189">
        <v>39</v>
      </c>
    </row>
    <row r="190" spans="1:36" x14ac:dyDescent="0.25">
      <c r="A190" t="s">
        <v>811</v>
      </c>
      <c r="B190">
        <v>188</v>
      </c>
      <c r="C190" t="s">
        <v>43</v>
      </c>
      <c r="D190">
        <v>1</v>
      </c>
      <c r="F190">
        <v>3</v>
      </c>
      <c r="G190" t="s">
        <v>73</v>
      </c>
      <c r="H190" t="s">
        <v>99</v>
      </c>
      <c r="I190" t="s">
        <v>75</v>
      </c>
      <c r="J190" t="s">
        <v>101</v>
      </c>
      <c r="K190" t="s">
        <v>45</v>
      </c>
      <c r="L190">
        <v>3</v>
      </c>
      <c r="N190">
        <v>1</v>
      </c>
      <c r="O190" t="s">
        <v>86</v>
      </c>
      <c r="S190" t="s">
        <v>56</v>
      </c>
      <c r="T190">
        <v>2</v>
      </c>
      <c r="V190">
        <v>2</v>
      </c>
      <c r="W190" t="s">
        <v>68</v>
      </c>
      <c r="AA190" t="s">
        <v>33</v>
      </c>
      <c r="AB190">
        <v>1</v>
      </c>
      <c r="AD190">
        <v>3</v>
      </c>
      <c r="AE190" t="s">
        <v>65</v>
      </c>
      <c r="AF190" t="s">
        <v>66</v>
      </c>
      <c r="AG190" t="s">
        <v>131</v>
      </c>
      <c r="AI190">
        <v>13</v>
      </c>
      <c r="AJ190">
        <v>31</v>
      </c>
    </row>
    <row r="191" spans="1:36" x14ac:dyDescent="0.25">
      <c r="A191" t="s">
        <v>812</v>
      </c>
      <c r="B191">
        <v>189</v>
      </c>
      <c r="C191" t="s">
        <v>56</v>
      </c>
      <c r="D191">
        <v>1</v>
      </c>
      <c r="F191">
        <v>1</v>
      </c>
      <c r="G191" t="s">
        <v>68</v>
      </c>
      <c r="K191" t="s">
        <v>33</v>
      </c>
      <c r="L191">
        <v>2</v>
      </c>
      <c r="N191">
        <v>3</v>
      </c>
      <c r="O191" t="s">
        <v>34</v>
      </c>
      <c r="P191" t="s">
        <v>66</v>
      </c>
      <c r="Q191" t="s">
        <v>131</v>
      </c>
      <c r="R191" t="s">
        <v>133</v>
      </c>
      <c r="S191" t="s">
        <v>43</v>
      </c>
      <c r="T191">
        <v>3</v>
      </c>
      <c r="V191">
        <v>1</v>
      </c>
      <c r="W191" t="s">
        <v>73</v>
      </c>
      <c r="X191" t="s">
        <v>136</v>
      </c>
      <c r="AA191" t="s">
        <v>63</v>
      </c>
      <c r="AB191">
        <v>3</v>
      </c>
      <c r="AD191">
        <v>1</v>
      </c>
      <c r="AE191" t="s">
        <v>72</v>
      </c>
      <c r="AI191">
        <v>11</v>
      </c>
      <c r="AJ191">
        <v>32</v>
      </c>
    </row>
    <row r="192" spans="1:36" x14ac:dyDescent="0.25">
      <c r="A192" t="s">
        <v>813</v>
      </c>
      <c r="B192">
        <v>190</v>
      </c>
      <c r="C192" t="s">
        <v>43</v>
      </c>
      <c r="D192">
        <v>1</v>
      </c>
      <c r="F192">
        <v>2</v>
      </c>
      <c r="G192" t="s">
        <v>73</v>
      </c>
      <c r="H192" t="s">
        <v>136</v>
      </c>
      <c r="I192" t="s">
        <v>75</v>
      </c>
      <c r="K192" t="s">
        <v>38</v>
      </c>
      <c r="L192">
        <v>1</v>
      </c>
      <c r="M192">
        <v>1</v>
      </c>
      <c r="N192">
        <v>2</v>
      </c>
      <c r="O192" t="s">
        <v>67</v>
      </c>
      <c r="S192" t="s">
        <v>56</v>
      </c>
      <c r="T192">
        <v>3</v>
      </c>
      <c r="V192">
        <v>1</v>
      </c>
      <c r="W192" t="s">
        <v>68</v>
      </c>
      <c r="AA192" t="s">
        <v>33</v>
      </c>
      <c r="AB192">
        <v>3</v>
      </c>
      <c r="AD192">
        <v>1</v>
      </c>
      <c r="AE192" t="s">
        <v>65</v>
      </c>
      <c r="AI192">
        <v>8</v>
      </c>
      <c r="AJ192">
        <v>28</v>
      </c>
    </row>
    <row r="193" spans="1:36" x14ac:dyDescent="0.25">
      <c r="A193" t="s">
        <v>814</v>
      </c>
      <c r="B193">
        <v>191</v>
      </c>
      <c r="C193" t="s">
        <v>43</v>
      </c>
      <c r="D193">
        <v>2</v>
      </c>
      <c r="F193">
        <v>1</v>
      </c>
      <c r="G193" t="s">
        <v>135</v>
      </c>
      <c r="H193" t="s">
        <v>99</v>
      </c>
      <c r="K193" t="s">
        <v>227</v>
      </c>
      <c r="L193">
        <v>3</v>
      </c>
      <c r="M193">
        <v>1</v>
      </c>
      <c r="N193">
        <v>1</v>
      </c>
      <c r="O193" t="s">
        <v>228</v>
      </c>
      <c r="S193" t="s">
        <v>56</v>
      </c>
      <c r="T193">
        <v>3</v>
      </c>
      <c r="V193">
        <v>1</v>
      </c>
      <c r="W193" t="s">
        <v>68</v>
      </c>
      <c r="AA193" t="s">
        <v>33</v>
      </c>
      <c r="AB193">
        <v>1</v>
      </c>
      <c r="AD193">
        <v>3</v>
      </c>
      <c r="AE193" t="s">
        <v>34</v>
      </c>
      <c r="AI193">
        <v>8</v>
      </c>
      <c r="AJ193">
        <v>24</v>
      </c>
    </row>
    <row r="194" spans="1:36" x14ac:dyDescent="0.25">
      <c r="A194" t="s">
        <v>815</v>
      </c>
      <c r="B194">
        <v>192</v>
      </c>
      <c r="C194" t="s">
        <v>45</v>
      </c>
      <c r="D194">
        <v>2</v>
      </c>
      <c r="F194">
        <v>1</v>
      </c>
      <c r="G194" t="s">
        <v>140</v>
      </c>
      <c r="K194" t="s">
        <v>63</v>
      </c>
      <c r="L194">
        <v>2</v>
      </c>
      <c r="N194">
        <v>1</v>
      </c>
      <c r="O194" t="s">
        <v>103</v>
      </c>
      <c r="P194" t="s">
        <v>91</v>
      </c>
      <c r="S194" t="s">
        <v>56</v>
      </c>
      <c r="T194">
        <v>2</v>
      </c>
      <c r="V194">
        <v>1</v>
      </c>
      <c r="W194" t="s">
        <v>68</v>
      </c>
      <c r="AA194" t="s">
        <v>33</v>
      </c>
      <c r="AB194">
        <v>3</v>
      </c>
      <c r="AD194">
        <v>3</v>
      </c>
      <c r="AE194" t="s">
        <v>34</v>
      </c>
      <c r="AI194">
        <v>8</v>
      </c>
      <c r="AJ194">
        <v>30</v>
      </c>
    </row>
    <row r="195" spans="1:36" x14ac:dyDescent="0.25">
      <c r="A195" t="s">
        <v>816</v>
      </c>
      <c r="B195">
        <v>193</v>
      </c>
      <c r="C195" t="s">
        <v>45</v>
      </c>
      <c r="D195">
        <v>3</v>
      </c>
      <c r="F195">
        <v>2</v>
      </c>
      <c r="G195" t="s">
        <v>140</v>
      </c>
      <c r="K195" t="s">
        <v>38</v>
      </c>
      <c r="L195">
        <v>1</v>
      </c>
      <c r="M195">
        <v>1</v>
      </c>
      <c r="N195">
        <v>2</v>
      </c>
      <c r="O195" t="s">
        <v>67</v>
      </c>
      <c r="P195" t="s">
        <v>70</v>
      </c>
      <c r="Q195" t="s">
        <v>154</v>
      </c>
      <c r="R195" t="s">
        <v>42</v>
      </c>
      <c r="S195" t="s">
        <v>56</v>
      </c>
      <c r="T195">
        <v>2</v>
      </c>
      <c r="V195">
        <v>3</v>
      </c>
      <c r="W195" t="s">
        <v>68</v>
      </c>
      <c r="AA195" t="s">
        <v>33</v>
      </c>
      <c r="AB195">
        <v>1</v>
      </c>
      <c r="AD195">
        <v>3</v>
      </c>
      <c r="AE195" t="s">
        <v>65</v>
      </c>
      <c r="AI195">
        <v>12</v>
      </c>
      <c r="AJ195">
        <v>42</v>
      </c>
    </row>
    <row r="196" spans="1:36" x14ac:dyDescent="0.25">
      <c r="A196" t="s">
        <v>817</v>
      </c>
      <c r="B196">
        <v>194</v>
      </c>
      <c r="C196" t="s">
        <v>45</v>
      </c>
      <c r="D196">
        <v>3</v>
      </c>
      <c r="F196">
        <v>2</v>
      </c>
      <c r="G196" t="s">
        <v>140</v>
      </c>
      <c r="K196" t="s">
        <v>227</v>
      </c>
      <c r="L196">
        <v>2</v>
      </c>
      <c r="M196">
        <v>1</v>
      </c>
      <c r="N196">
        <v>1</v>
      </c>
      <c r="O196" t="s">
        <v>228</v>
      </c>
      <c r="S196" t="s">
        <v>56</v>
      </c>
      <c r="T196">
        <v>1</v>
      </c>
      <c r="V196">
        <v>2</v>
      </c>
      <c r="W196" t="s">
        <v>68</v>
      </c>
      <c r="AA196" t="s">
        <v>33</v>
      </c>
      <c r="AB196">
        <v>3</v>
      </c>
      <c r="AD196">
        <v>2</v>
      </c>
      <c r="AE196" t="s">
        <v>65</v>
      </c>
      <c r="AI196">
        <v>8</v>
      </c>
      <c r="AJ196">
        <v>24</v>
      </c>
    </row>
    <row r="197" spans="1:36" x14ac:dyDescent="0.25">
      <c r="A197" t="s">
        <v>818</v>
      </c>
      <c r="B197">
        <v>195</v>
      </c>
      <c r="C197" t="s">
        <v>56</v>
      </c>
      <c r="D197">
        <v>1</v>
      </c>
      <c r="F197">
        <v>1</v>
      </c>
      <c r="G197" t="s">
        <v>57</v>
      </c>
      <c r="H197" t="s">
        <v>122</v>
      </c>
      <c r="K197" t="s">
        <v>33</v>
      </c>
      <c r="L197">
        <v>2</v>
      </c>
      <c r="N197">
        <v>3</v>
      </c>
      <c r="O197" t="s">
        <v>65</v>
      </c>
      <c r="S197" t="s">
        <v>63</v>
      </c>
      <c r="T197">
        <v>1</v>
      </c>
      <c r="V197">
        <v>2</v>
      </c>
      <c r="W197" t="s">
        <v>103</v>
      </c>
      <c r="X197" t="s">
        <v>146</v>
      </c>
      <c r="AA197" t="s">
        <v>38</v>
      </c>
      <c r="AB197">
        <v>1</v>
      </c>
      <c r="AC197">
        <v>1</v>
      </c>
      <c r="AD197">
        <v>2</v>
      </c>
      <c r="AE197" t="s">
        <v>67</v>
      </c>
      <c r="AF197" t="s">
        <v>70</v>
      </c>
      <c r="AG197" t="s">
        <v>153</v>
      </c>
      <c r="AI197">
        <v>9</v>
      </c>
      <c r="AJ197">
        <v>40</v>
      </c>
    </row>
    <row r="198" spans="1:36" x14ac:dyDescent="0.25">
      <c r="A198" s="36" t="s">
        <v>819</v>
      </c>
      <c r="B198">
        <v>196</v>
      </c>
      <c r="C198" t="s">
        <v>56</v>
      </c>
      <c r="D198">
        <v>2</v>
      </c>
      <c r="F198">
        <v>1</v>
      </c>
      <c r="G198" t="s">
        <v>57</v>
      </c>
      <c r="H198" t="s">
        <v>121</v>
      </c>
      <c r="I198" t="s">
        <v>85</v>
      </c>
      <c r="K198" t="s">
        <v>33</v>
      </c>
      <c r="L198">
        <v>1</v>
      </c>
      <c r="N198">
        <v>3</v>
      </c>
      <c r="O198" t="s">
        <v>34</v>
      </c>
      <c r="P198" t="s">
        <v>130</v>
      </c>
      <c r="Q198" t="s">
        <v>132</v>
      </c>
      <c r="R198" t="s">
        <v>133</v>
      </c>
      <c r="S198" t="s">
        <v>63</v>
      </c>
      <c r="T198">
        <v>3</v>
      </c>
      <c r="V198">
        <v>1</v>
      </c>
      <c r="W198" t="s">
        <v>72</v>
      </c>
      <c r="X198" t="s">
        <v>91</v>
      </c>
      <c r="AA198" t="s">
        <v>227</v>
      </c>
      <c r="AB198">
        <v>2</v>
      </c>
      <c r="AC198">
        <v>1</v>
      </c>
      <c r="AD198">
        <v>1</v>
      </c>
      <c r="AE198" t="s">
        <v>228</v>
      </c>
      <c r="AI198">
        <v>12</v>
      </c>
      <c r="AJ198">
        <v>29</v>
      </c>
    </row>
    <row r="199" spans="1:36" x14ac:dyDescent="0.25">
      <c r="A199" t="s">
        <v>820</v>
      </c>
      <c r="B199">
        <v>197</v>
      </c>
      <c r="C199" t="s">
        <v>56</v>
      </c>
      <c r="D199">
        <v>1</v>
      </c>
      <c r="F199">
        <v>1</v>
      </c>
      <c r="G199" t="s">
        <v>57</v>
      </c>
      <c r="H199" t="s">
        <v>122</v>
      </c>
      <c r="K199" t="s">
        <v>33</v>
      </c>
      <c r="L199">
        <v>2</v>
      </c>
      <c r="N199">
        <v>3</v>
      </c>
      <c r="O199" t="s">
        <v>65</v>
      </c>
      <c r="S199" t="s">
        <v>38</v>
      </c>
      <c r="T199">
        <v>1</v>
      </c>
      <c r="U199">
        <v>1</v>
      </c>
      <c r="V199">
        <v>2</v>
      </c>
      <c r="W199" t="s">
        <v>67</v>
      </c>
      <c r="AA199" t="s">
        <v>227</v>
      </c>
      <c r="AB199">
        <v>2</v>
      </c>
      <c r="AC199">
        <v>2</v>
      </c>
      <c r="AD199">
        <v>3</v>
      </c>
      <c r="AE199" t="s">
        <v>228</v>
      </c>
      <c r="AF199" t="s">
        <v>231</v>
      </c>
      <c r="AG199" t="s">
        <v>235</v>
      </c>
      <c r="AI199">
        <v>11</v>
      </c>
      <c r="AJ199">
        <v>33</v>
      </c>
    </row>
    <row r="200" spans="1:36" x14ac:dyDescent="0.25">
      <c r="A200" t="s">
        <v>821</v>
      </c>
      <c r="B200">
        <v>198</v>
      </c>
      <c r="C200" t="s">
        <v>48</v>
      </c>
      <c r="D200">
        <v>2</v>
      </c>
      <c r="F200">
        <v>1</v>
      </c>
      <c r="G200" t="s">
        <v>89</v>
      </c>
      <c r="K200" t="s">
        <v>33</v>
      </c>
      <c r="L200">
        <v>2</v>
      </c>
      <c r="N200">
        <v>2</v>
      </c>
      <c r="O200" t="s">
        <v>34</v>
      </c>
      <c r="P200" t="s">
        <v>66</v>
      </c>
      <c r="S200" t="s">
        <v>56</v>
      </c>
      <c r="T200">
        <v>1</v>
      </c>
      <c r="V200">
        <v>1</v>
      </c>
      <c r="W200" t="s">
        <v>68</v>
      </c>
      <c r="AA200" t="s">
        <v>43</v>
      </c>
      <c r="AB200">
        <v>3</v>
      </c>
      <c r="AD200">
        <v>1</v>
      </c>
      <c r="AE200" t="s">
        <v>73</v>
      </c>
      <c r="AF200" t="s">
        <v>136</v>
      </c>
      <c r="AG200" t="s">
        <v>137</v>
      </c>
      <c r="AI200">
        <v>8</v>
      </c>
      <c r="AJ200">
        <v>27</v>
      </c>
    </row>
    <row r="201" spans="1:36" x14ac:dyDescent="0.25">
      <c r="A201" t="s">
        <v>822</v>
      </c>
      <c r="B201">
        <v>199</v>
      </c>
      <c r="C201" t="s">
        <v>48</v>
      </c>
      <c r="D201">
        <v>3</v>
      </c>
      <c r="F201">
        <v>1</v>
      </c>
      <c r="G201" t="s">
        <v>89</v>
      </c>
      <c r="K201" t="s">
        <v>45</v>
      </c>
      <c r="L201">
        <v>2</v>
      </c>
      <c r="N201">
        <v>1</v>
      </c>
      <c r="O201" t="s">
        <v>86</v>
      </c>
      <c r="S201" t="s">
        <v>56</v>
      </c>
      <c r="T201">
        <v>2</v>
      </c>
      <c r="V201">
        <v>1</v>
      </c>
      <c r="W201" t="s">
        <v>68</v>
      </c>
      <c r="AA201" t="s">
        <v>43</v>
      </c>
      <c r="AB201">
        <v>2</v>
      </c>
      <c r="AD201">
        <v>1</v>
      </c>
      <c r="AE201" t="s">
        <v>73</v>
      </c>
      <c r="AF201" t="s">
        <v>99</v>
      </c>
      <c r="AI201">
        <v>6</v>
      </c>
      <c r="AJ201">
        <v>23</v>
      </c>
    </row>
    <row r="202" spans="1:36" x14ac:dyDescent="0.25">
      <c r="A202" t="s">
        <v>823</v>
      </c>
      <c r="B202">
        <v>200</v>
      </c>
      <c r="C202" t="s">
        <v>56</v>
      </c>
      <c r="D202">
        <v>2</v>
      </c>
      <c r="F202">
        <v>1</v>
      </c>
      <c r="G202" t="s">
        <v>57</v>
      </c>
      <c r="H202" t="s">
        <v>122</v>
      </c>
      <c r="I202" t="s">
        <v>85</v>
      </c>
      <c r="K202" t="s">
        <v>43</v>
      </c>
      <c r="L202">
        <v>1</v>
      </c>
      <c r="N202">
        <v>1</v>
      </c>
      <c r="O202" t="s">
        <v>73</v>
      </c>
      <c r="P202" t="s">
        <v>74</v>
      </c>
      <c r="S202" t="s">
        <v>48</v>
      </c>
      <c r="T202">
        <v>3</v>
      </c>
      <c r="V202">
        <v>1</v>
      </c>
      <c r="W202" t="s">
        <v>89</v>
      </c>
      <c r="AA202" t="s">
        <v>63</v>
      </c>
      <c r="AB202">
        <v>1</v>
      </c>
      <c r="AD202">
        <v>1</v>
      </c>
      <c r="AE202" t="s">
        <v>72</v>
      </c>
      <c r="AF202" t="s">
        <v>91</v>
      </c>
      <c r="AG202" t="s">
        <v>147</v>
      </c>
      <c r="AI202">
        <v>8</v>
      </c>
      <c r="AJ202">
        <v>24</v>
      </c>
    </row>
    <row r="203" spans="1:36" x14ac:dyDescent="0.25">
      <c r="A203" t="s">
        <v>824</v>
      </c>
      <c r="B203">
        <v>201</v>
      </c>
      <c r="C203" t="s">
        <v>48</v>
      </c>
      <c r="D203">
        <v>3</v>
      </c>
      <c r="F203">
        <v>1</v>
      </c>
      <c r="G203" t="s">
        <v>89</v>
      </c>
      <c r="K203" t="s">
        <v>38</v>
      </c>
      <c r="L203">
        <v>1</v>
      </c>
      <c r="M203">
        <v>2</v>
      </c>
      <c r="N203">
        <v>2</v>
      </c>
      <c r="O203" t="s">
        <v>67</v>
      </c>
      <c r="P203" t="s">
        <v>70</v>
      </c>
      <c r="S203" t="s">
        <v>56</v>
      </c>
      <c r="T203">
        <v>2</v>
      </c>
      <c r="V203">
        <v>1</v>
      </c>
      <c r="W203" t="s">
        <v>57</v>
      </c>
      <c r="AA203" t="s">
        <v>43</v>
      </c>
      <c r="AB203">
        <v>1</v>
      </c>
      <c r="AD203">
        <v>1</v>
      </c>
      <c r="AE203" t="s">
        <v>73</v>
      </c>
      <c r="AF203" t="s">
        <v>74</v>
      </c>
      <c r="AI203">
        <v>7</v>
      </c>
      <c r="AJ203">
        <v>23</v>
      </c>
    </row>
    <row r="204" spans="1:36" x14ac:dyDescent="0.25">
      <c r="A204" t="s">
        <v>825</v>
      </c>
      <c r="B204">
        <v>202</v>
      </c>
      <c r="C204" t="s">
        <v>56</v>
      </c>
      <c r="D204">
        <v>1</v>
      </c>
      <c r="F204">
        <v>1</v>
      </c>
      <c r="G204" t="s">
        <v>68</v>
      </c>
      <c r="H204" t="s">
        <v>121</v>
      </c>
      <c r="I204" t="s">
        <v>123</v>
      </c>
      <c r="K204" t="s">
        <v>43</v>
      </c>
      <c r="L204">
        <v>3</v>
      </c>
      <c r="N204">
        <v>1</v>
      </c>
      <c r="O204" t="s">
        <v>73</v>
      </c>
      <c r="P204" t="s">
        <v>99</v>
      </c>
      <c r="Q204" t="s">
        <v>137</v>
      </c>
      <c r="R204" t="s">
        <v>101</v>
      </c>
      <c r="S204" t="s">
        <v>48</v>
      </c>
      <c r="T204">
        <v>3</v>
      </c>
      <c r="V204">
        <v>2</v>
      </c>
      <c r="W204" t="s">
        <v>89</v>
      </c>
      <c r="X204" t="s">
        <v>84</v>
      </c>
      <c r="Y204" t="s">
        <v>90</v>
      </c>
      <c r="Z204" t="s">
        <v>128</v>
      </c>
      <c r="AA204" t="s">
        <v>227</v>
      </c>
      <c r="AB204">
        <v>1</v>
      </c>
      <c r="AC204">
        <v>1</v>
      </c>
      <c r="AD204">
        <v>1</v>
      </c>
      <c r="AE204" t="s">
        <v>228</v>
      </c>
      <c r="AI204">
        <v>13</v>
      </c>
      <c r="AJ204">
        <v>35</v>
      </c>
    </row>
    <row r="205" spans="1:36" x14ac:dyDescent="0.25">
      <c r="A205" t="s">
        <v>826</v>
      </c>
      <c r="B205">
        <v>203</v>
      </c>
      <c r="C205" t="s">
        <v>33</v>
      </c>
      <c r="D205">
        <v>1</v>
      </c>
      <c r="F205">
        <v>2</v>
      </c>
      <c r="G205" t="s">
        <v>34</v>
      </c>
      <c r="K205" t="s">
        <v>45</v>
      </c>
      <c r="L205">
        <v>3</v>
      </c>
      <c r="N205">
        <v>1</v>
      </c>
      <c r="O205" t="s">
        <v>140</v>
      </c>
      <c r="S205" t="s">
        <v>56</v>
      </c>
      <c r="T205">
        <v>1</v>
      </c>
      <c r="V205">
        <v>1</v>
      </c>
      <c r="W205" t="s">
        <v>68</v>
      </c>
      <c r="AA205" t="s">
        <v>43</v>
      </c>
      <c r="AB205">
        <v>2</v>
      </c>
      <c r="AD205">
        <v>1</v>
      </c>
      <c r="AE205" t="s">
        <v>73</v>
      </c>
      <c r="AF205" t="s">
        <v>136</v>
      </c>
      <c r="AI205">
        <v>5</v>
      </c>
      <c r="AJ205">
        <v>19</v>
      </c>
    </row>
    <row r="206" spans="1:36" x14ac:dyDescent="0.25">
      <c r="A206" t="s">
        <v>827</v>
      </c>
      <c r="B206">
        <v>204</v>
      </c>
      <c r="C206" t="s">
        <v>33</v>
      </c>
      <c r="D206">
        <v>2</v>
      </c>
      <c r="F206">
        <v>3</v>
      </c>
      <c r="G206" t="s">
        <v>34</v>
      </c>
      <c r="H206" t="s">
        <v>66</v>
      </c>
      <c r="K206" t="s">
        <v>63</v>
      </c>
      <c r="L206">
        <v>2</v>
      </c>
      <c r="N206">
        <v>1</v>
      </c>
      <c r="O206" t="s">
        <v>103</v>
      </c>
      <c r="S206" t="s">
        <v>56</v>
      </c>
      <c r="T206">
        <v>3</v>
      </c>
      <c r="V206">
        <v>2</v>
      </c>
      <c r="W206" t="s">
        <v>68</v>
      </c>
      <c r="AA206" t="s">
        <v>43</v>
      </c>
      <c r="AB206">
        <v>3</v>
      </c>
      <c r="AD206">
        <v>1</v>
      </c>
      <c r="AE206" t="s">
        <v>73</v>
      </c>
      <c r="AF206" t="s">
        <v>136</v>
      </c>
      <c r="AG206" t="s">
        <v>75</v>
      </c>
      <c r="AI206">
        <v>13</v>
      </c>
      <c r="AJ206">
        <v>38</v>
      </c>
    </row>
    <row r="207" spans="1:36" x14ac:dyDescent="0.25">
      <c r="A207" t="s">
        <v>828</v>
      </c>
      <c r="B207">
        <v>205</v>
      </c>
      <c r="C207" t="s">
        <v>56</v>
      </c>
      <c r="D207">
        <v>3</v>
      </c>
      <c r="F207">
        <v>1</v>
      </c>
      <c r="G207" t="s">
        <v>68</v>
      </c>
      <c r="K207" t="s">
        <v>43</v>
      </c>
      <c r="L207">
        <v>1</v>
      </c>
      <c r="N207">
        <v>2</v>
      </c>
      <c r="O207" t="s">
        <v>73</v>
      </c>
      <c r="P207" t="s">
        <v>136</v>
      </c>
      <c r="S207" t="s">
        <v>33</v>
      </c>
      <c r="T207">
        <v>1</v>
      </c>
      <c r="V207">
        <v>3</v>
      </c>
      <c r="W207" t="s">
        <v>34</v>
      </c>
      <c r="X207" t="s">
        <v>66</v>
      </c>
      <c r="AA207" t="s">
        <v>38</v>
      </c>
      <c r="AB207">
        <v>2</v>
      </c>
      <c r="AC207">
        <v>1</v>
      </c>
      <c r="AD207">
        <v>1</v>
      </c>
      <c r="AE207" t="s">
        <v>67</v>
      </c>
      <c r="AI207">
        <v>8</v>
      </c>
      <c r="AJ207">
        <v>29</v>
      </c>
    </row>
    <row r="208" spans="1:36" x14ac:dyDescent="0.25">
      <c r="A208" t="s">
        <v>829</v>
      </c>
      <c r="B208">
        <v>206</v>
      </c>
      <c r="C208" t="s">
        <v>33</v>
      </c>
      <c r="D208">
        <v>1</v>
      </c>
      <c r="F208">
        <v>3</v>
      </c>
      <c r="G208" t="s">
        <v>34</v>
      </c>
      <c r="K208" t="s">
        <v>227</v>
      </c>
      <c r="L208">
        <v>2</v>
      </c>
      <c r="M208">
        <v>1</v>
      </c>
      <c r="N208">
        <v>1</v>
      </c>
      <c r="O208" t="s">
        <v>228</v>
      </c>
      <c r="S208" t="s">
        <v>56</v>
      </c>
      <c r="T208">
        <v>2</v>
      </c>
      <c r="V208">
        <v>2</v>
      </c>
      <c r="W208" t="s">
        <v>68</v>
      </c>
      <c r="AA208" t="s">
        <v>43</v>
      </c>
      <c r="AB208">
        <v>1</v>
      </c>
      <c r="AD208">
        <v>1</v>
      </c>
      <c r="AE208" t="s">
        <v>73</v>
      </c>
      <c r="AI208">
        <v>5</v>
      </c>
      <c r="AJ208">
        <v>20</v>
      </c>
    </row>
    <row r="209" spans="1:36" x14ac:dyDescent="0.25">
      <c r="A209" t="s">
        <v>830</v>
      </c>
      <c r="B209">
        <v>207</v>
      </c>
      <c r="C209" t="s">
        <v>45</v>
      </c>
      <c r="D209">
        <v>2</v>
      </c>
      <c r="F209">
        <v>1</v>
      </c>
      <c r="G209" t="s">
        <v>140</v>
      </c>
      <c r="K209" t="s">
        <v>63</v>
      </c>
      <c r="L209">
        <v>1</v>
      </c>
      <c r="N209">
        <v>1</v>
      </c>
      <c r="O209" t="s">
        <v>72</v>
      </c>
      <c r="P209" t="s">
        <v>95</v>
      </c>
      <c r="Q209" t="s">
        <v>147</v>
      </c>
      <c r="S209" t="s">
        <v>56</v>
      </c>
      <c r="T209">
        <v>2</v>
      </c>
      <c r="V209">
        <v>2</v>
      </c>
      <c r="W209" t="s">
        <v>68</v>
      </c>
      <c r="AA209" t="s">
        <v>43</v>
      </c>
      <c r="AB209">
        <v>1</v>
      </c>
      <c r="AD209">
        <v>1</v>
      </c>
      <c r="AE209" t="s">
        <v>73</v>
      </c>
      <c r="AF209" t="s">
        <v>136</v>
      </c>
      <c r="AI209">
        <v>6</v>
      </c>
      <c r="AJ209">
        <v>21</v>
      </c>
    </row>
    <row r="210" spans="1:36" x14ac:dyDescent="0.25">
      <c r="A210" t="s">
        <v>831</v>
      </c>
      <c r="B210">
        <v>208</v>
      </c>
      <c r="C210" t="s">
        <v>45</v>
      </c>
      <c r="D210">
        <v>3</v>
      </c>
      <c r="F210">
        <v>2</v>
      </c>
      <c r="G210" t="s">
        <v>140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70</v>
      </c>
      <c r="S210" t="s">
        <v>56</v>
      </c>
      <c r="T210">
        <v>1</v>
      </c>
      <c r="V210">
        <v>1</v>
      </c>
      <c r="W210" t="s">
        <v>68</v>
      </c>
      <c r="AA210" t="s">
        <v>43</v>
      </c>
      <c r="AB210">
        <v>1</v>
      </c>
      <c r="AD210">
        <v>1</v>
      </c>
      <c r="AE210" t="s">
        <v>73</v>
      </c>
      <c r="AF210" t="s">
        <v>74</v>
      </c>
      <c r="AG210" t="s">
        <v>100</v>
      </c>
      <c r="AI210">
        <v>6</v>
      </c>
      <c r="AJ210">
        <v>23</v>
      </c>
    </row>
    <row r="211" spans="1:36" x14ac:dyDescent="0.25">
      <c r="A211" t="s">
        <v>832</v>
      </c>
      <c r="B211">
        <v>209</v>
      </c>
      <c r="C211" t="s">
        <v>56</v>
      </c>
      <c r="D211">
        <v>1</v>
      </c>
      <c r="F211">
        <v>3</v>
      </c>
      <c r="G211" t="s">
        <v>68</v>
      </c>
      <c r="K211" t="s">
        <v>43</v>
      </c>
      <c r="L211">
        <v>1</v>
      </c>
      <c r="N211">
        <v>1</v>
      </c>
      <c r="O211" t="s">
        <v>73</v>
      </c>
      <c r="P211" t="s">
        <v>136</v>
      </c>
      <c r="S211" t="s">
        <v>45</v>
      </c>
      <c r="T211">
        <v>3</v>
      </c>
      <c r="V211">
        <v>1</v>
      </c>
      <c r="W211" t="s">
        <v>86</v>
      </c>
      <c r="AA211" t="s">
        <v>227</v>
      </c>
      <c r="AB211">
        <v>1</v>
      </c>
      <c r="AC211">
        <v>1</v>
      </c>
      <c r="AD211">
        <v>1</v>
      </c>
      <c r="AE211" t="s">
        <v>228</v>
      </c>
      <c r="AI211">
        <v>5</v>
      </c>
      <c r="AJ211">
        <v>23</v>
      </c>
    </row>
    <row r="212" spans="1:36" x14ac:dyDescent="0.25">
      <c r="A212" t="s">
        <v>833</v>
      </c>
      <c r="B212">
        <v>210</v>
      </c>
      <c r="C212" t="s">
        <v>56</v>
      </c>
      <c r="D212">
        <v>1</v>
      </c>
      <c r="F212">
        <v>1</v>
      </c>
      <c r="G212" t="s">
        <v>57</v>
      </c>
      <c r="H212" t="s">
        <v>122</v>
      </c>
      <c r="I212" t="s">
        <v>85</v>
      </c>
      <c r="K212" t="s">
        <v>43</v>
      </c>
      <c r="L212">
        <v>1</v>
      </c>
      <c r="N212">
        <v>1</v>
      </c>
      <c r="O212" t="s">
        <v>73</v>
      </c>
      <c r="P212" t="s">
        <v>99</v>
      </c>
      <c r="Q212" t="s">
        <v>75</v>
      </c>
      <c r="S212" t="s">
        <v>63</v>
      </c>
      <c r="T212">
        <v>1</v>
      </c>
      <c r="V212">
        <v>1</v>
      </c>
      <c r="W212" t="s">
        <v>103</v>
      </c>
      <c r="X212" t="s">
        <v>91</v>
      </c>
      <c r="Y212" t="s">
        <v>147</v>
      </c>
      <c r="AA212" t="s">
        <v>38</v>
      </c>
      <c r="AB212">
        <v>2</v>
      </c>
      <c r="AC212">
        <v>1</v>
      </c>
      <c r="AD212">
        <v>2</v>
      </c>
      <c r="AE212" t="s">
        <v>67</v>
      </c>
      <c r="AI212">
        <v>8</v>
      </c>
      <c r="AJ212">
        <v>30</v>
      </c>
    </row>
    <row r="213" spans="1:36" x14ac:dyDescent="0.25">
      <c r="A213" t="s">
        <v>834</v>
      </c>
      <c r="B213">
        <v>211</v>
      </c>
      <c r="C213" t="s">
        <v>56</v>
      </c>
      <c r="D213">
        <v>1</v>
      </c>
      <c r="F213">
        <v>1</v>
      </c>
      <c r="G213" t="s">
        <v>57</v>
      </c>
      <c r="H213" t="s">
        <v>122</v>
      </c>
      <c r="K213" t="s">
        <v>43</v>
      </c>
      <c r="L213">
        <v>1</v>
      </c>
      <c r="N213">
        <v>1</v>
      </c>
      <c r="O213" t="s">
        <v>73</v>
      </c>
      <c r="P213" t="s">
        <v>99</v>
      </c>
      <c r="Q213" t="s">
        <v>100</v>
      </c>
      <c r="S213" t="s">
        <v>63</v>
      </c>
      <c r="T213">
        <v>1</v>
      </c>
      <c r="V213">
        <v>1</v>
      </c>
      <c r="W213" t="s">
        <v>103</v>
      </c>
      <c r="X213" t="s">
        <v>91</v>
      </c>
      <c r="AA213" t="s">
        <v>227</v>
      </c>
      <c r="AB213">
        <v>2</v>
      </c>
      <c r="AC213">
        <v>1</v>
      </c>
      <c r="AD213">
        <v>1</v>
      </c>
      <c r="AE213" t="s">
        <v>228</v>
      </c>
      <c r="AI213">
        <v>5</v>
      </c>
      <c r="AJ213">
        <v>17</v>
      </c>
    </row>
    <row r="214" spans="1:36" x14ac:dyDescent="0.25">
      <c r="A214" t="s">
        <v>835</v>
      </c>
      <c r="B214">
        <v>212</v>
      </c>
      <c r="C214" t="s">
        <v>38</v>
      </c>
      <c r="D214">
        <v>3</v>
      </c>
      <c r="E214">
        <v>1</v>
      </c>
      <c r="F214">
        <v>2</v>
      </c>
      <c r="G214" t="s">
        <v>67</v>
      </c>
      <c r="K214" t="s">
        <v>227</v>
      </c>
      <c r="L214">
        <v>2</v>
      </c>
      <c r="M214">
        <v>1</v>
      </c>
      <c r="N214">
        <v>3</v>
      </c>
      <c r="O214" t="s">
        <v>228</v>
      </c>
      <c r="S214" t="s">
        <v>56</v>
      </c>
      <c r="T214">
        <v>3</v>
      </c>
      <c r="V214">
        <v>2</v>
      </c>
      <c r="W214" t="s">
        <v>68</v>
      </c>
      <c r="AA214" t="s">
        <v>43</v>
      </c>
      <c r="AB214">
        <v>1</v>
      </c>
      <c r="AD214">
        <v>1</v>
      </c>
      <c r="AE214" t="s">
        <v>73</v>
      </c>
      <c r="AI214">
        <v>9</v>
      </c>
      <c r="AJ214">
        <v>24</v>
      </c>
    </row>
    <row r="215" spans="1:36" x14ac:dyDescent="0.25">
      <c r="A215" t="s">
        <v>836</v>
      </c>
      <c r="B215">
        <v>213</v>
      </c>
      <c r="C215" t="s">
        <v>56</v>
      </c>
      <c r="D215">
        <v>1</v>
      </c>
      <c r="F215">
        <v>1</v>
      </c>
      <c r="G215" t="s">
        <v>57</v>
      </c>
      <c r="K215" t="s">
        <v>45</v>
      </c>
      <c r="L215">
        <v>2</v>
      </c>
      <c r="N215">
        <v>1</v>
      </c>
      <c r="O215" t="s">
        <v>140</v>
      </c>
      <c r="S215" t="s">
        <v>48</v>
      </c>
      <c r="T215">
        <v>1</v>
      </c>
      <c r="V215">
        <v>1</v>
      </c>
      <c r="W215" t="s">
        <v>89</v>
      </c>
      <c r="X215" t="s">
        <v>84</v>
      </c>
      <c r="AA215" t="s">
        <v>33</v>
      </c>
      <c r="AB215">
        <v>1</v>
      </c>
      <c r="AD215">
        <v>2</v>
      </c>
      <c r="AE215" t="s">
        <v>34</v>
      </c>
      <c r="AI215">
        <v>3</v>
      </c>
      <c r="AJ215">
        <v>17</v>
      </c>
    </row>
    <row r="216" spans="1:36" x14ac:dyDescent="0.25">
      <c r="A216" t="s">
        <v>837</v>
      </c>
      <c r="B216">
        <v>214</v>
      </c>
      <c r="C216" t="s">
        <v>48</v>
      </c>
      <c r="D216">
        <v>2</v>
      </c>
      <c r="F216">
        <v>1</v>
      </c>
      <c r="G216" t="s">
        <v>89</v>
      </c>
      <c r="H216" t="s">
        <v>84</v>
      </c>
      <c r="I216" t="s">
        <v>127</v>
      </c>
      <c r="J216" t="s">
        <v>128</v>
      </c>
      <c r="K216" t="s">
        <v>43</v>
      </c>
      <c r="L216">
        <v>1</v>
      </c>
      <c r="N216">
        <v>1</v>
      </c>
      <c r="O216" t="s">
        <v>73</v>
      </c>
      <c r="P216" t="s">
        <v>136</v>
      </c>
      <c r="S216" t="s">
        <v>56</v>
      </c>
      <c r="T216">
        <v>2</v>
      </c>
      <c r="V216">
        <v>1</v>
      </c>
      <c r="W216" t="s">
        <v>68</v>
      </c>
      <c r="AA216" t="s">
        <v>45</v>
      </c>
      <c r="AB216">
        <v>2</v>
      </c>
      <c r="AD216">
        <v>1</v>
      </c>
      <c r="AE216" t="s">
        <v>140</v>
      </c>
      <c r="AI216">
        <v>7</v>
      </c>
      <c r="AJ216">
        <v>21</v>
      </c>
    </row>
    <row r="217" spans="1:36" x14ac:dyDescent="0.25">
      <c r="A217" t="s">
        <v>838</v>
      </c>
      <c r="B217">
        <v>215</v>
      </c>
      <c r="C217" t="s">
        <v>48</v>
      </c>
      <c r="D217">
        <v>3</v>
      </c>
      <c r="F217">
        <v>2</v>
      </c>
      <c r="G217" t="s">
        <v>89</v>
      </c>
      <c r="H217" t="s">
        <v>84</v>
      </c>
      <c r="I217" t="s">
        <v>90</v>
      </c>
      <c r="J217" t="s">
        <v>129</v>
      </c>
      <c r="K217" t="s">
        <v>63</v>
      </c>
      <c r="L217">
        <v>1</v>
      </c>
      <c r="N217">
        <v>1</v>
      </c>
      <c r="O217" t="s">
        <v>72</v>
      </c>
      <c r="P217" t="s">
        <v>146</v>
      </c>
      <c r="S217" t="s">
        <v>56</v>
      </c>
      <c r="T217">
        <v>3</v>
      </c>
      <c r="V217">
        <v>2</v>
      </c>
      <c r="W217" t="s">
        <v>57</v>
      </c>
      <c r="X217" t="s">
        <v>121</v>
      </c>
      <c r="Y217" t="s">
        <v>123</v>
      </c>
      <c r="AA217" t="s">
        <v>45</v>
      </c>
      <c r="AB217">
        <v>2</v>
      </c>
      <c r="AD217">
        <v>1</v>
      </c>
      <c r="AE217" t="s">
        <v>47</v>
      </c>
      <c r="AF217" t="s">
        <v>76</v>
      </c>
      <c r="AI217">
        <v>14</v>
      </c>
      <c r="AJ217">
        <v>42</v>
      </c>
    </row>
    <row r="218" spans="1:36" x14ac:dyDescent="0.25">
      <c r="A218" t="s">
        <v>839</v>
      </c>
      <c r="B218">
        <v>216</v>
      </c>
      <c r="C218" t="s">
        <v>48</v>
      </c>
      <c r="D218">
        <v>2</v>
      </c>
      <c r="F218">
        <v>1</v>
      </c>
      <c r="G218" t="s">
        <v>89</v>
      </c>
      <c r="H218" t="s">
        <v>84</v>
      </c>
      <c r="I218" t="s">
        <v>90</v>
      </c>
      <c r="J218" t="s">
        <v>128</v>
      </c>
      <c r="K218" t="s">
        <v>38</v>
      </c>
      <c r="L218">
        <v>1</v>
      </c>
      <c r="M218">
        <v>1</v>
      </c>
      <c r="N218">
        <v>2</v>
      </c>
      <c r="O218" t="s">
        <v>152</v>
      </c>
      <c r="S218" t="s">
        <v>56</v>
      </c>
      <c r="T218">
        <v>3</v>
      </c>
      <c r="V218">
        <v>1</v>
      </c>
      <c r="W218" t="s">
        <v>57</v>
      </c>
      <c r="AA218" t="s">
        <v>45</v>
      </c>
      <c r="AB218">
        <v>3</v>
      </c>
      <c r="AD218">
        <v>1</v>
      </c>
      <c r="AE218" t="s">
        <v>140</v>
      </c>
      <c r="AI218">
        <v>9</v>
      </c>
      <c r="AJ218">
        <v>25</v>
      </c>
    </row>
    <row r="219" spans="1:36" x14ac:dyDescent="0.25">
      <c r="A219" t="s">
        <v>840</v>
      </c>
      <c r="B219">
        <v>217</v>
      </c>
      <c r="C219" t="s">
        <v>48</v>
      </c>
      <c r="D219">
        <v>2</v>
      </c>
      <c r="F219">
        <v>1</v>
      </c>
      <c r="G219" t="s">
        <v>49</v>
      </c>
      <c r="H219" t="s">
        <v>50</v>
      </c>
      <c r="K219" t="s">
        <v>227</v>
      </c>
      <c r="L219">
        <v>2</v>
      </c>
      <c r="M219">
        <v>1</v>
      </c>
      <c r="N219">
        <v>1</v>
      </c>
      <c r="O219" t="s">
        <v>228</v>
      </c>
      <c r="P219" t="s">
        <v>231</v>
      </c>
      <c r="S219" t="s">
        <v>56</v>
      </c>
      <c r="T219">
        <v>2</v>
      </c>
      <c r="V219">
        <v>1</v>
      </c>
      <c r="W219" t="s">
        <v>57</v>
      </c>
      <c r="AA219" t="s">
        <v>45</v>
      </c>
      <c r="AB219">
        <v>3</v>
      </c>
      <c r="AD219">
        <v>1</v>
      </c>
      <c r="AE219" t="s">
        <v>140</v>
      </c>
      <c r="AI219">
        <v>7</v>
      </c>
      <c r="AJ219">
        <v>18</v>
      </c>
    </row>
    <row r="220" spans="1:36" x14ac:dyDescent="0.25">
      <c r="A220" t="s">
        <v>841</v>
      </c>
      <c r="B220">
        <v>218</v>
      </c>
      <c r="C220" t="s">
        <v>56</v>
      </c>
      <c r="D220">
        <v>1</v>
      </c>
      <c r="F220">
        <v>2</v>
      </c>
      <c r="G220" t="s">
        <v>68</v>
      </c>
      <c r="K220" t="s">
        <v>45</v>
      </c>
      <c r="L220">
        <v>3</v>
      </c>
      <c r="N220">
        <v>1</v>
      </c>
      <c r="O220" t="s">
        <v>140</v>
      </c>
      <c r="S220" t="s">
        <v>33</v>
      </c>
      <c r="T220">
        <v>2</v>
      </c>
      <c r="V220">
        <v>3</v>
      </c>
      <c r="W220" t="s">
        <v>34</v>
      </c>
      <c r="AA220" t="s">
        <v>43</v>
      </c>
      <c r="AB220">
        <v>1</v>
      </c>
      <c r="AD220">
        <v>1</v>
      </c>
      <c r="AE220" t="s">
        <v>135</v>
      </c>
      <c r="AI220">
        <v>6</v>
      </c>
      <c r="AJ220">
        <v>17</v>
      </c>
    </row>
    <row r="221" spans="1:36" x14ac:dyDescent="0.25">
      <c r="A221" s="36" t="s">
        <v>842</v>
      </c>
      <c r="B221">
        <v>219</v>
      </c>
      <c r="C221" t="s">
        <v>56</v>
      </c>
      <c r="D221">
        <v>1</v>
      </c>
      <c r="F221">
        <v>1</v>
      </c>
      <c r="G221" t="s">
        <v>57</v>
      </c>
      <c r="K221" t="s">
        <v>45</v>
      </c>
      <c r="L221">
        <v>3</v>
      </c>
      <c r="N221">
        <v>1</v>
      </c>
      <c r="O221" t="s">
        <v>140</v>
      </c>
      <c r="P221" t="s">
        <v>141</v>
      </c>
      <c r="S221" t="s">
        <v>33</v>
      </c>
      <c r="T221">
        <v>1</v>
      </c>
      <c r="V221">
        <v>2</v>
      </c>
      <c r="W221" t="s">
        <v>34</v>
      </c>
      <c r="AA221" t="s">
        <v>63</v>
      </c>
      <c r="AB221">
        <v>1</v>
      </c>
      <c r="AD221">
        <v>2</v>
      </c>
      <c r="AE221" t="s">
        <v>103</v>
      </c>
      <c r="AF221" t="s">
        <v>91</v>
      </c>
      <c r="AI221">
        <v>6</v>
      </c>
      <c r="AJ221">
        <v>19</v>
      </c>
    </row>
    <row r="222" spans="1:36" x14ac:dyDescent="0.25">
      <c r="A222" t="s">
        <v>843</v>
      </c>
      <c r="B222">
        <v>220</v>
      </c>
      <c r="C222" t="s">
        <v>33</v>
      </c>
      <c r="D222">
        <v>2</v>
      </c>
      <c r="F222">
        <v>3</v>
      </c>
      <c r="G222" t="s">
        <v>34</v>
      </c>
      <c r="K222" t="s">
        <v>38</v>
      </c>
      <c r="L222">
        <v>1</v>
      </c>
      <c r="M222">
        <v>1</v>
      </c>
      <c r="N222">
        <v>2</v>
      </c>
      <c r="O222" t="s">
        <v>39</v>
      </c>
      <c r="P222" t="s">
        <v>70</v>
      </c>
      <c r="Q222" t="s">
        <v>154</v>
      </c>
      <c r="S222" t="s">
        <v>56</v>
      </c>
      <c r="T222">
        <v>2</v>
      </c>
      <c r="V222">
        <v>2</v>
      </c>
      <c r="W222" t="s">
        <v>68</v>
      </c>
      <c r="AA222" t="s">
        <v>45</v>
      </c>
      <c r="AB222">
        <v>3</v>
      </c>
      <c r="AD222">
        <v>1</v>
      </c>
      <c r="AE222" t="s">
        <v>140</v>
      </c>
      <c r="AI222">
        <v>10</v>
      </c>
      <c r="AJ222">
        <v>29</v>
      </c>
    </row>
    <row r="223" spans="1:36" x14ac:dyDescent="0.25">
      <c r="A223" t="s">
        <v>844</v>
      </c>
      <c r="B223">
        <v>221</v>
      </c>
      <c r="C223" t="s">
        <v>56</v>
      </c>
      <c r="D223">
        <v>1</v>
      </c>
      <c r="F223">
        <v>1</v>
      </c>
      <c r="G223" t="s">
        <v>57</v>
      </c>
      <c r="K223" t="s">
        <v>45</v>
      </c>
      <c r="L223">
        <v>3</v>
      </c>
      <c r="N223">
        <v>3</v>
      </c>
      <c r="O223" t="s">
        <v>140</v>
      </c>
      <c r="P223" t="s">
        <v>76</v>
      </c>
      <c r="S223" t="s">
        <v>33</v>
      </c>
      <c r="T223">
        <v>2</v>
      </c>
      <c r="V223">
        <v>2</v>
      </c>
      <c r="W223" t="s">
        <v>46</v>
      </c>
      <c r="AA223" t="s">
        <v>227</v>
      </c>
      <c r="AB223">
        <v>2</v>
      </c>
      <c r="AC223">
        <v>1</v>
      </c>
      <c r="AD223">
        <v>2</v>
      </c>
      <c r="AE223" t="s">
        <v>228</v>
      </c>
      <c r="AF223" t="s">
        <v>231</v>
      </c>
      <c r="AG223" t="s">
        <v>235</v>
      </c>
      <c r="AI223">
        <v>11</v>
      </c>
      <c r="AJ223">
        <v>26</v>
      </c>
    </row>
    <row r="224" spans="1:36" x14ac:dyDescent="0.25">
      <c r="A224" t="s">
        <v>845</v>
      </c>
      <c r="B224">
        <v>222</v>
      </c>
      <c r="C224" t="s">
        <v>56</v>
      </c>
      <c r="D224">
        <v>2</v>
      </c>
      <c r="F224">
        <v>1</v>
      </c>
      <c r="G224" t="s">
        <v>68</v>
      </c>
      <c r="H224" t="s">
        <v>122</v>
      </c>
      <c r="K224" t="s">
        <v>45</v>
      </c>
      <c r="L224">
        <v>2</v>
      </c>
      <c r="N224">
        <v>1</v>
      </c>
      <c r="O224" t="s">
        <v>86</v>
      </c>
      <c r="S224" t="s">
        <v>43</v>
      </c>
      <c r="T224">
        <v>1</v>
      </c>
      <c r="V224">
        <v>1</v>
      </c>
      <c r="W224" t="s">
        <v>73</v>
      </c>
      <c r="X224" t="s">
        <v>136</v>
      </c>
      <c r="Y224" t="s">
        <v>100</v>
      </c>
      <c r="Z224" t="s">
        <v>101</v>
      </c>
      <c r="AA224" t="s">
        <v>63</v>
      </c>
      <c r="AB224">
        <v>1</v>
      </c>
      <c r="AD224">
        <v>1</v>
      </c>
      <c r="AE224" t="s">
        <v>72</v>
      </c>
      <c r="AF224" t="s">
        <v>95</v>
      </c>
      <c r="AI224">
        <v>7</v>
      </c>
      <c r="AJ224">
        <v>20</v>
      </c>
    </row>
    <row r="225" spans="1:36" x14ac:dyDescent="0.25">
      <c r="A225" t="s">
        <v>846</v>
      </c>
      <c r="B225">
        <v>223</v>
      </c>
      <c r="C225" t="s">
        <v>43</v>
      </c>
      <c r="D225">
        <v>3</v>
      </c>
      <c r="F225">
        <v>1</v>
      </c>
      <c r="G225" t="s">
        <v>73</v>
      </c>
      <c r="H225" t="s">
        <v>99</v>
      </c>
      <c r="I225" t="s">
        <v>75</v>
      </c>
      <c r="K225" t="s">
        <v>38</v>
      </c>
      <c r="L225">
        <v>1</v>
      </c>
      <c r="M225">
        <v>1</v>
      </c>
      <c r="N225">
        <v>2</v>
      </c>
      <c r="O225" t="s">
        <v>67</v>
      </c>
      <c r="S225" t="s">
        <v>56</v>
      </c>
      <c r="T225">
        <v>1</v>
      </c>
      <c r="V225">
        <v>2</v>
      </c>
      <c r="W225" t="s">
        <v>68</v>
      </c>
      <c r="AA225" t="s">
        <v>45</v>
      </c>
      <c r="AB225">
        <v>3</v>
      </c>
      <c r="AD225">
        <v>1</v>
      </c>
      <c r="AE225" t="s">
        <v>140</v>
      </c>
      <c r="AI225">
        <v>8</v>
      </c>
      <c r="AJ225">
        <v>25</v>
      </c>
    </row>
    <row r="226" spans="1:36" x14ac:dyDescent="0.25">
      <c r="A226" t="s">
        <v>847</v>
      </c>
      <c r="B226">
        <v>224</v>
      </c>
      <c r="C226" t="s">
        <v>56</v>
      </c>
      <c r="D226">
        <v>1</v>
      </c>
      <c r="F226">
        <v>1</v>
      </c>
      <c r="G226" t="s">
        <v>57</v>
      </c>
      <c r="H226" t="s">
        <v>122</v>
      </c>
      <c r="K226" t="s">
        <v>45</v>
      </c>
      <c r="L226">
        <v>3</v>
      </c>
      <c r="N226">
        <v>2</v>
      </c>
      <c r="O226" t="s">
        <v>140</v>
      </c>
      <c r="S226" t="s">
        <v>43</v>
      </c>
      <c r="T226">
        <v>3</v>
      </c>
      <c r="V226">
        <v>1</v>
      </c>
      <c r="W226" t="s">
        <v>73</v>
      </c>
      <c r="X226" t="s">
        <v>99</v>
      </c>
      <c r="AA226" t="s">
        <v>227</v>
      </c>
      <c r="AB226">
        <v>1</v>
      </c>
      <c r="AC226">
        <v>2</v>
      </c>
      <c r="AD226">
        <v>2</v>
      </c>
      <c r="AE226" t="s">
        <v>228</v>
      </c>
      <c r="AI226">
        <v>9</v>
      </c>
      <c r="AJ226">
        <v>26</v>
      </c>
    </row>
    <row r="227" spans="1:36" x14ac:dyDescent="0.25">
      <c r="A227" t="s">
        <v>848</v>
      </c>
      <c r="B227">
        <v>225</v>
      </c>
      <c r="C227" t="s">
        <v>56</v>
      </c>
      <c r="D227">
        <v>2</v>
      </c>
      <c r="F227">
        <v>1</v>
      </c>
      <c r="G227" t="s">
        <v>57</v>
      </c>
      <c r="H227" t="s">
        <v>122</v>
      </c>
      <c r="K227" t="s">
        <v>45</v>
      </c>
      <c r="L227">
        <v>3</v>
      </c>
      <c r="N227">
        <v>1</v>
      </c>
      <c r="O227" t="s">
        <v>86</v>
      </c>
      <c r="S227" t="s">
        <v>63</v>
      </c>
      <c r="T227">
        <v>2</v>
      </c>
      <c r="V227">
        <v>1</v>
      </c>
      <c r="W227" t="s">
        <v>103</v>
      </c>
      <c r="X227" t="s">
        <v>91</v>
      </c>
      <c r="AA227" t="s">
        <v>38</v>
      </c>
      <c r="AB227">
        <v>1</v>
      </c>
      <c r="AC227">
        <v>1</v>
      </c>
      <c r="AD227">
        <v>1</v>
      </c>
      <c r="AE227" t="s">
        <v>67</v>
      </c>
      <c r="AI227">
        <v>6</v>
      </c>
      <c r="AJ227">
        <v>17</v>
      </c>
    </row>
    <row r="228" spans="1:36" x14ac:dyDescent="0.25">
      <c r="A228" t="s">
        <v>849</v>
      </c>
      <c r="B228">
        <v>226</v>
      </c>
      <c r="C228" t="s">
        <v>56</v>
      </c>
      <c r="D228">
        <v>3</v>
      </c>
      <c r="F228">
        <v>2</v>
      </c>
      <c r="G228" t="s">
        <v>57</v>
      </c>
      <c r="H228" t="s">
        <v>122</v>
      </c>
      <c r="I228" t="s">
        <v>85</v>
      </c>
      <c r="K228" t="s">
        <v>45</v>
      </c>
      <c r="L228">
        <v>1</v>
      </c>
      <c r="N228">
        <v>1</v>
      </c>
      <c r="O228" t="s">
        <v>47</v>
      </c>
      <c r="S228" t="s">
        <v>63</v>
      </c>
      <c r="T228">
        <v>3</v>
      </c>
      <c r="V228">
        <v>1</v>
      </c>
      <c r="W228" t="s">
        <v>72</v>
      </c>
      <c r="X228" t="s">
        <v>146</v>
      </c>
      <c r="Y228" t="s">
        <v>147</v>
      </c>
      <c r="AA228" t="s">
        <v>227</v>
      </c>
      <c r="AB228">
        <v>3</v>
      </c>
      <c r="AC228">
        <v>1</v>
      </c>
      <c r="AD228">
        <v>2</v>
      </c>
      <c r="AE228" t="s">
        <v>228</v>
      </c>
      <c r="AI228">
        <v>12</v>
      </c>
      <c r="AJ228">
        <v>32</v>
      </c>
    </row>
    <row r="229" spans="1:36" x14ac:dyDescent="0.25">
      <c r="A229" t="s">
        <v>850</v>
      </c>
      <c r="B229">
        <v>227</v>
      </c>
      <c r="C229" t="s">
        <v>38</v>
      </c>
      <c r="D229">
        <v>2</v>
      </c>
      <c r="E229">
        <v>1</v>
      </c>
      <c r="F229">
        <v>2</v>
      </c>
      <c r="G229" t="s">
        <v>67</v>
      </c>
      <c r="K229" t="s">
        <v>227</v>
      </c>
      <c r="L229">
        <v>2</v>
      </c>
      <c r="M229">
        <v>1</v>
      </c>
      <c r="N229">
        <v>3</v>
      </c>
      <c r="O229" t="s">
        <v>228</v>
      </c>
      <c r="S229" t="s">
        <v>56</v>
      </c>
      <c r="T229">
        <v>2</v>
      </c>
      <c r="V229">
        <v>2</v>
      </c>
      <c r="W229" t="s">
        <v>57</v>
      </c>
      <c r="AA229" t="s">
        <v>45</v>
      </c>
      <c r="AB229">
        <v>3</v>
      </c>
      <c r="AD229">
        <v>1</v>
      </c>
      <c r="AE229" t="s">
        <v>140</v>
      </c>
      <c r="AI229">
        <v>9</v>
      </c>
      <c r="AJ229">
        <v>28</v>
      </c>
    </row>
    <row r="230" spans="1:36" x14ac:dyDescent="0.25">
      <c r="A230" t="s">
        <v>851</v>
      </c>
      <c r="B230">
        <v>228</v>
      </c>
      <c r="C230" t="s">
        <v>48</v>
      </c>
      <c r="D230">
        <v>2</v>
      </c>
      <c r="F230">
        <v>1</v>
      </c>
      <c r="G230" t="s">
        <v>49</v>
      </c>
      <c r="H230" t="s">
        <v>71</v>
      </c>
      <c r="K230" t="s">
        <v>33</v>
      </c>
      <c r="L230">
        <v>1</v>
      </c>
      <c r="N230">
        <v>2</v>
      </c>
      <c r="O230" t="s">
        <v>34</v>
      </c>
      <c r="S230" t="s">
        <v>56</v>
      </c>
      <c r="T230">
        <v>2</v>
      </c>
      <c r="V230">
        <v>1</v>
      </c>
      <c r="W230" t="s">
        <v>68</v>
      </c>
      <c r="AA230" t="s">
        <v>63</v>
      </c>
      <c r="AB230">
        <v>1</v>
      </c>
      <c r="AD230">
        <v>1</v>
      </c>
      <c r="AE230" t="s">
        <v>72</v>
      </c>
      <c r="AF230" t="s">
        <v>95</v>
      </c>
      <c r="AI230">
        <v>5</v>
      </c>
      <c r="AJ230">
        <v>22</v>
      </c>
    </row>
    <row r="231" spans="1:36" x14ac:dyDescent="0.25">
      <c r="A231" t="s">
        <v>852</v>
      </c>
      <c r="B231">
        <v>229</v>
      </c>
      <c r="C231" t="s">
        <v>48</v>
      </c>
      <c r="D231">
        <v>3</v>
      </c>
      <c r="F231">
        <v>2</v>
      </c>
      <c r="G231" t="s">
        <v>49</v>
      </c>
      <c r="H231" t="s">
        <v>71</v>
      </c>
      <c r="I231" t="s">
        <v>127</v>
      </c>
      <c r="K231" t="s">
        <v>43</v>
      </c>
      <c r="L231">
        <v>1</v>
      </c>
      <c r="N231">
        <v>1</v>
      </c>
      <c r="O231" t="s">
        <v>73</v>
      </c>
      <c r="P231" t="s">
        <v>99</v>
      </c>
      <c r="Q231" t="s">
        <v>100</v>
      </c>
      <c r="S231" t="s">
        <v>56</v>
      </c>
      <c r="T231">
        <v>1</v>
      </c>
      <c r="V231">
        <v>1</v>
      </c>
      <c r="W231" t="s">
        <v>68</v>
      </c>
      <c r="AA231" t="s">
        <v>63</v>
      </c>
      <c r="AB231">
        <v>3</v>
      </c>
      <c r="AD231">
        <v>2</v>
      </c>
      <c r="AE231" t="s">
        <v>72</v>
      </c>
      <c r="AF231" t="s">
        <v>146</v>
      </c>
      <c r="AI231">
        <v>11</v>
      </c>
      <c r="AJ231">
        <v>26</v>
      </c>
    </row>
    <row r="232" spans="1:36" x14ac:dyDescent="0.25">
      <c r="A232" t="s">
        <v>853</v>
      </c>
      <c r="B232">
        <v>230</v>
      </c>
      <c r="C232" t="s">
        <v>48</v>
      </c>
      <c r="D232">
        <v>3</v>
      </c>
      <c r="F232">
        <v>1</v>
      </c>
      <c r="G232" t="s">
        <v>49</v>
      </c>
      <c r="H232" t="s">
        <v>50</v>
      </c>
      <c r="I232" t="s">
        <v>127</v>
      </c>
      <c r="J232" t="s">
        <v>128</v>
      </c>
      <c r="K232" t="s">
        <v>45</v>
      </c>
      <c r="L232">
        <v>2</v>
      </c>
      <c r="N232">
        <v>1</v>
      </c>
      <c r="O232" t="s">
        <v>86</v>
      </c>
      <c r="S232" t="s">
        <v>56</v>
      </c>
      <c r="T232">
        <v>2</v>
      </c>
      <c r="V232">
        <v>2</v>
      </c>
      <c r="W232" t="s">
        <v>57</v>
      </c>
      <c r="AA232" t="s">
        <v>63</v>
      </c>
      <c r="AB232">
        <v>2</v>
      </c>
      <c r="AD232">
        <v>3</v>
      </c>
      <c r="AE232" t="s">
        <v>72</v>
      </c>
      <c r="AF232" t="s">
        <v>146</v>
      </c>
      <c r="AG232" t="s">
        <v>147</v>
      </c>
      <c r="AI232">
        <v>13</v>
      </c>
      <c r="AJ232">
        <v>33</v>
      </c>
    </row>
    <row r="233" spans="1:36" x14ac:dyDescent="0.25">
      <c r="A233" t="s">
        <v>854</v>
      </c>
      <c r="B233">
        <v>231</v>
      </c>
      <c r="C233" t="s">
        <v>48</v>
      </c>
      <c r="D233">
        <v>3</v>
      </c>
      <c r="F233">
        <v>2</v>
      </c>
      <c r="G233" t="s">
        <v>49</v>
      </c>
      <c r="H233" t="s">
        <v>71</v>
      </c>
      <c r="K233" t="s">
        <v>38</v>
      </c>
      <c r="L233">
        <v>1</v>
      </c>
      <c r="M233">
        <v>1</v>
      </c>
      <c r="N233">
        <v>1</v>
      </c>
      <c r="O233" t="s">
        <v>152</v>
      </c>
      <c r="P233" t="s">
        <v>40</v>
      </c>
      <c r="S233" t="s">
        <v>56</v>
      </c>
      <c r="T233">
        <v>3</v>
      </c>
      <c r="V233">
        <v>1</v>
      </c>
      <c r="W233" t="s">
        <v>57</v>
      </c>
      <c r="AA233" t="s">
        <v>63</v>
      </c>
      <c r="AB233">
        <v>2</v>
      </c>
      <c r="AD233">
        <v>1</v>
      </c>
      <c r="AE233" t="s">
        <v>103</v>
      </c>
      <c r="AF233" t="s">
        <v>95</v>
      </c>
      <c r="AI233">
        <v>9</v>
      </c>
      <c r="AJ233">
        <v>33</v>
      </c>
    </row>
    <row r="234" spans="1:36" x14ac:dyDescent="0.25">
      <c r="A234" t="s">
        <v>855</v>
      </c>
      <c r="B234">
        <v>232</v>
      </c>
      <c r="C234" t="s">
        <v>48</v>
      </c>
      <c r="D234">
        <v>2</v>
      </c>
      <c r="F234">
        <v>1</v>
      </c>
      <c r="G234" t="s">
        <v>49</v>
      </c>
      <c r="H234" t="s">
        <v>71</v>
      </c>
      <c r="I234" t="s">
        <v>127</v>
      </c>
      <c r="J234" t="s">
        <v>128</v>
      </c>
      <c r="K234" t="s">
        <v>227</v>
      </c>
      <c r="L234">
        <v>2</v>
      </c>
      <c r="M234">
        <v>1</v>
      </c>
      <c r="N234">
        <v>1</v>
      </c>
      <c r="O234" t="s">
        <v>228</v>
      </c>
      <c r="P234" t="s">
        <v>231</v>
      </c>
      <c r="S234" t="s">
        <v>56</v>
      </c>
      <c r="T234">
        <v>1</v>
      </c>
      <c r="V234">
        <v>1</v>
      </c>
      <c r="W234" t="s">
        <v>57</v>
      </c>
      <c r="AA234" t="s">
        <v>63</v>
      </c>
      <c r="AB234">
        <v>2</v>
      </c>
      <c r="AD234">
        <v>1</v>
      </c>
      <c r="AE234" t="s">
        <v>72</v>
      </c>
      <c r="AF234" t="s">
        <v>91</v>
      </c>
      <c r="AG234" t="s">
        <v>147</v>
      </c>
      <c r="AI234">
        <v>9</v>
      </c>
      <c r="AJ234">
        <v>27</v>
      </c>
    </row>
    <row r="235" spans="1:36" x14ac:dyDescent="0.25">
      <c r="A235" t="s">
        <v>856</v>
      </c>
      <c r="B235">
        <v>233</v>
      </c>
      <c r="C235" t="s">
        <v>33</v>
      </c>
      <c r="D235">
        <v>1</v>
      </c>
      <c r="F235">
        <v>3</v>
      </c>
      <c r="G235" t="s">
        <v>46</v>
      </c>
      <c r="H235" t="s">
        <v>35</v>
      </c>
      <c r="K235" t="s">
        <v>43</v>
      </c>
      <c r="L235">
        <v>1</v>
      </c>
      <c r="N235">
        <v>1</v>
      </c>
      <c r="O235" t="s">
        <v>73</v>
      </c>
      <c r="P235" t="s">
        <v>74</v>
      </c>
      <c r="Q235" t="s">
        <v>75</v>
      </c>
      <c r="S235" t="s">
        <v>56</v>
      </c>
      <c r="T235">
        <v>2</v>
      </c>
      <c r="V235">
        <v>2</v>
      </c>
      <c r="W235" t="s">
        <v>68</v>
      </c>
      <c r="AA235" t="s">
        <v>63</v>
      </c>
      <c r="AB235">
        <v>2</v>
      </c>
      <c r="AD235">
        <v>1</v>
      </c>
      <c r="AE235" t="s">
        <v>72</v>
      </c>
      <c r="AI235">
        <v>8</v>
      </c>
      <c r="AJ235">
        <v>25</v>
      </c>
    </row>
    <row r="236" spans="1:36" x14ac:dyDescent="0.25">
      <c r="A236" t="s">
        <v>857</v>
      </c>
      <c r="B236">
        <v>234</v>
      </c>
      <c r="C236" t="s">
        <v>33</v>
      </c>
      <c r="D236">
        <v>1</v>
      </c>
      <c r="F236">
        <v>3</v>
      </c>
      <c r="G236" t="s">
        <v>46</v>
      </c>
      <c r="K236" t="s">
        <v>45</v>
      </c>
      <c r="L236">
        <v>2</v>
      </c>
      <c r="N236">
        <v>1</v>
      </c>
      <c r="O236" t="s">
        <v>140</v>
      </c>
      <c r="P236" t="s">
        <v>141</v>
      </c>
      <c r="Q236" t="s">
        <v>102</v>
      </c>
      <c r="S236" t="s">
        <v>56</v>
      </c>
      <c r="T236">
        <v>2</v>
      </c>
      <c r="V236">
        <v>3</v>
      </c>
      <c r="W236" t="s">
        <v>68</v>
      </c>
      <c r="X236" t="s">
        <v>121</v>
      </c>
      <c r="AA236" t="s">
        <v>63</v>
      </c>
      <c r="AB236">
        <v>3</v>
      </c>
      <c r="AD236">
        <v>1</v>
      </c>
      <c r="AE236" t="s">
        <v>72</v>
      </c>
      <c r="AF236" t="s">
        <v>91</v>
      </c>
      <c r="AI236">
        <v>12</v>
      </c>
      <c r="AJ236">
        <v>42</v>
      </c>
    </row>
    <row r="237" spans="1:36" x14ac:dyDescent="0.25">
      <c r="A237" t="s">
        <v>858</v>
      </c>
      <c r="B237">
        <v>235</v>
      </c>
      <c r="C237" t="s">
        <v>33</v>
      </c>
      <c r="D237">
        <v>2</v>
      </c>
      <c r="F237">
        <v>3</v>
      </c>
      <c r="G237" t="s">
        <v>46</v>
      </c>
      <c r="K237" t="s">
        <v>38</v>
      </c>
      <c r="L237">
        <v>1</v>
      </c>
      <c r="M237">
        <v>2</v>
      </c>
      <c r="N237">
        <v>1</v>
      </c>
      <c r="O237" t="s">
        <v>152</v>
      </c>
      <c r="S237" t="s">
        <v>56</v>
      </c>
      <c r="T237">
        <v>2</v>
      </c>
      <c r="V237">
        <v>1</v>
      </c>
      <c r="W237" t="s">
        <v>68</v>
      </c>
      <c r="AA237" t="s">
        <v>63</v>
      </c>
      <c r="AB237">
        <v>3</v>
      </c>
      <c r="AD237">
        <v>1</v>
      </c>
      <c r="AE237" t="s">
        <v>72</v>
      </c>
      <c r="AF237" t="s">
        <v>91</v>
      </c>
      <c r="AI237">
        <v>9</v>
      </c>
      <c r="AJ237">
        <v>25</v>
      </c>
    </row>
    <row r="238" spans="1:36" x14ac:dyDescent="0.25">
      <c r="A238" t="s">
        <v>859</v>
      </c>
      <c r="B238">
        <v>236</v>
      </c>
      <c r="C238" t="s">
        <v>33</v>
      </c>
      <c r="D238">
        <v>2</v>
      </c>
      <c r="F238">
        <v>3</v>
      </c>
      <c r="G238" t="s">
        <v>46</v>
      </c>
      <c r="H238" t="s">
        <v>35</v>
      </c>
      <c r="I238" t="s">
        <v>131</v>
      </c>
      <c r="J238" t="s">
        <v>133</v>
      </c>
      <c r="K238" t="s">
        <v>227</v>
      </c>
      <c r="L238">
        <v>3</v>
      </c>
      <c r="M238">
        <v>1</v>
      </c>
      <c r="N238">
        <v>1</v>
      </c>
      <c r="O238" t="s">
        <v>228</v>
      </c>
      <c r="S238" t="s">
        <v>56</v>
      </c>
      <c r="T238">
        <v>2</v>
      </c>
      <c r="V238">
        <v>1</v>
      </c>
      <c r="W238" t="s">
        <v>57</v>
      </c>
      <c r="X238" t="s">
        <v>69</v>
      </c>
      <c r="AA238" t="s">
        <v>63</v>
      </c>
      <c r="AB238">
        <v>3</v>
      </c>
      <c r="AD238">
        <v>1</v>
      </c>
      <c r="AE238" t="s">
        <v>72</v>
      </c>
      <c r="AF238" t="s">
        <v>91</v>
      </c>
      <c r="AG238" t="s">
        <v>104</v>
      </c>
      <c r="AH238" t="s">
        <v>151</v>
      </c>
      <c r="AI238">
        <v>15</v>
      </c>
      <c r="AJ238">
        <v>38</v>
      </c>
    </row>
    <row r="239" spans="1:36" x14ac:dyDescent="0.25">
      <c r="A239" t="s">
        <v>860</v>
      </c>
      <c r="B239">
        <v>237</v>
      </c>
      <c r="C239" t="s">
        <v>56</v>
      </c>
      <c r="D239">
        <v>1</v>
      </c>
      <c r="F239">
        <v>1</v>
      </c>
      <c r="G239" t="s">
        <v>68</v>
      </c>
      <c r="H239" t="s">
        <v>69</v>
      </c>
      <c r="I239" t="s">
        <v>123</v>
      </c>
      <c r="K239" t="s">
        <v>63</v>
      </c>
      <c r="L239">
        <v>3</v>
      </c>
      <c r="N239">
        <v>3</v>
      </c>
      <c r="O239" t="s">
        <v>72</v>
      </c>
      <c r="P239" t="s">
        <v>146</v>
      </c>
      <c r="Q239" t="s">
        <v>148</v>
      </c>
      <c r="R239" t="s">
        <v>151</v>
      </c>
      <c r="S239" t="s">
        <v>43</v>
      </c>
      <c r="T239">
        <v>3</v>
      </c>
      <c r="V239">
        <v>3</v>
      </c>
      <c r="W239" t="s">
        <v>73</v>
      </c>
      <c r="X239" t="s">
        <v>99</v>
      </c>
      <c r="Y239" t="s">
        <v>75</v>
      </c>
      <c r="Z239" t="s">
        <v>139</v>
      </c>
      <c r="AA239" t="s">
        <v>45</v>
      </c>
      <c r="AB239">
        <v>3</v>
      </c>
      <c r="AD239">
        <v>1</v>
      </c>
      <c r="AE239" t="s">
        <v>86</v>
      </c>
      <c r="AI239">
        <v>18</v>
      </c>
      <c r="AJ239">
        <v>43</v>
      </c>
    </row>
    <row r="240" spans="1:36" x14ac:dyDescent="0.25">
      <c r="A240" t="s">
        <v>861</v>
      </c>
      <c r="B240">
        <v>238</v>
      </c>
      <c r="C240" t="s">
        <v>56</v>
      </c>
      <c r="D240">
        <v>2</v>
      </c>
      <c r="F240">
        <v>1</v>
      </c>
      <c r="G240" t="s">
        <v>68</v>
      </c>
      <c r="K240" t="s">
        <v>63</v>
      </c>
      <c r="L240">
        <v>1</v>
      </c>
      <c r="N240">
        <v>1</v>
      </c>
      <c r="O240" t="s">
        <v>72</v>
      </c>
      <c r="P240" t="s">
        <v>91</v>
      </c>
      <c r="Q240" t="s">
        <v>147</v>
      </c>
      <c r="S240" t="s">
        <v>43</v>
      </c>
      <c r="T240">
        <v>3</v>
      </c>
      <c r="V240">
        <v>1</v>
      </c>
      <c r="W240" t="s">
        <v>73</v>
      </c>
      <c r="X240" t="s">
        <v>99</v>
      </c>
      <c r="Y240" t="s">
        <v>75</v>
      </c>
      <c r="Z240" t="s">
        <v>139</v>
      </c>
      <c r="AA240" t="s">
        <v>38</v>
      </c>
      <c r="AB240">
        <v>1</v>
      </c>
      <c r="AC240">
        <v>1</v>
      </c>
      <c r="AD240">
        <v>1</v>
      </c>
      <c r="AE240" t="s">
        <v>152</v>
      </c>
      <c r="AI240">
        <v>8</v>
      </c>
      <c r="AJ240">
        <v>26</v>
      </c>
    </row>
    <row r="241" spans="1:36" x14ac:dyDescent="0.25">
      <c r="A241" t="s">
        <v>862</v>
      </c>
      <c r="B241">
        <v>239</v>
      </c>
      <c r="C241" t="s">
        <v>43</v>
      </c>
      <c r="D241">
        <v>1</v>
      </c>
      <c r="F241">
        <v>1</v>
      </c>
      <c r="G241" t="s">
        <v>73</v>
      </c>
      <c r="H241" t="s">
        <v>74</v>
      </c>
      <c r="I241" t="s">
        <v>75</v>
      </c>
      <c r="K241" t="s">
        <v>227</v>
      </c>
      <c r="L241">
        <v>3</v>
      </c>
      <c r="M241">
        <v>1</v>
      </c>
      <c r="N241">
        <v>3</v>
      </c>
      <c r="O241" t="s">
        <v>228</v>
      </c>
      <c r="P241" t="s">
        <v>231</v>
      </c>
      <c r="S241" t="s">
        <v>56</v>
      </c>
      <c r="T241">
        <v>3</v>
      </c>
      <c r="V241">
        <v>1</v>
      </c>
      <c r="W241" t="s">
        <v>68</v>
      </c>
      <c r="AA241" t="s">
        <v>63</v>
      </c>
      <c r="AB241">
        <v>1</v>
      </c>
      <c r="AD241">
        <v>2</v>
      </c>
      <c r="AE241" t="s">
        <v>72</v>
      </c>
      <c r="AF241" t="s">
        <v>95</v>
      </c>
      <c r="AG241" t="s">
        <v>147</v>
      </c>
      <c r="AI241">
        <v>12</v>
      </c>
      <c r="AJ241">
        <v>33</v>
      </c>
    </row>
    <row r="242" spans="1:36" x14ac:dyDescent="0.25">
      <c r="A242" t="s">
        <v>863</v>
      </c>
      <c r="B242">
        <v>240</v>
      </c>
      <c r="C242" t="s">
        <v>45</v>
      </c>
      <c r="D242">
        <v>3</v>
      </c>
      <c r="F242">
        <v>3</v>
      </c>
      <c r="G242" t="s">
        <v>47</v>
      </c>
      <c r="K242" t="s">
        <v>38</v>
      </c>
      <c r="L242">
        <v>2</v>
      </c>
      <c r="M242">
        <v>1</v>
      </c>
      <c r="N242">
        <v>1</v>
      </c>
      <c r="O242" t="s">
        <v>152</v>
      </c>
      <c r="P242" t="s">
        <v>70</v>
      </c>
      <c r="S242" t="s">
        <v>56</v>
      </c>
      <c r="T242">
        <v>1</v>
      </c>
      <c r="V242">
        <v>3</v>
      </c>
      <c r="W242" t="s">
        <v>68</v>
      </c>
      <c r="AA242" t="s">
        <v>63</v>
      </c>
      <c r="AB242">
        <v>2</v>
      </c>
      <c r="AD242">
        <v>1</v>
      </c>
      <c r="AE242" t="s">
        <v>72</v>
      </c>
      <c r="AF242" t="s">
        <v>91</v>
      </c>
      <c r="AG242" t="s">
        <v>147</v>
      </c>
      <c r="AI242">
        <v>11</v>
      </c>
      <c r="AJ242">
        <v>34</v>
      </c>
    </row>
    <row r="243" spans="1:36" x14ac:dyDescent="0.25">
      <c r="A243" t="s">
        <v>864</v>
      </c>
      <c r="B243">
        <v>241</v>
      </c>
      <c r="C243" t="s">
        <v>56</v>
      </c>
      <c r="D243">
        <v>1</v>
      </c>
      <c r="F243">
        <v>1</v>
      </c>
      <c r="G243" t="s">
        <v>57</v>
      </c>
      <c r="K243" t="s">
        <v>63</v>
      </c>
      <c r="L243">
        <v>3</v>
      </c>
      <c r="N243">
        <v>1</v>
      </c>
      <c r="O243" t="s">
        <v>72</v>
      </c>
      <c r="P243" t="s">
        <v>91</v>
      </c>
      <c r="S243" t="s">
        <v>45</v>
      </c>
      <c r="T243">
        <v>3</v>
      </c>
      <c r="V243">
        <v>3</v>
      </c>
      <c r="W243" t="s">
        <v>86</v>
      </c>
      <c r="AA243" t="s">
        <v>227</v>
      </c>
      <c r="AB243">
        <v>1</v>
      </c>
      <c r="AC243">
        <v>1</v>
      </c>
      <c r="AD243">
        <v>1</v>
      </c>
      <c r="AE243" t="s">
        <v>228</v>
      </c>
      <c r="AI243">
        <v>7</v>
      </c>
      <c r="AJ243">
        <v>27</v>
      </c>
    </row>
    <row r="244" spans="1:36" x14ac:dyDescent="0.25">
      <c r="A244" t="s">
        <v>865</v>
      </c>
      <c r="B244">
        <v>242</v>
      </c>
      <c r="C244" t="s">
        <v>56</v>
      </c>
      <c r="D244">
        <v>2</v>
      </c>
      <c r="F244">
        <v>1</v>
      </c>
      <c r="G244" t="s">
        <v>57</v>
      </c>
      <c r="K244" t="s">
        <v>63</v>
      </c>
      <c r="L244">
        <v>1</v>
      </c>
      <c r="N244">
        <v>1</v>
      </c>
      <c r="O244" t="s">
        <v>72</v>
      </c>
      <c r="P244" t="s">
        <v>95</v>
      </c>
      <c r="Q244" t="s">
        <v>104</v>
      </c>
      <c r="R244" t="s">
        <v>151</v>
      </c>
      <c r="S244" t="s">
        <v>38</v>
      </c>
      <c r="T244">
        <v>3</v>
      </c>
      <c r="U244">
        <v>1</v>
      </c>
      <c r="V244">
        <v>3</v>
      </c>
      <c r="W244" t="s">
        <v>152</v>
      </c>
      <c r="AA244" t="s">
        <v>227</v>
      </c>
      <c r="AB244">
        <v>2</v>
      </c>
      <c r="AC244">
        <v>1</v>
      </c>
      <c r="AD244">
        <v>2</v>
      </c>
      <c r="AE244" t="s">
        <v>228</v>
      </c>
      <c r="AI244">
        <v>10</v>
      </c>
      <c r="AJ244">
        <v>27</v>
      </c>
    </row>
    <row r="245" spans="1:36" x14ac:dyDescent="0.25">
      <c r="A245" t="s">
        <v>866</v>
      </c>
      <c r="B245">
        <v>243</v>
      </c>
      <c r="C245" t="s">
        <v>56</v>
      </c>
      <c r="D245">
        <v>3</v>
      </c>
      <c r="F245">
        <v>1</v>
      </c>
      <c r="G245" t="s">
        <v>57</v>
      </c>
      <c r="K245" t="s">
        <v>38</v>
      </c>
      <c r="L245">
        <v>1</v>
      </c>
      <c r="M245">
        <v>1</v>
      </c>
      <c r="N245">
        <v>3</v>
      </c>
      <c r="O245" t="s">
        <v>39</v>
      </c>
      <c r="P245" t="s">
        <v>70</v>
      </c>
      <c r="Q245" t="s">
        <v>41</v>
      </c>
      <c r="R245" t="s">
        <v>42</v>
      </c>
      <c r="S245" t="s">
        <v>48</v>
      </c>
      <c r="T245">
        <v>3</v>
      </c>
      <c r="V245">
        <v>1</v>
      </c>
      <c r="W245" t="s">
        <v>49</v>
      </c>
      <c r="X245" t="s">
        <v>71</v>
      </c>
      <c r="AA245" t="s">
        <v>33</v>
      </c>
      <c r="AB245">
        <v>2</v>
      </c>
      <c r="AD245">
        <v>1</v>
      </c>
      <c r="AE245" t="s">
        <v>65</v>
      </c>
      <c r="AI245">
        <v>11</v>
      </c>
      <c r="AJ245">
        <v>33</v>
      </c>
    </row>
    <row r="246" spans="1:36" x14ac:dyDescent="0.25">
      <c r="A246" t="s">
        <v>867</v>
      </c>
      <c r="B246">
        <v>244</v>
      </c>
      <c r="C246" t="s">
        <v>56</v>
      </c>
      <c r="D246">
        <v>3</v>
      </c>
      <c r="F246">
        <v>1</v>
      </c>
      <c r="G246" t="s">
        <v>68</v>
      </c>
      <c r="H246" t="s">
        <v>122</v>
      </c>
      <c r="I246" t="s">
        <v>85</v>
      </c>
      <c r="K246" t="s">
        <v>38</v>
      </c>
      <c r="L246">
        <v>1</v>
      </c>
      <c r="M246">
        <v>1</v>
      </c>
      <c r="N246">
        <v>1</v>
      </c>
      <c r="O246" t="s">
        <v>39</v>
      </c>
      <c r="P246" t="s">
        <v>70</v>
      </c>
      <c r="S246" t="s">
        <v>48</v>
      </c>
      <c r="T246">
        <v>2</v>
      </c>
      <c r="V246">
        <v>1</v>
      </c>
      <c r="W246" t="s">
        <v>89</v>
      </c>
      <c r="X246" t="s">
        <v>50</v>
      </c>
      <c r="Y246" t="s">
        <v>127</v>
      </c>
      <c r="Z246" t="s">
        <v>129</v>
      </c>
      <c r="AA246" t="s">
        <v>43</v>
      </c>
      <c r="AB246">
        <v>1</v>
      </c>
      <c r="AD246">
        <v>1</v>
      </c>
      <c r="AE246" t="s">
        <v>73</v>
      </c>
      <c r="AI246">
        <v>9</v>
      </c>
      <c r="AJ246">
        <v>24</v>
      </c>
    </row>
    <row r="247" spans="1:36" x14ac:dyDescent="0.25">
      <c r="A247" s="36" t="s">
        <v>868</v>
      </c>
      <c r="B247">
        <v>245</v>
      </c>
      <c r="C247" t="s">
        <v>48</v>
      </c>
      <c r="D247">
        <v>3</v>
      </c>
      <c r="F247">
        <v>1</v>
      </c>
      <c r="G247" t="s">
        <v>89</v>
      </c>
      <c r="K247" t="s">
        <v>45</v>
      </c>
      <c r="L247">
        <v>3</v>
      </c>
      <c r="N247">
        <v>2</v>
      </c>
      <c r="O247" t="s">
        <v>140</v>
      </c>
      <c r="S247" t="s">
        <v>56</v>
      </c>
      <c r="T247">
        <v>3</v>
      </c>
      <c r="V247">
        <v>1</v>
      </c>
      <c r="W247" t="s">
        <v>68</v>
      </c>
      <c r="AA247" t="s">
        <v>38</v>
      </c>
      <c r="AB247">
        <v>2</v>
      </c>
      <c r="AC247">
        <v>1</v>
      </c>
      <c r="AD247">
        <v>2</v>
      </c>
      <c r="AE247" t="s">
        <v>39</v>
      </c>
      <c r="AI247">
        <v>9</v>
      </c>
      <c r="AJ247">
        <v>26</v>
      </c>
    </row>
    <row r="248" spans="1:36" x14ac:dyDescent="0.25">
      <c r="A248" t="s">
        <v>869</v>
      </c>
      <c r="B248">
        <v>246</v>
      </c>
      <c r="C248" t="s">
        <v>48</v>
      </c>
      <c r="D248">
        <v>3</v>
      </c>
      <c r="F248">
        <v>1</v>
      </c>
      <c r="G248" t="s">
        <v>49</v>
      </c>
      <c r="H248" t="s">
        <v>71</v>
      </c>
      <c r="I248" t="s">
        <v>90</v>
      </c>
      <c r="K248" t="s">
        <v>63</v>
      </c>
      <c r="L248">
        <v>1</v>
      </c>
      <c r="N248">
        <v>1</v>
      </c>
      <c r="O248" t="s">
        <v>103</v>
      </c>
      <c r="P248" t="s">
        <v>91</v>
      </c>
      <c r="Q248" t="s">
        <v>147</v>
      </c>
      <c r="S248" t="s">
        <v>56</v>
      </c>
      <c r="T248">
        <v>3</v>
      </c>
      <c r="V248">
        <v>1</v>
      </c>
      <c r="W248" t="s">
        <v>57</v>
      </c>
      <c r="X248" t="s">
        <v>121</v>
      </c>
      <c r="Y248" t="s">
        <v>123</v>
      </c>
      <c r="AA248" t="s">
        <v>38</v>
      </c>
      <c r="AB248">
        <v>2</v>
      </c>
      <c r="AC248">
        <v>1</v>
      </c>
      <c r="AD248">
        <v>2</v>
      </c>
      <c r="AE248" t="s">
        <v>152</v>
      </c>
      <c r="AI248">
        <v>12</v>
      </c>
      <c r="AJ248">
        <v>30</v>
      </c>
    </row>
    <row r="249" spans="1:36" x14ac:dyDescent="0.25">
      <c r="A249" t="s">
        <v>870</v>
      </c>
      <c r="B249">
        <v>247</v>
      </c>
      <c r="C249" t="s">
        <v>56</v>
      </c>
      <c r="D249">
        <v>2</v>
      </c>
      <c r="F249">
        <v>1</v>
      </c>
      <c r="G249" t="s">
        <v>57</v>
      </c>
      <c r="K249" t="s">
        <v>38</v>
      </c>
      <c r="L249">
        <v>2</v>
      </c>
      <c r="M249">
        <v>1</v>
      </c>
      <c r="N249">
        <v>2</v>
      </c>
      <c r="O249" t="s">
        <v>152</v>
      </c>
      <c r="P249" t="s">
        <v>70</v>
      </c>
      <c r="S249" t="s">
        <v>48</v>
      </c>
      <c r="T249">
        <v>3</v>
      </c>
      <c r="V249">
        <v>2</v>
      </c>
      <c r="W249" t="s">
        <v>49</v>
      </c>
      <c r="AA249" t="s">
        <v>227</v>
      </c>
      <c r="AB249">
        <v>1</v>
      </c>
      <c r="AC249">
        <v>1</v>
      </c>
      <c r="AD249">
        <v>1</v>
      </c>
      <c r="AE249" t="s">
        <v>228</v>
      </c>
      <c r="AI249">
        <v>7</v>
      </c>
      <c r="AJ249">
        <v>30</v>
      </c>
    </row>
    <row r="250" spans="1:36" x14ac:dyDescent="0.25">
      <c r="A250" t="s">
        <v>871</v>
      </c>
      <c r="B250">
        <v>248</v>
      </c>
      <c r="C250" t="s">
        <v>33</v>
      </c>
      <c r="D250">
        <v>2</v>
      </c>
      <c r="F250">
        <v>3</v>
      </c>
      <c r="G250" t="s">
        <v>65</v>
      </c>
      <c r="H250" t="s">
        <v>35</v>
      </c>
      <c r="K250" t="s">
        <v>43</v>
      </c>
      <c r="L250">
        <v>1</v>
      </c>
      <c r="N250">
        <v>1</v>
      </c>
      <c r="O250" t="s">
        <v>73</v>
      </c>
      <c r="P250" t="s">
        <v>136</v>
      </c>
      <c r="S250" t="s">
        <v>56</v>
      </c>
      <c r="T250">
        <v>2</v>
      </c>
      <c r="V250">
        <v>1</v>
      </c>
      <c r="W250" t="s">
        <v>68</v>
      </c>
      <c r="AA250" t="s">
        <v>38</v>
      </c>
      <c r="AB250">
        <v>1</v>
      </c>
      <c r="AC250">
        <v>1</v>
      </c>
      <c r="AD250">
        <v>3</v>
      </c>
      <c r="AE250" t="s">
        <v>39</v>
      </c>
      <c r="AF250" t="s">
        <v>40</v>
      </c>
      <c r="AG250" t="s">
        <v>41</v>
      </c>
      <c r="AI250">
        <v>10</v>
      </c>
      <c r="AJ250">
        <v>27</v>
      </c>
    </row>
    <row r="251" spans="1:36" x14ac:dyDescent="0.25">
      <c r="A251" t="s">
        <v>872</v>
      </c>
      <c r="B251">
        <v>249</v>
      </c>
      <c r="C251" t="s">
        <v>56</v>
      </c>
      <c r="D251">
        <v>1</v>
      </c>
      <c r="F251">
        <v>2</v>
      </c>
      <c r="G251" t="s">
        <v>68</v>
      </c>
      <c r="K251" t="s">
        <v>38</v>
      </c>
      <c r="L251">
        <v>2</v>
      </c>
      <c r="M251">
        <v>1</v>
      </c>
      <c r="N251">
        <v>2</v>
      </c>
      <c r="O251" t="s">
        <v>39</v>
      </c>
      <c r="P251" t="s">
        <v>70</v>
      </c>
      <c r="S251" t="s">
        <v>33</v>
      </c>
      <c r="T251">
        <v>1</v>
      </c>
      <c r="V251">
        <v>1</v>
      </c>
      <c r="W251" t="s">
        <v>46</v>
      </c>
      <c r="AA251" t="s">
        <v>45</v>
      </c>
      <c r="AB251">
        <v>2</v>
      </c>
      <c r="AD251">
        <v>1</v>
      </c>
      <c r="AE251" t="s">
        <v>140</v>
      </c>
      <c r="AI251">
        <v>5</v>
      </c>
      <c r="AJ251">
        <v>21</v>
      </c>
    </row>
    <row r="252" spans="1:36" x14ac:dyDescent="0.25">
      <c r="A252" t="s">
        <v>873</v>
      </c>
      <c r="B252">
        <v>250</v>
      </c>
      <c r="C252" t="s">
        <v>33</v>
      </c>
      <c r="D252">
        <v>1</v>
      </c>
      <c r="F252">
        <v>3</v>
      </c>
      <c r="G252" t="s">
        <v>65</v>
      </c>
      <c r="H252" t="s">
        <v>66</v>
      </c>
      <c r="K252" t="s">
        <v>63</v>
      </c>
      <c r="L252">
        <v>1</v>
      </c>
      <c r="N252">
        <v>1</v>
      </c>
      <c r="O252" t="s">
        <v>103</v>
      </c>
      <c r="P252" t="s">
        <v>91</v>
      </c>
      <c r="Q252" t="s">
        <v>104</v>
      </c>
      <c r="S252" t="s">
        <v>56</v>
      </c>
      <c r="T252">
        <v>3</v>
      </c>
      <c r="V252">
        <v>1</v>
      </c>
      <c r="W252" t="s">
        <v>57</v>
      </c>
      <c r="AA252" t="s">
        <v>38</v>
      </c>
      <c r="AB252">
        <v>3</v>
      </c>
      <c r="AC252">
        <v>1</v>
      </c>
      <c r="AD252">
        <v>2</v>
      </c>
      <c r="AE252" t="s">
        <v>67</v>
      </c>
      <c r="AF252" t="s">
        <v>96</v>
      </c>
      <c r="AG252" t="s">
        <v>154</v>
      </c>
      <c r="AH252" t="s">
        <v>42</v>
      </c>
      <c r="AI252">
        <v>13</v>
      </c>
      <c r="AJ252">
        <v>45</v>
      </c>
    </row>
    <row r="253" spans="1:36" x14ac:dyDescent="0.25">
      <c r="A253" t="s">
        <v>916</v>
      </c>
      <c r="B253">
        <v>251</v>
      </c>
      <c r="C253" t="s">
        <v>33</v>
      </c>
      <c r="D253">
        <v>2</v>
      </c>
      <c r="F253">
        <v>1</v>
      </c>
      <c r="G253" t="s">
        <v>65</v>
      </c>
      <c r="H253" t="s">
        <v>66</v>
      </c>
      <c r="K253" t="s">
        <v>227</v>
      </c>
      <c r="L253">
        <v>2</v>
      </c>
      <c r="M253">
        <v>1</v>
      </c>
      <c r="N253">
        <v>1</v>
      </c>
      <c r="O253" t="s">
        <v>229</v>
      </c>
      <c r="S253" t="s">
        <v>56</v>
      </c>
      <c r="T253">
        <v>3</v>
      </c>
      <c r="V253">
        <v>1</v>
      </c>
      <c r="W253" t="s">
        <v>68</v>
      </c>
      <c r="AA253" t="s">
        <v>38</v>
      </c>
      <c r="AB253">
        <v>1</v>
      </c>
      <c r="AC253">
        <v>1</v>
      </c>
      <c r="AD253">
        <v>2</v>
      </c>
      <c r="AE253" t="s">
        <v>39</v>
      </c>
      <c r="AF253" t="s">
        <v>70</v>
      </c>
      <c r="AI253">
        <v>7</v>
      </c>
      <c r="AJ253">
        <v>24</v>
      </c>
    </row>
    <row r="254" spans="1:36" x14ac:dyDescent="0.25">
      <c r="A254" t="s">
        <v>917</v>
      </c>
      <c r="B254">
        <v>252</v>
      </c>
      <c r="C254" t="s">
        <v>56</v>
      </c>
      <c r="D254">
        <v>1</v>
      </c>
      <c r="F254">
        <v>1</v>
      </c>
      <c r="G254" t="s">
        <v>68</v>
      </c>
      <c r="K254" t="s">
        <v>38</v>
      </c>
      <c r="L254">
        <v>2</v>
      </c>
      <c r="M254">
        <v>1</v>
      </c>
      <c r="N254">
        <v>3</v>
      </c>
      <c r="O254" t="s">
        <v>39</v>
      </c>
      <c r="P254" t="s">
        <v>70</v>
      </c>
      <c r="Q254" t="s">
        <v>41</v>
      </c>
      <c r="S254" t="s">
        <v>43</v>
      </c>
      <c r="T254">
        <v>1</v>
      </c>
      <c r="V254">
        <v>1</v>
      </c>
      <c r="W254" t="s">
        <v>73</v>
      </c>
      <c r="X254" t="s">
        <v>99</v>
      </c>
      <c r="Y254" t="s">
        <v>75</v>
      </c>
      <c r="Z254" t="s">
        <v>101</v>
      </c>
      <c r="AA254" t="s">
        <v>45</v>
      </c>
      <c r="AB254">
        <v>3</v>
      </c>
      <c r="AD254">
        <v>1</v>
      </c>
      <c r="AE254" t="s">
        <v>140</v>
      </c>
      <c r="AI254">
        <v>10</v>
      </c>
      <c r="AJ254">
        <v>26</v>
      </c>
    </row>
    <row r="255" spans="1:36" x14ac:dyDescent="0.25">
      <c r="A255" t="s">
        <v>874</v>
      </c>
      <c r="B255">
        <v>253</v>
      </c>
      <c r="C255" t="s">
        <v>43</v>
      </c>
      <c r="D255">
        <v>1</v>
      </c>
      <c r="F255">
        <v>2</v>
      </c>
      <c r="G255" t="s">
        <v>73</v>
      </c>
      <c r="H255" t="s">
        <v>99</v>
      </c>
      <c r="I255" t="s">
        <v>100</v>
      </c>
      <c r="K255" t="s">
        <v>63</v>
      </c>
      <c r="L255">
        <v>2</v>
      </c>
      <c r="N255">
        <v>1</v>
      </c>
      <c r="O255" t="s">
        <v>103</v>
      </c>
      <c r="P255" t="s">
        <v>95</v>
      </c>
      <c r="S255" t="s">
        <v>56</v>
      </c>
      <c r="T255">
        <v>3</v>
      </c>
      <c r="V255">
        <v>1</v>
      </c>
      <c r="W255" t="s">
        <v>68</v>
      </c>
      <c r="X255" t="s">
        <v>121</v>
      </c>
      <c r="Y255" t="s">
        <v>85</v>
      </c>
      <c r="AA255" t="s">
        <v>38</v>
      </c>
      <c r="AB255">
        <v>3</v>
      </c>
      <c r="AC255">
        <v>1</v>
      </c>
      <c r="AD255">
        <v>2</v>
      </c>
      <c r="AE255" t="s">
        <v>67</v>
      </c>
      <c r="AF255" t="s">
        <v>96</v>
      </c>
      <c r="AI255">
        <v>13</v>
      </c>
      <c r="AJ255">
        <v>36</v>
      </c>
    </row>
    <row r="256" spans="1:36" x14ac:dyDescent="0.25">
      <c r="A256" t="s">
        <v>875</v>
      </c>
      <c r="B256">
        <v>254</v>
      </c>
      <c r="C256" t="s">
        <v>43</v>
      </c>
      <c r="D256">
        <v>1</v>
      </c>
      <c r="F256">
        <v>1</v>
      </c>
      <c r="G256" t="s">
        <v>73</v>
      </c>
      <c r="H256" t="s">
        <v>74</v>
      </c>
      <c r="I256" t="s">
        <v>75</v>
      </c>
      <c r="J256" t="s">
        <v>101</v>
      </c>
      <c r="K256" t="s">
        <v>227</v>
      </c>
      <c r="L256">
        <v>1</v>
      </c>
      <c r="M256">
        <v>1</v>
      </c>
      <c r="N256">
        <v>2</v>
      </c>
      <c r="O256" t="s">
        <v>228</v>
      </c>
      <c r="P256" t="s">
        <v>231</v>
      </c>
      <c r="S256" t="s">
        <v>56</v>
      </c>
      <c r="T256">
        <v>1</v>
      </c>
      <c r="V256">
        <v>2</v>
      </c>
      <c r="W256" t="s">
        <v>68</v>
      </c>
      <c r="X256" t="s">
        <v>69</v>
      </c>
      <c r="AA256" t="s">
        <v>38</v>
      </c>
      <c r="AB256">
        <v>1</v>
      </c>
      <c r="AC256">
        <v>1</v>
      </c>
      <c r="AD256">
        <v>2</v>
      </c>
      <c r="AE256" t="s">
        <v>67</v>
      </c>
      <c r="AF256" t="s">
        <v>70</v>
      </c>
      <c r="AI256">
        <v>9</v>
      </c>
      <c r="AJ256">
        <v>28</v>
      </c>
    </row>
    <row r="257" spans="1:36" x14ac:dyDescent="0.25">
      <c r="A257" t="s">
        <v>918</v>
      </c>
      <c r="B257">
        <v>255</v>
      </c>
      <c r="C257" t="s">
        <v>56</v>
      </c>
      <c r="D257">
        <v>3</v>
      </c>
      <c r="F257">
        <v>2</v>
      </c>
      <c r="G257" t="s">
        <v>68</v>
      </c>
      <c r="H257" t="s">
        <v>121</v>
      </c>
      <c r="I257" t="s">
        <v>123</v>
      </c>
      <c r="K257" t="s">
        <v>38</v>
      </c>
      <c r="L257">
        <v>1</v>
      </c>
      <c r="M257">
        <v>1</v>
      </c>
      <c r="N257">
        <v>2</v>
      </c>
      <c r="O257" t="s">
        <v>67</v>
      </c>
      <c r="S257" t="s">
        <v>45</v>
      </c>
      <c r="T257">
        <v>2</v>
      </c>
      <c r="V257">
        <v>1</v>
      </c>
      <c r="W257" t="s">
        <v>140</v>
      </c>
      <c r="AA257" t="s">
        <v>63</v>
      </c>
      <c r="AB257">
        <v>3</v>
      </c>
      <c r="AD257">
        <v>1</v>
      </c>
      <c r="AE257" t="s">
        <v>103</v>
      </c>
      <c r="AF257" t="s">
        <v>91</v>
      </c>
      <c r="AG257" t="s">
        <v>147</v>
      </c>
      <c r="AI257">
        <v>11</v>
      </c>
      <c r="AJ257">
        <v>28</v>
      </c>
    </row>
    <row r="258" spans="1:36" x14ac:dyDescent="0.25">
      <c r="A258" t="s">
        <v>876</v>
      </c>
      <c r="B258">
        <v>256</v>
      </c>
      <c r="C258" t="s">
        <v>56</v>
      </c>
      <c r="D258">
        <v>2</v>
      </c>
      <c r="F258">
        <v>3</v>
      </c>
      <c r="G258" t="s">
        <v>57</v>
      </c>
      <c r="K258" t="s">
        <v>38</v>
      </c>
      <c r="L258">
        <v>1</v>
      </c>
      <c r="M258">
        <v>1</v>
      </c>
      <c r="N258">
        <v>1</v>
      </c>
      <c r="O258" t="s">
        <v>67</v>
      </c>
      <c r="P258" t="s">
        <v>70</v>
      </c>
      <c r="S258" t="s">
        <v>45</v>
      </c>
      <c r="T258">
        <v>3</v>
      </c>
      <c r="V258">
        <v>1</v>
      </c>
      <c r="W258" t="s">
        <v>140</v>
      </c>
      <c r="AA258" t="s">
        <v>227</v>
      </c>
      <c r="AB258">
        <v>1</v>
      </c>
      <c r="AC258">
        <v>1</v>
      </c>
      <c r="AD258">
        <v>1</v>
      </c>
      <c r="AE258" t="s">
        <v>228</v>
      </c>
      <c r="AF258" t="s">
        <v>233</v>
      </c>
      <c r="AG258" t="s">
        <v>235</v>
      </c>
      <c r="AI258">
        <v>8</v>
      </c>
      <c r="AJ258">
        <v>25</v>
      </c>
    </row>
    <row r="259" spans="1:36" x14ac:dyDescent="0.25">
      <c r="A259" t="s">
        <v>919</v>
      </c>
      <c r="B259">
        <v>257</v>
      </c>
      <c r="C259" t="s">
        <v>56</v>
      </c>
      <c r="D259">
        <v>2</v>
      </c>
      <c r="F259">
        <v>1</v>
      </c>
      <c r="G259" t="s">
        <v>57</v>
      </c>
      <c r="H259" t="s">
        <v>122</v>
      </c>
      <c r="I259" t="s">
        <v>85</v>
      </c>
      <c r="J259" t="s">
        <v>125</v>
      </c>
      <c r="K259" t="s">
        <v>38</v>
      </c>
      <c r="L259">
        <v>1</v>
      </c>
      <c r="M259">
        <v>1</v>
      </c>
      <c r="N259">
        <v>1</v>
      </c>
      <c r="O259" t="s">
        <v>152</v>
      </c>
      <c r="P259" t="s">
        <v>70</v>
      </c>
      <c r="S259" t="s">
        <v>63</v>
      </c>
      <c r="T259">
        <v>2</v>
      </c>
      <c r="V259">
        <v>1</v>
      </c>
      <c r="W259" t="s">
        <v>103</v>
      </c>
      <c r="X259" t="s">
        <v>91</v>
      </c>
      <c r="Y259" t="s">
        <v>147</v>
      </c>
      <c r="AA259" t="s">
        <v>227</v>
      </c>
      <c r="AB259">
        <v>1</v>
      </c>
      <c r="AC259">
        <v>1</v>
      </c>
      <c r="AD259">
        <v>1</v>
      </c>
      <c r="AE259" t="s">
        <v>228</v>
      </c>
      <c r="AI259">
        <v>8</v>
      </c>
      <c r="AJ259">
        <v>30</v>
      </c>
    </row>
    <row r="260" spans="1:36" x14ac:dyDescent="0.25">
      <c r="A260" t="s">
        <v>920</v>
      </c>
      <c r="B260">
        <v>258</v>
      </c>
      <c r="C260" t="s">
        <v>48</v>
      </c>
      <c r="D260">
        <v>2</v>
      </c>
      <c r="F260">
        <v>1</v>
      </c>
      <c r="G260" t="s">
        <v>89</v>
      </c>
      <c r="H260" t="s">
        <v>84</v>
      </c>
      <c r="I260" t="s">
        <v>51</v>
      </c>
      <c r="J260" t="s">
        <v>128</v>
      </c>
      <c r="K260" t="s">
        <v>33</v>
      </c>
      <c r="L260">
        <v>1</v>
      </c>
      <c r="N260">
        <v>2</v>
      </c>
      <c r="O260" t="s">
        <v>34</v>
      </c>
      <c r="P260" t="s">
        <v>66</v>
      </c>
      <c r="S260" t="s">
        <v>56</v>
      </c>
      <c r="T260">
        <v>2</v>
      </c>
      <c r="V260">
        <v>1</v>
      </c>
      <c r="W260" t="s">
        <v>57</v>
      </c>
      <c r="X260" t="s">
        <v>121</v>
      </c>
      <c r="AA260" t="s">
        <v>227</v>
      </c>
      <c r="AB260">
        <v>1</v>
      </c>
      <c r="AC260">
        <v>1</v>
      </c>
      <c r="AD260">
        <v>1</v>
      </c>
      <c r="AE260" t="s">
        <v>228</v>
      </c>
      <c r="AI260">
        <v>8</v>
      </c>
      <c r="AJ260">
        <v>28</v>
      </c>
    </row>
    <row r="261" spans="1:36" x14ac:dyDescent="0.25">
      <c r="A261" t="s">
        <v>877</v>
      </c>
      <c r="B261">
        <v>259</v>
      </c>
      <c r="C261" t="s">
        <v>48</v>
      </c>
      <c r="D261">
        <v>3</v>
      </c>
      <c r="F261">
        <v>1</v>
      </c>
      <c r="G261" t="s">
        <v>49</v>
      </c>
      <c r="H261" t="s">
        <v>71</v>
      </c>
      <c r="I261" t="s">
        <v>90</v>
      </c>
      <c r="J261" t="s">
        <v>128</v>
      </c>
      <c r="K261" t="s">
        <v>43</v>
      </c>
      <c r="L261">
        <v>2</v>
      </c>
      <c r="N261">
        <v>1</v>
      </c>
      <c r="O261" t="s">
        <v>73</v>
      </c>
      <c r="S261" t="s">
        <v>56</v>
      </c>
      <c r="T261">
        <v>3</v>
      </c>
      <c r="V261">
        <v>3</v>
      </c>
      <c r="W261" t="s">
        <v>120</v>
      </c>
      <c r="X261" t="s">
        <v>69</v>
      </c>
      <c r="AA261" t="s">
        <v>227</v>
      </c>
      <c r="AB261">
        <v>1</v>
      </c>
      <c r="AC261">
        <v>1</v>
      </c>
      <c r="AD261">
        <v>1</v>
      </c>
      <c r="AE261" t="s">
        <v>228</v>
      </c>
      <c r="AI261">
        <v>11</v>
      </c>
      <c r="AJ261">
        <v>28</v>
      </c>
    </row>
    <row r="262" spans="1:36" x14ac:dyDescent="0.25">
      <c r="A262" t="s">
        <v>878</v>
      </c>
      <c r="B262">
        <v>260</v>
      </c>
      <c r="C262" t="s">
        <v>56</v>
      </c>
      <c r="D262">
        <v>2</v>
      </c>
      <c r="F262">
        <v>1</v>
      </c>
      <c r="G262" t="s">
        <v>57</v>
      </c>
      <c r="K262" t="s">
        <v>227</v>
      </c>
      <c r="L262">
        <v>2</v>
      </c>
      <c r="M262">
        <v>1</v>
      </c>
      <c r="N262">
        <v>1</v>
      </c>
      <c r="O262" t="s">
        <v>228</v>
      </c>
      <c r="S262" t="s">
        <v>48</v>
      </c>
      <c r="T262">
        <v>2</v>
      </c>
      <c r="V262">
        <v>1</v>
      </c>
      <c r="W262" t="s">
        <v>89</v>
      </c>
      <c r="AA262" t="s">
        <v>45</v>
      </c>
      <c r="AB262">
        <v>2</v>
      </c>
      <c r="AD262">
        <v>1</v>
      </c>
      <c r="AE262" t="s">
        <v>86</v>
      </c>
      <c r="AI262">
        <v>4</v>
      </c>
      <c r="AJ262">
        <v>16</v>
      </c>
    </row>
    <row r="263" spans="1:36" x14ac:dyDescent="0.25">
      <c r="A263" t="s">
        <v>921</v>
      </c>
      <c r="B263">
        <v>261</v>
      </c>
      <c r="C263" t="s">
        <v>48</v>
      </c>
      <c r="D263">
        <v>3</v>
      </c>
      <c r="F263">
        <v>2</v>
      </c>
      <c r="G263" t="s">
        <v>89</v>
      </c>
      <c r="H263" t="s">
        <v>71</v>
      </c>
      <c r="I263" t="s">
        <v>90</v>
      </c>
      <c r="J263" t="s">
        <v>128</v>
      </c>
      <c r="K263" t="s">
        <v>63</v>
      </c>
      <c r="L263">
        <v>1</v>
      </c>
      <c r="N263">
        <v>1</v>
      </c>
      <c r="O263" t="s">
        <v>103</v>
      </c>
      <c r="S263" t="s">
        <v>56</v>
      </c>
      <c r="T263">
        <v>3</v>
      </c>
      <c r="V263">
        <v>1</v>
      </c>
      <c r="W263" t="s">
        <v>57</v>
      </c>
      <c r="X263" t="s">
        <v>122</v>
      </c>
      <c r="AA263" t="s">
        <v>227</v>
      </c>
      <c r="AB263">
        <v>3</v>
      </c>
      <c r="AC263">
        <v>1</v>
      </c>
      <c r="AD263">
        <v>1</v>
      </c>
      <c r="AE263" t="s">
        <v>228</v>
      </c>
      <c r="AF263" t="s">
        <v>231</v>
      </c>
      <c r="AG263" t="s">
        <v>234</v>
      </c>
      <c r="AI263">
        <v>13</v>
      </c>
      <c r="AJ263">
        <v>45</v>
      </c>
    </row>
    <row r="264" spans="1:36" x14ac:dyDescent="0.25">
      <c r="A264" t="s">
        <v>922</v>
      </c>
      <c r="B264">
        <v>262</v>
      </c>
      <c r="C264" t="s">
        <v>48</v>
      </c>
      <c r="D264">
        <v>2</v>
      </c>
      <c r="F264">
        <v>1</v>
      </c>
      <c r="G264" t="s">
        <v>89</v>
      </c>
      <c r="H264" t="s">
        <v>71</v>
      </c>
      <c r="I264" t="s">
        <v>90</v>
      </c>
      <c r="K264" t="s">
        <v>38</v>
      </c>
      <c r="L264">
        <v>1</v>
      </c>
      <c r="M264">
        <v>1</v>
      </c>
      <c r="N264">
        <v>1</v>
      </c>
      <c r="O264" t="s">
        <v>152</v>
      </c>
      <c r="P264" t="s">
        <v>70</v>
      </c>
      <c r="S264" t="s">
        <v>56</v>
      </c>
      <c r="T264">
        <v>1</v>
      </c>
      <c r="V264">
        <v>1</v>
      </c>
      <c r="W264" t="s">
        <v>57</v>
      </c>
      <c r="X264" t="s">
        <v>122</v>
      </c>
      <c r="Y264" t="s">
        <v>123</v>
      </c>
      <c r="AA264" t="s">
        <v>227</v>
      </c>
      <c r="AB264">
        <v>1</v>
      </c>
      <c r="AC264">
        <v>1</v>
      </c>
      <c r="AD264">
        <v>1</v>
      </c>
      <c r="AE264" t="s">
        <v>228</v>
      </c>
      <c r="AI264">
        <v>6</v>
      </c>
      <c r="AJ264">
        <v>31</v>
      </c>
    </row>
    <row r="265" spans="1:36" x14ac:dyDescent="0.25">
      <c r="A265" t="s">
        <v>879</v>
      </c>
      <c r="B265">
        <v>263</v>
      </c>
      <c r="C265" t="s">
        <v>33</v>
      </c>
      <c r="D265">
        <v>1</v>
      </c>
      <c r="F265">
        <v>3</v>
      </c>
      <c r="G265" t="s">
        <v>34</v>
      </c>
      <c r="K265" t="s">
        <v>43</v>
      </c>
      <c r="L265">
        <v>1</v>
      </c>
      <c r="N265">
        <v>1</v>
      </c>
      <c r="O265" t="s">
        <v>73</v>
      </c>
      <c r="P265" t="s">
        <v>99</v>
      </c>
      <c r="Q265" t="s">
        <v>137</v>
      </c>
      <c r="S265" t="s">
        <v>56</v>
      </c>
      <c r="T265">
        <v>2</v>
      </c>
      <c r="V265">
        <v>1</v>
      </c>
      <c r="W265" t="s">
        <v>68</v>
      </c>
      <c r="AA265" t="s">
        <v>227</v>
      </c>
      <c r="AB265">
        <v>1</v>
      </c>
      <c r="AC265">
        <v>1</v>
      </c>
      <c r="AD265">
        <v>2</v>
      </c>
      <c r="AE265" t="s">
        <v>228</v>
      </c>
      <c r="AI265">
        <v>6</v>
      </c>
      <c r="AJ265">
        <v>19</v>
      </c>
    </row>
    <row r="266" spans="1:36" x14ac:dyDescent="0.25">
      <c r="A266" t="s">
        <v>923</v>
      </c>
      <c r="B266">
        <v>264</v>
      </c>
      <c r="C266" t="s">
        <v>33</v>
      </c>
      <c r="D266">
        <v>1</v>
      </c>
      <c r="F266">
        <v>3</v>
      </c>
      <c r="G266" t="s">
        <v>46</v>
      </c>
      <c r="K266" t="s">
        <v>45</v>
      </c>
      <c r="L266">
        <v>2</v>
      </c>
      <c r="N266">
        <v>1</v>
      </c>
      <c r="O266" t="s">
        <v>140</v>
      </c>
      <c r="S266" t="s">
        <v>56</v>
      </c>
      <c r="T266">
        <v>1</v>
      </c>
      <c r="V266">
        <v>3</v>
      </c>
      <c r="W266" t="s">
        <v>68</v>
      </c>
      <c r="AA266" t="s">
        <v>227</v>
      </c>
      <c r="AB266">
        <v>1</v>
      </c>
      <c r="AC266">
        <v>1</v>
      </c>
      <c r="AD266">
        <v>2</v>
      </c>
      <c r="AE266" t="s">
        <v>228</v>
      </c>
      <c r="AI266">
        <v>6</v>
      </c>
      <c r="AJ266">
        <v>26</v>
      </c>
    </row>
    <row r="267" spans="1:36" x14ac:dyDescent="0.25">
      <c r="A267" t="s">
        <v>924</v>
      </c>
      <c r="B267">
        <v>265</v>
      </c>
      <c r="C267" t="s">
        <v>56</v>
      </c>
      <c r="D267">
        <v>3</v>
      </c>
      <c r="F267">
        <v>1</v>
      </c>
      <c r="G267" t="s">
        <v>68</v>
      </c>
      <c r="K267" t="s">
        <v>227</v>
      </c>
      <c r="L267">
        <v>2</v>
      </c>
      <c r="M267">
        <v>1</v>
      </c>
      <c r="N267">
        <v>3</v>
      </c>
      <c r="O267" t="s">
        <v>228</v>
      </c>
      <c r="S267" t="s">
        <v>33</v>
      </c>
      <c r="T267">
        <v>2</v>
      </c>
      <c r="V267">
        <v>2</v>
      </c>
      <c r="W267" t="s">
        <v>34</v>
      </c>
      <c r="AA267" t="s">
        <v>63</v>
      </c>
      <c r="AB267">
        <v>1</v>
      </c>
      <c r="AD267">
        <v>1</v>
      </c>
      <c r="AE267" t="s">
        <v>103</v>
      </c>
      <c r="AF267" t="s">
        <v>91</v>
      </c>
      <c r="AG267" t="s">
        <v>147</v>
      </c>
      <c r="AH267" t="s">
        <v>150</v>
      </c>
      <c r="AI267">
        <v>10</v>
      </c>
      <c r="AJ267">
        <v>34</v>
      </c>
    </row>
    <row r="268" spans="1:36" x14ac:dyDescent="0.25">
      <c r="A268" t="s">
        <v>880</v>
      </c>
      <c r="B268">
        <v>266</v>
      </c>
      <c r="C268" t="s">
        <v>33</v>
      </c>
      <c r="D268">
        <v>1</v>
      </c>
      <c r="F268">
        <v>3</v>
      </c>
      <c r="G268" t="s">
        <v>34</v>
      </c>
      <c r="K268" t="s">
        <v>38</v>
      </c>
      <c r="L268">
        <v>1</v>
      </c>
      <c r="M268">
        <v>1</v>
      </c>
      <c r="N268">
        <v>1</v>
      </c>
      <c r="O268" t="s">
        <v>152</v>
      </c>
      <c r="P268" t="s">
        <v>70</v>
      </c>
      <c r="S268" t="s">
        <v>56</v>
      </c>
      <c r="T268">
        <v>2</v>
      </c>
      <c r="V268">
        <v>2</v>
      </c>
      <c r="W268" t="s">
        <v>68</v>
      </c>
      <c r="X268" t="s">
        <v>121</v>
      </c>
      <c r="AA268" t="s">
        <v>227</v>
      </c>
      <c r="AB268">
        <v>2</v>
      </c>
      <c r="AC268">
        <v>1</v>
      </c>
      <c r="AD268">
        <v>1</v>
      </c>
      <c r="AE268" t="s">
        <v>228</v>
      </c>
      <c r="AI268">
        <v>7</v>
      </c>
      <c r="AJ268">
        <v>23</v>
      </c>
    </row>
    <row r="269" spans="1:36" x14ac:dyDescent="0.25">
      <c r="A269" t="s">
        <v>925</v>
      </c>
      <c r="B269">
        <v>267</v>
      </c>
      <c r="C269" t="s">
        <v>43</v>
      </c>
      <c r="D269">
        <v>2</v>
      </c>
      <c r="F269">
        <v>2</v>
      </c>
      <c r="G269" t="s">
        <v>73</v>
      </c>
      <c r="H269" t="s">
        <v>99</v>
      </c>
      <c r="I269" t="s">
        <v>100</v>
      </c>
      <c r="J269" t="s">
        <v>101</v>
      </c>
      <c r="K269" t="s">
        <v>45</v>
      </c>
      <c r="L269">
        <v>3</v>
      </c>
      <c r="N269">
        <v>1</v>
      </c>
      <c r="O269" t="s">
        <v>140</v>
      </c>
      <c r="S269" t="s">
        <v>56</v>
      </c>
      <c r="T269">
        <v>3</v>
      </c>
      <c r="V269">
        <v>3</v>
      </c>
      <c r="W269" t="s">
        <v>68</v>
      </c>
      <c r="X269" t="s">
        <v>121</v>
      </c>
      <c r="Y269" t="s">
        <v>87</v>
      </c>
      <c r="Z269" t="s">
        <v>124</v>
      </c>
      <c r="AA269" t="s">
        <v>227</v>
      </c>
      <c r="AB269">
        <v>1</v>
      </c>
      <c r="AC269">
        <v>1</v>
      </c>
      <c r="AD269">
        <v>2</v>
      </c>
      <c r="AE269" t="s">
        <v>228</v>
      </c>
      <c r="AI269">
        <v>15</v>
      </c>
      <c r="AJ269">
        <v>53</v>
      </c>
    </row>
    <row r="270" spans="1:36" x14ac:dyDescent="0.25">
      <c r="A270" t="s">
        <v>881</v>
      </c>
      <c r="B270">
        <v>268</v>
      </c>
      <c r="C270" t="s">
        <v>56</v>
      </c>
      <c r="D270">
        <v>3</v>
      </c>
      <c r="F270">
        <v>1</v>
      </c>
      <c r="G270" t="s">
        <v>68</v>
      </c>
      <c r="H270" t="s">
        <v>122</v>
      </c>
      <c r="I270" t="s">
        <v>85</v>
      </c>
      <c r="J270" t="s">
        <v>125</v>
      </c>
      <c r="K270" t="s">
        <v>227</v>
      </c>
      <c r="L270">
        <v>1</v>
      </c>
      <c r="M270">
        <v>1</v>
      </c>
      <c r="N270">
        <v>1</v>
      </c>
      <c r="O270" t="s">
        <v>228</v>
      </c>
      <c r="S270" t="s">
        <v>43</v>
      </c>
      <c r="T270">
        <v>1</v>
      </c>
      <c r="V270">
        <v>1</v>
      </c>
      <c r="W270" t="s">
        <v>73</v>
      </c>
      <c r="X270" t="s">
        <v>99</v>
      </c>
      <c r="Y270" t="s">
        <v>100</v>
      </c>
      <c r="AA270" t="s">
        <v>63</v>
      </c>
      <c r="AB270">
        <v>2</v>
      </c>
      <c r="AD270">
        <v>1</v>
      </c>
      <c r="AE270" t="s">
        <v>103</v>
      </c>
      <c r="AF270" t="s">
        <v>91</v>
      </c>
      <c r="AG270" t="s">
        <v>147</v>
      </c>
      <c r="AI270">
        <v>10</v>
      </c>
      <c r="AJ270">
        <v>25</v>
      </c>
    </row>
    <row r="271" spans="1:36" x14ac:dyDescent="0.25">
      <c r="A271" t="s">
        <v>926</v>
      </c>
      <c r="B271">
        <v>269</v>
      </c>
      <c r="C271" t="s">
        <v>43</v>
      </c>
      <c r="D271">
        <v>3</v>
      </c>
      <c r="F271">
        <v>2</v>
      </c>
      <c r="G271" t="s">
        <v>73</v>
      </c>
      <c r="H271" t="s">
        <v>74</v>
      </c>
      <c r="I271" t="s">
        <v>100</v>
      </c>
      <c r="J271" t="s">
        <v>139</v>
      </c>
      <c r="K271" t="s">
        <v>38</v>
      </c>
      <c r="L271">
        <v>1</v>
      </c>
      <c r="M271">
        <v>1</v>
      </c>
      <c r="N271">
        <v>1</v>
      </c>
      <c r="O271" t="s">
        <v>152</v>
      </c>
      <c r="P271" t="s">
        <v>70</v>
      </c>
      <c r="Q271" t="s">
        <v>153</v>
      </c>
      <c r="R271" t="s">
        <v>155</v>
      </c>
      <c r="S271" t="s">
        <v>56</v>
      </c>
      <c r="T271">
        <v>3</v>
      </c>
      <c r="V271">
        <v>2</v>
      </c>
      <c r="W271" t="s">
        <v>68</v>
      </c>
      <c r="AA271" t="s">
        <v>227</v>
      </c>
      <c r="AB271">
        <v>1</v>
      </c>
      <c r="AC271">
        <v>1</v>
      </c>
      <c r="AD271">
        <v>1</v>
      </c>
      <c r="AE271" t="s">
        <v>228</v>
      </c>
      <c r="AI271">
        <v>12</v>
      </c>
      <c r="AJ271">
        <v>36</v>
      </c>
    </row>
    <row r="272" spans="1:36" x14ac:dyDescent="0.25">
      <c r="A272" t="s">
        <v>927</v>
      </c>
      <c r="B272">
        <v>270</v>
      </c>
      <c r="C272" t="s">
        <v>45</v>
      </c>
      <c r="D272">
        <v>3</v>
      </c>
      <c r="F272">
        <v>1</v>
      </c>
      <c r="G272" t="s">
        <v>86</v>
      </c>
      <c r="K272" t="s">
        <v>63</v>
      </c>
      <c r="L272">
        <v>1</v>
      </c>
      <c r="N272">
        <v>1</v>
      </c>
      <c r="O272" t="s">
        <v>103</v>
      </c>
      <c r="P272" t="s">
        <v>95</v>
      </c>
      <c r="S272" t="s">
        <v>56</v>
      </c>
      <c r="T272">
        <v>3</v>
      </c>
      <c r="V272">
        <v>1</v>
      </c>
      <c r="W272" t="s">
        <v>57</v>
      </c>
      <c r="AA272" t="s">
        <v>227</v>
      </c>
      <c r="AB272">
        <v>1</v>
      </c>
      <c r="AC272">
        <v>1</v>
      </c>
      <c r="AD272">
        <v>2</v>
      </c>
      <c r="AE272" t="s">
        <v>228</v>
      </c>
      <c r="AF272" t="s">
        <v>231</v>
      </c>
      <c r="AG272" t="s">
        <v>235</v>
      </c>
      <c r="AI272">
        <v>8</v>
      </c>
      <c r="AJ272">
        <v>21</v>
      </c>
    </row>
    <row r="273" spans="1:36" x14ac:dyDescent="0.25">
      <c r="A273" t="s">
        <v>928</v>
      </c>
      <c r="B273">
        <v>271</v>
      </c>
      <c r="C273" t="s">
        <v>45</v>
      </c>
      <c r="D273">
        <v>3</v>
      </c>
      <c r="F273">
        <v>2</v>
      </c>
      <c r="G273" t="s">
        <v>140</v>
      </c>
      <c r="H273" t="s">
        <v>141</v>
      </c>
      <c r="K273" t="s">
        <v>38</v>
      </c>
      <c r="L273">
        <v>2</v>
      </c>
      <c r="M273">
        <v>1</v>
      </c>
      <c r="N273">
        <v>1</v>
      </c>
      <c r="O273" t="s">
        <v>152</v>
      </c>
      <c r="P273" t="s">
        <v>70</v>
      </c>
      <c r="S273" t="s">
        <v>56</v>
      </c>
      <c r="T273">
        <v>1</v>
      </c>
      <c r="V273">
        <v>2</v>
      </c>
      <c r="W273" t="s">
        <v>68</v>
      </c>
      <c r="AA273" t="s">
        <v>227</v>
      </c>
      <c r="AB273">
        <v>1</v>
      </c>
      <c r="AC273">
        <v>1</v>
      </c>
      <c r="AD273">
        <v>3</v>
      </c>
      <c r="AE273" t="s">
        <v>228</v>
      </c>
      <c r="AF273" t="s">
        <v>231</v>
      </c>
      <c r="AG273" t="s">
        <v>235</v>
      </c>
      <c r="AI273">
        <v>11</v>
      </c>
      <c r="AJ273">
        <v>29</v>
      </c>
    </row>
    <row r="274" spans="1:36" x14ac:dyDescent="0.25">
      <c r="A274" t="s">
        <v>882</v>
      </c>
      <c r="B274">
        <v>272</v>
      </c>
      <c r="C274" t="s">
        <v>56</v>
      </c>
      <c r="D274">
        <v>3</v>
      </c>
      <c r="F274">
        <v>1</v>
      </c>
      <c r="G274" t="s">
        <v>57</v>
      </c>
      <c r="H274" t="s">
        <v>122</v>
      </c>
      <c r="I274" t="s">
        <v>85</v>
      </c>
      <c r="K274" t="s">
        <v>227</v>
      </c>
      <c r="L274">
        <v>1</v>
      </c>
      <c r="M274">
        <v>1</v>
      </c>
      <c r="N274">
        <v>1</v>
      </c>
      <c r="O274" t="s">
        <v>228</v>
      </c>
      <c r="S274" t="s">
        <v>63</v>
      </c>
      <c r="T274">
        <v>2</v>
      </c>
      <c r="V274">
        <v>2</v>
      </c>
      <c r="W274" t="s">
        <v>103</v>
      </c>
      <c r="X274" t="s">
        <v>91</v>
      </c>
      <c r="Y274" t="s">
        <v>147</v>
      </c>
      <c r="AA274" t="s">
        <v>38</v>
      </c>
      <c r="AB274">
        <v>1</v>
      </c>
      <c r="AC274">
        <v>1</v>
      </c>
      <c r="AD274">
        <v>2</v>
      </c>
      <c r="AE274" t="s">
        <v>152</v>
      </c>
      <c r="AF274" t="s">
        <v>70</v>
      </c>
      <c r="AI274">
        <v>10</v>
      </c>
      <c r="AJ274">
        <v>30</v>
      </c>
    </row>
    <row r="275" spans="1:36" x14ac:dyDescent="0.25">
      <c r="A275" t="s">
        <v>929</v>
      </c>
      <c r="B275">
        <v>273</v>
      </c>
      <c r="C275" t="s">
        <v>48</v>
      </c>
      <c r="D275">
        <v>3</v>
      </c>
      <c r="F275">
        <v>3</v>
      </c>
      <c r="G275" t="s">
        <v>89</v>
      </c>
      <c r="H275" t="s">
        <v>84</v>
      </c>
      <c r="I275" t="s">
        <v>90</v>
      </c>
      <c r="J275" t="s">
        <v>128</v>
      </c>
      <c r="K275" t="s">
        <v>33</v>
      </c>
      <c r="L275">
        <v>1</v>
      </c>
      <c r="N275">
        <v>3</v>
      </c>
      <c r="O275" t="s">
        <v>34</v>
      </c>
      <c r="P275" t="s">
        <v>66</v>
      </c>
      <c r="S275" t="s">
        <v>43</v>
      </c>
      <c r="T275">
        <v>3</v>
      </c>
      <c r="V275">
        <v>1</v>
      </c>
      <c r="W275" t="s">
        <v>73</v>
      </c>
      <c r="X275" t="s">
        <v>99</v>
      </c>
      <c r="AA275" t="s">
        <v>45</v>
      </c>
      <c r="AB275">
        <v>3</v>
      </c>
      <c r="AD275">
        <v>1</v>
      </c>
      <c r="AE275" t="s">
        <v>140</v>
      </c>
      <c r="AF275" t="s">
        <v>76</v>
      </c>
      <c r="AI275">
        <v>17</v>
      </c>
      <c r="AJ275">
        <v>42</v>
      </c>
    </row>
    <row r="276" spans="1:36" x14ac:dyDescent="0.25">
      <c r="A276" t="s">
        <v>883</v>
      </c>
      <c r="B276">
        <v>274</v>
      </c>
      <c r="C276" t="s">
        <v>48</v>
      </c>
      <c r="D276">
        <v>3</v>
      </c>
      <c r="F276">
        <v>1</v>
      </c>
      <c r="G276" t="s">
        <v>89</v>
      </c>
      <c r="K276" t="s">
        <v>33</v>
      </c>
      <c r="L276">
        <v>1</v>
      </c>
      <c r="N276">
        <v>2</v>
      </c>
      <c r="O276" t="s">
        <v>34</v>
      </c>
      <c r="P276" t="s">
        <v>66</v>
      </c>
      <c r="S276" t="s">
        <v>43</v>
      </c>
      <c r="T276">
        <v>2</v>
      </c>
      <c r="V276">
        <v>1</v>
      </c>
      <c r="W276" t="s">
        <v>73</v>
      </c>
      <c r="X276" t="s">
        <v>136</v>
      </c>
      <c r="Y276" t="s">
        <v>137</v>
      </c>
      <c r="AA276" t="s">
        <v>63</v>
      </c>
      <c r="AB276">
        <v>1</v>
      </c>
      <c r="AD276">
        <v>1</v>
      </c>
      <c r="AE276" t="s">
        <v>72</v>
      </c>
      <c r="AF276" t="s">
        <v>95</v>
      </c>
      <c r="AI276">
        <v>8</v>
      </c>
      <c r="AJ276">
        <v>24</v>
      </c>
    </row>
    <row r="277" spans="1:36" x14ac:dyDescent="0.25">
      <c r="A277" t="s">
        <v>884</v>
      </c>
      <c r="B277">
        <v>275</v>
      </c>
      <c r="C277" t="s">
        <v>43</v>
      </c>
      <c r="D277">
        <v>3</v>
      </c>
      <c r="F277">
        <v>1</v>
      </c>
      <c r="G277" t="s">
        <v>135</v>
      </c>
      <c r="H277" t="s">
        <v>74</v>
      </c>
      <c r="K277" t="s">
        <v>38</v>
      </c>
      <c r="L277">
        <v>1</v>
      </c>
      <c r="M277">
        <v>1</v>
      </c>
      <c r="N277">
        <v>1</v>
      </c>
      <c r="O277" t="s">
        <v>67</v>
      </c>
      <c r="P277" t="s">
        <v>70</v>
      </c>
      <c r="Q277" t="s">
        <v>41</v>
      </c>
      <c r="S277" t="s">
        <v>48</v>
      </c>
      <c r="T277">
        <v>2</v>
      </c>
      <c r="V277">
        <v>1</v>
      </c>
      <c r="W277" t="s">
        <v>89</v>
      </c>
      <c r="AA277" t="s">
        <v>33</v>
      </c>
      <c r="AB277">
        <v>2</v>
      </c>
      <c r="AD277">
        <v>1</v>
      </c>
      <c r="AE277" t="s">
        <v>65</v>
      </c>
      <c r="AI277">
        <v>7</v>
      </c>
      <c r="AJ277">
        <v>21</v>
      </c>
    </row>
    <row r="278" spans="1:36" x14ac:dyDescent="0.25">
      <c r="A278" t="s">
        <v>885</v>
      </c>
      <c r="B278">
        <v>276</v>
      </c>
      <c r="C278" t="s">
        <v>43</v>
      </c>
      <c r="D278">
        <v>2</v>
      </c>
      <c r="F278">
        <v>1</v>
      </c>
      <c r="G278" t="s">
        <v>135</v>
      </c>
      <c r="H278" t="s">
        <v>74</v>
      </c>
      <c r="K278" t="s">
        <v>227</v>
      </c>
      <c r="L278">
        <v>2</v>
      </c>
      <c r="M278">
        <v>1</v>
      </c>
      <c r="N278">
        <v>1</v>
      </c>
      <c r="O278" t="s">
        <v>228</v>
      </c>
      <c r="S278" t="s">
        <v>48</v>
      </c>
      <c r="T278">
        <v>1</v>
      </c>
      <c r="V278">
        <v>1</v>
      </c>
      <c r="W278" t="s">
        <v>89</v>
      </c>
      <c r="AA278" t="s">
        <v>33</v>
      </c>
      <c r="AB278">
        <v>1</v>
      </c>
      <c r="AD278">
        <v>1</v>
      </c>
      <c r="AE278" t="s">
        <v>34</v>
      </c>
      <c r="AF278" t="s">
        <v>130</v>
      </c>
      <c r="AG278" t="s">
        <v>36</v>
      </c>
      <c r="AI278">
        <v>5</v>
      </c>
      <c r="AJ278">
        <v>15</v>
      </c>
    </row>
    <row r="279" spans="1:36" x14ac:dyDescent="0.25">
      <c r="A279" t="s">
        <v>930</v>
      </c>
      <c r="B279">
        <v>277</v>
      </c>
      <c r="C279" t="s">
        <v>48</v>
      </c>
      <c r="D279">
        <v>2</v>
      </c>
      <c r="F279">
        <v>1</v>
      </c>
      <c r="G279" t="s">
        <v>89</v>
      </c>
      <c r="H279" t="s">
        <v>50</v>
      </c>
      <c r="I279" t="s">
        <v>127</v>
      </c>
      <c r="J279" t="s">
        <v>129</v>
      </c>
      <c r="K279" t="s">
        <v>33</v>
      </c>
      <c r="L279">
        <v>1</v>
      </c>
      <c r="N279">
        <v>2</v>
      </c>
      <c r="O279" t="s">
        <v>34</v>
      </c>
      <c r="P279" t="s">
        <v>66</v>
      </c>
      <c r="S279" t="s">
        <v>45</v>
      </c>
      <c r="T279">
        <v>3</v>
      </c>
      <c r="V279">
        <v>1</v>
      </c>
      <c r="W279" t="s">
        <v>140</v>
      </c>
      <c r="AA279" t="s">
        <v>63</v>
      </c>
      <c r="AB279">
        <v>2</v>
      </c>
      <c r="AD279">
        <v>1</v>
      </c>
      <c r="AE279" t="s">
        <v>72</v>
      </c>
      <c r="AF279" t="s">
        <v>95</v>
      </c>
      <c r="AG279" t="s">
        <v>147</v>
      </c>
      <c r="AH279" t="s">
        <v>151</v>
      </c>
      <c r="AI279">
        <v>12</v>
      </c>
      <c r="AJ279">
        <v>31</v>
      </c>
    </row>
    <row r="280" spans="1:36" x14ac:dyDescent="0.25">
      <c r="A280" t="s">
        <v>886</v>
      </c>
      <c r="B280">
        <v>278</v>
      </c>
      <c r="C280" t="s">
        <v>45</v>
      </c>
      <c r="D280">
        <v>3</v>
      </c>
      <c r="F280">
        <v>1</v>
      </c>
      <c r="G280" t="s">
        <v>86</v>
      </c>
      <c r="K280" t="s">
        <v>38</v>
      </c>
      <c r="L280">
        <v>1</v>
      </c>
      <c r="M280">
        <v>1</v>
      </c>
      <c r="N280">
        <v>3</v>
      </c>
      <c r="O280" t="s">
        <v>39</v>
      </c>
      <c r="P280" t="s">
        <v>70</v>
      </c>
      <c r="Q280" t="s">
        <v>154</v>
      </c>
      <c r="S280" t="s">
        <v>48</v>
      </c>
      <c r="T280">
        <v>3</v>
      </c>
      <c r="V280">
        <v>1</v>
      </c>
      <c r="W280" t="s">
        <v>89</v>
      </c>
      <c r="AA280" t="s">
        <v>33</v>
      </c>
      <c r="AB280">
        <v>2</v>
      </c>
      <c r="AD280">
        <v>1</v>
      </c>
      <c r="AE280" t="s">
        <v>65</v>
      </c>
      <c r="AF280" t="s">
        <v>66</v>
      </c>
      <c r="AG280" t="s">
        <v>131</v>
      </c>
      <c r="AI280">
        <v>11</v>
      </c>
      <c r="AJ280">
        <v>37</v>
      </c>
    </row>
    <row r="281" spans="1:36" x14ac:dyDescent="0.25">
      <c r="A281" t="s">
        <v>887</v>
      </c>
      <c r="B281">
        <v>279</v>
      </c>
      <c r="C281" t="s">
        <v>48</v>
      </c>
      <c r="D281">
        <v>1</v>
      </c>
      <c r="F281">
        <v>1</v>
      </c>
      <c r="G281" t="s">
        <v>89</v>
      </c>
      <c r="H281" t="s">
        <v>84</v>
      </c>
      <c r="I281" t="s">
        <v>51</v>
      </c>
      <c r="K281" t="s">
        <v>33</v>
      </c>
      <c r="L281">
        <v>1</v>
      </c>
      <c r="N281">
        <v>2</v>
      </c>
      <c r="O281" t="s">
        <v>34</v>
      </c>
      <c r="S281" t="s">
        <v>45</v>
      </c>
      <c r="T281">
        <v>3</v>
      </c>
      <c r="V281">
        <v>1</v>
      </c>
      <c r="W281" t="s">
        <v>47</v>
      </c>
      <c r="AA281" t="s">
        <v>227</v>
      </c>
      <c r="AB281">
        <v>2</v>
      </c>
      <c r="AC281">
        <v>1</v>
      </c>
      <c r="AD281">
        <v>1</v>
      </c>
      <c r="AE281" t="s">
        <v>228</v>
      </c>
      <c r="AI281">
        <v>6</v>
      </c>
      <c r="AJ281">
        <v>24</v>
      </c>
    </row>
    <row r="282" spans="1:36" x14ac:dyDescent="0.25">
      <c r="A282" t="s">
        <v>888</v>
      </c>
      <c r="B282">
        <v>280</v>
      </c>
      <c r="C282" t="s">
        <v>63</v>
      </c>
      <c r="D282">
        <v>3</v>
      </c>
      <c r="F282">
        <v>2</v>
      </c>
      <c r="G282" t="s">
        <v>103</v>
      </c>
      <c r="H282" t="s">
        <v>95</v>
      </c>
      <c r="I282" t="s">
        <v>104</v>
      </c>
      <c r="J282" t="s">
        <v>151</v>
      </c>
      <c r="K282" t="s">
        <v>38</v>
      </c>
      <c r="L282">
        <v>1</v>
      </c>
      <c r="M282">
        <v>1</v>
      </c>
      <c r="N282">
        <v>2</v>
      </c>
      <c r="O282" t="s">
        <v>67</v>
      </c>
      <c r="P282" t="s">
        <v>70</v>
      </c>
      <c r="S282" t="s">
        <v>48</v>
      </c>
      <c r="T282">
        <v>2</v>
      </c>
      <c r="V282">
        <v>1</v>
      </c>
      <c r="W282" t="s">
        <v>49</v>
      </c>
      <c r="AA282" t="s">
        <v>33</v>
      </c>
      <c r="AB282">
        <v>2</v>
      </c>
      <c r="AD282">
        <v>2</v>
      </c>
      <c r="AE282" t="s">
        <v>65</v>
      </c>
      <c r="AF282" t="s">
        <v>35</v>
      </c>
      <c r="AG282" t="s">
        <v>131</v>
      </c>
      <c r="AI282">
        <v>13</v>
      </c>
      <c r="AJ282">
        <v>35</v>
      </c>
    </row>
    <row r="283" spans="1:36" x14ac:dyDescent="0.25">
      <c r="A283" s="36" t="s">
        <v>889</v>
      </c>
      <c r="B283">
        <v>281</v>
      </c>
      <c r="C283" t="s">
        <v>48</v>
      </c>
      <c r="D283">
        <v>1</v>
      </c>
      <c r="F283">
        <v>1</v>
      </c>
      <c r="G283" t="s">
        <v>49</v>
      </c>
      <c r="H283" t="s">
        <v>50</v>
      </c>
      <c r="I283" t="s">
        <v>127</v>
      </c>
      <c r="K283" t="s">
        <v>33</v>
      </c>
      <c r="L283">
        <v>1</v>
      </c>
      <c r="N283">
        <v>3</v>
      </c>
      <c r="O283" t="s">
        <v>34</v>
      </c>
      <c r="P283" t="s">
        <v>66</v>
      </c>
      <c r="S283" t="s">
        <v>63</v>
      </c>
      <c r="T283">
        <v>2</v>
      </c>
      <c r="V283">
        <v>1</v>
      </c>
      <c r="W283" t="s">
        <v>72</v>
      </c>
      <c r="X283" t="s">
        <v>95</v>
      </c>
      <c r="Y283" t="s">
        <v>104</v>
      </c>
      <c r="AA283" t="s">
        <v>227</v>
      </c>
      <c r="AB283">
        <v>1</v>
      </c>
      <c r="AC283">
        <v>1</v>
      </c>
      <c r="AD283">
        <v>1</v>
      </c>
      <c r="AE283" t="s">
        <v>229</v>
      </c>
      <c r="AI283">
        <v>8</v>
      </c>
      <c r="AJ283">
        <v>35</v>
      </c>
    </row>
    <row r="284" spans="1:36" x14ac:dyDescent="0.25">
      <c r="A284" t="s">
        <v>890</v>
      </c>
      <c r="B284">
        <v>282</v>
      </c>
      <c r="C284" t="s">
        <v>48</v>
      </c>
      <c r="D284">
        <v>1</v>
      </c>
      <c r="F284">
        <v>1</v>
      </c>
      <c r="G284" t="s">
        <v>89</v>
      </c>
      <c r="H284" t="s">
        <v>50</v>
      </c>
      <c r="I284" t="s">
        <v>51</v>
      </c>
      <c r="K284" t="s">
        <v>33</v>
      </c>
      <c r="L284">
        <v>1</v>
      </c>
      <c r="N284">
        <v>2</v>
      </c>
      <c r="O284" t="s">
        <v>46</v>
      </c>
      <c r="P284" t="s">
        <v>35</v>
      </c>
      <c r="S284" t="s">
        <v>38</v>
      </c>
      <c r="T284">
        <v>2</v>
      </c>
      <c r="U284">
        <v>2</v>
      </c>
      <c r="V284">
        <v>1</v>
      </c>
      <c r="W284" t="s">
        <v>152</v>
      </c>
      <c r="X284" t="s">
        <v>40</v>
      </c>
      <c r="AA284" t="s">
        <v>227</v>
      </c>
      <c r="AB284">
        <v>2</v>
      </c>
      <c r="AC284">
        <v>2</v>
      </c>
      <c r="AD284">
        <v>1</v>
      </c>
      <c r="AE284" t="s">
        <v>228</v>
      </c>
      <c r="AI284">
        <v>9</v>
      </c>
      <c r="AJ284">
        <v>32</v>
      </c>
    </row>
    <row r="285" spans="1:36" x14ac:dyDescent="0.25">
      <c r="A285" t="s">
        <v>931</v>
      </c>
      <c r="B285">
        <v>283</v>
      </c>
      <c r="C285" t="s">
        <v>33</v>
      </c>
      <c r="D285">
        <v>2</v>
      </c>
      <c r="F285">
        <v>2</v>
      </c>
      <c r="G285" t="s">
        <v>34</v>
      </c>
      <c r="K285" t="s">
        <v>45</v>
      </c>
      <c r="L285">
        <v>2</v>
      </c>
      <c r="N285">
        <v>1</v>
      </c>
      <c r="O285" t="s">
        <v>140</v>
      </c>
      <c r="S285" t="s">
        <v>48</v>
      </c>
      <c r="T285">
        <v>3</v>
      </c>
      <c r="V285">
        <v>1</v>
      </c>
      <c r="W285" t="s">
        <v>89</v>
      </c>
      <c r="X285" t="s">
        <v>84</v>
      </c>
      <c r="AA285" t="s">
        <v>43</v>
      </c>
      <c r="AB285">
        <v>1</v>
      </c>
      <c r="AD285">
        <v>1</v>
      </c>
      <c r="AE285" t="s">
        <v>73</v>
      </c>
      <c r="AF285" t="s">
        <v>136</v>
      </c>
      <c r="AI285">
        <v>7</v>
      </c>
      <c r="AJ285">
        <v>21</v>
      </c>
    </row>
    <row r="286" spans="1:36" x14ac:dyDescent="0.25">
      <c r="A286" t="s">
        <v>932</v>
      </c>
      <c r="B286">
        <v>284</v>
      </c>
      <c r="C286" t="s">
        <v>33</v>
      </c>
      <c r="D286">
        <v>2</v>
      </c>
      <c r="F286">
        <v>3</v>
      </c>
      <c r="G286" t="s">
        <v>34</v>
      </c>
      <c r="H286" t="s">
        <v>66</v>
      </c>
      <c r="I286" t="s">
        <v>36</v>
      </c>
      <c r="K286" t="s">
        <v>63</v>
      </c>
      <c r="L286">
        <v>1</v>
      </c>
      <c r="N286">
        <v>1</v>
      </c>
      <c r="O286" t="s">
        <v>145</v>
      </c>
      <c r="P286" t="s">
        <v>146</v>
      </c>
      <c r="S286" t="s">
        <v>48</v>
      </c>
      <c r="T286">
        <v>3</v>
      </c>
      <c r="V286">
        <v>1</v>
      </c>
      <c r="W286" t="s">
        <v>89</v>
      </c>
      <c r="X286" t="s">
        <v>50</v>
      </c>
      <c r="AA286" t="s">
        <v>43</v>
      </c>
      <c r="AB286">
        <v>1</v>
      </c>
      <c r="AD286">
        <v>1</v>
      </c>
      <c r="AE286" t="s">
        <v>73</v>
      </c>
      <c r="AI286">
        <v>9</v>
      </c>
      <c r="AJ286">
        <v>21</v>
      </c>
    </row>
    <row r="287" spans="1:36" x14ac:dyDescent="0.25">
      <c r="A287" t="s">
        <v>933</v>
      </c>
      <c r="B287">
        <v>285</v>
      </c>
      <c r="C287" t="s">
        <v>33</v>
      </c>
      <c r="D287">
        <v>3</v>
      </c>
      <c r="F287">
        <v>3</v>
      </c>
      <c r="G287" t="s">
        <v>65</v>
      </c>
      <c r="H287" t="s">
        <v>66</v>
      </c>
      <c r="I287" t="s">
        <v>36</v>
      </c>
      <c r="K287" t="s">
        <v>38</v>
      </c>
      <c r="L287">
        <v>1</v>
      </c>
      <c r="M287">
        <v>1</v>
      </c>
      <c r="N287">
        <v>1</v>
      </c>
      <c r="O287" t="s">
        <v>67</v>
      </c>
      <c r="P287" t="s">
        <v>70</v>
      </c>
      <c r="S287" t="s">
        <v>48</v>
      </c>
      <c r="T287">
        <v>3</v>
      </c>
      <c r="V287">
        <v>1</v>
      </c>
      <c r="W287" t="s">
        <v>49</v>
      </c>
      <c r="AA287" t="s">
        <v>43</v>
      </c>
      <c r="AB287">
        <v>1</v>
      </c>
      <c r="AD287">
        <v>2</v>
      </c>
      <c r="AE287" t="s">
        <v>73</v>
      </c>
      <c r="AF287" t="s">
        <v>136</v>
      </c>
      <c r="AG287" t="s">
        <v>100</v>
      </c>
      <c r="AI287">
        <v>12</v>
      </c>
      <c r="AJ287">
        <v>31</v>
      </c>
    </row>
    <row r="288" spans="1:36" x14ac:dyDescent="0.25">
      <c r="A288" t="s">
        <v>891</v>
      </c>
      <c r="B288">
        <v>286</v>
      </c>
      <c r="C288" t="s">
        <v>33</v>
      </c>
      <c r="D288">
        <v>3</v>
      </c>
      <c r="F288">
        <v>2</v>
      </c>
      <c r="G288" t="s">
        <v>46</v>
      </c>
      <c r="K288" t="s">
        <v>227</v>
      </c>
      <c r="L288">
        <v>3</v>
      </c>
      <c r="M288">
        <v>1</v>
      </c>
      <c r="N288">
        <v>1</v>
      </c>
      <c r="O288" t="s">
        <v>228</v>
      </c>
      <c r="P288" t="s">
        <v>231</v>
      </c>
      <c r="S288" t="s">
        <v>48</v>
      </c>
      <c r="T288">
        <v>3</v>
      </c>
      <c r="V288">
        <v>2</v>
      </c>
      <c r="W288" t="s">
        <v>89</v>
      </c>
      <c r="X288" t="s">
        <v>84</v>
      </c>
      <c r="AA288" t="s">
        <v>43</v>
      </c>
      <c r="AB288">
        <v>1</v>
      </c>
      <c r="AD288">
        <v>1</v>
      </c>
      <c r="AE288" t="s">
        <v>73</v>
      </c>
      <c r="AF288" t="s">
        <v>136</v>
      </c>
      <c r="AI288">
        <v>11</v>
      </c>
      <c r="AJ288">
        <v>33</v>
      </c>
    </row>
    <row r="289" spans="1:36" x14ac:dyDescent="0.25">
      <c r="A289" t="s">
        <v>892</v>
      </c>
      <c r="B289">
        <v>287</v>
      </c>
      <c r="C289" t="s">
        <v>45</v>
      </c>
      <c r="D289">
        <v>3</v>
      </c>
      <c r="F289">
        <v>1</v>
      </c>
      <c r="G289" t="s">
        <v>86</v>
      </c>
      <c r="K289" t="s">
        <v>63</v>
      </c>
      <c r="L289">
        <v>2</v>
      </c>
      <c r="N289">
        <v>1</v>
      </c>
      <c r="O289" t="s">
        <v>72</v>
      </c>
      <c r="P289" t="s">
        <v>95</v>
      </c>
      <c r="S289" t="s">
        <v>48</v>
      </c>
      <c r="T289">
        <v>1</v>
      </c>
      <c r="V289">
        <v>3</v>
      </c>
      <c r="W289" t="s">
        <v>49</v>
      </c>
      <c r="X289" t="s">
        <v>84</v>
      </c>
      <c r="Y289" t="s">
        <v>127</v>
      </c>
      <c r="Z289" t="s">
        <v>128</v>
      </c>
      <c r="AA289" t="s">
        <v>43</v>
      </c>
      <c r="AB289">
        <v>1</v>
      </c>
      <c r="AD289">
        <v>1</v>
      </c>
      <c r="AE289" t="s">
        <v>73</v>
      </c>
      <c r="AI289">
        <v>9</v>
      </c>
      <c r="AJ289">
        <v>21</v>
      </c>
    </row>
    <row r="290" spans="1:36" x14ac:dyDescent="0.25">
      <c r="A290" t="s">
        <v>893</v>
      </c>
      <c r="B290">
        <v>288</v>
      </c>
      <c r="C290" t="s">
        <v>48</v>
      </c>
      <c r="D290">
        <v>3</v>
      </c>
      <c r="F290">
        <v>1</v>
      </c>
      <c r="G290" t="s">
        <v>89</v>
      </c>
      <c r="H290" t="s">
        <v>84</v>
      </c>
      <c r="I290" t="s">
        <v>90</v>
      </c>
      <c r="J290" t="s">
        <v>129</v>
      </c>
      <c r="K290" t="s">
        <v>43</v>
      </c>
      <c r="L290">
        <v>1</v>
      </c>
      <c r="N290">
        <v>1</v>
      </c>
      <c r="O290" t="s">
        <v>73</v>
      </c>
      <c r="S290" t="s">
        <v>45</v>
      </c>
      <c r="T290">
        <v>3</v>
      </c>
      <c r="V290">
        <v>1</v>
      </c>
      <c r="W290" t="s">
        <v>140</v>
      </c>
      <c r="X290" t="s">
        <v>141</v>
      </c>
      <c r="AA290" t="s">
        <v>38</v>
      </c>
      <c r="AB290">
        <v>1</v>
      </c>
      <c r="AC290">
        <v>1</v>
      </c>
      <c r="AD290">
        <v>2</v>
      </c>
      <c r="AE290" t="s">
        <v>67</v>
      </c>
      <c r="AF290" t="s">
        <v>70</v>
      </c>
      <c r="AG290" t="s">
        <v>153</v>
      </c>
      <c r="AH290" t="s">
        <v>42</v>
      </c>
      <c r="AI290">
        <v>12</v>
      </c>
      <c r="AJ290">
        <v>54</v>
      </c>
    </row>
    <row r="291" spans="1:36" x14ac:dyDescent="0.25">
      <c r="A291" t="s">
        <v>894</v>
      </c>
      <c r="B291">
        <v>289</v>
      </c>
      <c r="C291" t="s">
        <v>45</v>
      </c>
      <c r="D291">
        <v>2</v>
      </c>
      <c r="F291">
        <v>1</v>
      </c>
      <c r="G291" t="s">
        <v>86</v>
      </c>
      <c r="K291" t="s">
        <v>227</v>
      </c>
      <c r="L291">
        <v>2</v>
      </c>
      <c r="M291">
        <v>1</v>
      </c>
      <c r="N291">
        <v>3</v>
      </c>
      <c r="O291" t="s">
        <v>229</v>
      </c>
      <c r="P291" t="s">
        <v>231</v>
      </c>
      <c r="Q291" t="s">
        <v>235</v>
      </c>
      <c r="S291" t="s">
        <v>48</v>
      </c>
      <c r="T291">
        <v>2</v>
      </c>
      <c r="V291">
        <v>2</v>
      </c>
      <c r="W291" t="s">
        <v>89</v>
      </c>
      <c r="X291" t="s">
        <v>50</v>
      </c>
      <c r="Y291" t="s">
        <v>51</v>
      </c>
      <c r="Z291" t="s">
        <v>128</v>
      </c>
      <c r="AA291" t="s">
        <v>43</v>
      </c>
      <c r="AB291">
        <v>2</v>
      </c>
      <c r="AD291">
        <v>1</v>
      </c>
      <c r="AE291" t="s">
        <v>73</v>
      </c>
      <c r="AI291">
        <v>12</v>
      </c>
      <c r="AJ291">
        <v>27</v>
      </c>
    </row>
    <row r="292" spans="1:36" x14ac:dyDescent="0.25">
      <c r="A292" t="s">
        <v>934</v>
      </c>
      <c r="B292">
        <v>290</v>
      </c>
      <c r="C292" t="s">
        <v>48</v>
      </c>
      <c r="D292">
        <v>3</v>
      </c>
      <c r="F292">
        <v>1</v>
      </c>
      <c r="G292" t="s">
        <v>49</v>
      </c>
      <c r="H292" t="s">
        <v>71</v>
      </c>
      <c r="I292" t="s">
        <v>51</v>
      </c>
      <c r="J292" t="s">
        <v>128</v>
      </c>
      <c r="K292" t="s">
        <v>43</v>
      </c>
      <c r="L292">
        <v>1</v>
      </c>
      <c r="N292">
        <v>1</v>
      </c>
      <c r="O292" t="s">
        <v>73</v>
      </c>
      <c r="P292" t="s">
        <v>74</v>
      </c>
      <c r="S292" t="s">
        <v>63</v>
      </c>
      <c r="T292">
        <v>1</v>
      </c>
      <c r="V292">
        <v>1</v>
      </c>
      <c r="W292" t="s">
        <v>72</v>
      </c>
      <c r="X292" t="s">
        <v>95</v>
      </c>
      <c r="Y292" t="s">
        <v>147</v>
      </c>
      <c r="AA292" t="s">
        <v>38</v>
      </c>
      <c r="AB292">
        <v>1</v>
      </c>
      <c r="AC292">
        <v>1</v>
      </c>
      <c r="AD292">
        <v>2</v>
      </c>
      <c r="AE292" t="s">
        <v>67</v>
      </c>
      <c r="AI292">
        <v>9</v>
      </c>
      <c r="AJ292">
        <v>25</v>
      </c>
    </row>
    <row r="293" spans="1:36" x14ac:dyDescent="0.25">
      <c r="A293" t="s">
        <v>895</v>
      </c>
      <c r="B293">
        <v>291</v>
      </c>
      <c r="C293" t="s">
        <v>48</v>
      </c>
      <c r="D293">
        <v>3</v>
      </c>
      <c r="F293">
        <v>3</v>
      </c>
      <c r="G293" t="s">
        <v>49</v>
      </c>
      <c r="H293" t="s">
        <v>71</v>
      </c>
      <c r="I293" t="s">
        <v>127</v>
      </c>
      <c r="K293" t="s">
        <v>43</v>
      </c>
      <c r="L293">
        <v>1</v>
      </c>
      <c r="N293">
        <v>1</v>
      </c>
      <c r="O293" t="s">
        <v>73</v>
      </c>
      <c r="P293" t="s">
        <v>99</v>
      </c>
      <c r="S293" t="s">
        <v>63</v>
      </c>
      <c r="T293">
        <v>3</v>
      </c>
      <c r="V293">
        <v>1</v>
      </c>
      <c r="W293" t="s">
        <v>72</v>
      </c>
      <c r="X293" t="s">
        <v>91</v>
      </c>
      <c r="Y293" t="s">
        <v>147</v>
      </c>
      <c r="AA293" t="s">
        <v>227</v>
      </c>
      <c r="AB293">
        <v>1</v>
      </c>
      <c r="AC293">
        <v>1</v>
      </c>
      <c r="AD293">
        <v>2</v>
      </c>
      <c r="AE293" t="s">
        <v>229</v>
      </c>
      <c r="AF293" t="s">
        <v>231</v>
      </c>
      <c r="AG293" t="s">
        <v>234</v>
      </c>
      <c r="AI293">
        <v>14</v>
      </c>
      <c r="AJ293">
        <v>41</v>
      </c>
    </row>
    <row r="294" spans="1:36" x14ac:dyDescent="0.25">
      <c r="A294" t="s">
        <v>896</v>
      </c>
      <c r="B294">
        <v>292</v>
      </c>
      <c r="C294" t="s">
        <v>48</v>
      </c>
      <c r="D294">
        <v>1</v>
      </c>
      <c r="F294">
        <v>1</v>
      </c>
      <c r="G294" t="s">
        <v>89</v>
      </c>
      <c r="H294" t="s">
        <v>84</v>
      </c>
      <c r="I294" t="s">
        <v>90</v>
      </c>
      <c r="K294" t="s">
        <v>43</v>
      </c>
      <c r="L294">
        <v>1</v>
      </c>
      <c r="N294">
        <v>1</v>
      </c>
      <c r="O294" t="s">
        <v>73</v>
      </c>
      <c r="P294" t="s">
        <v>99</v>
      </c>
      <c r="Q294" t="s">
        <v>137</v>
      </c>
      <c r="R294" t="s">
        <v>138</v>
      </c>
      <c r="S294" t="s">
        <v>38</v>
      </c>
      <c r="T294">
        <v>3</v>
      </c>
      <c r="U294">
        <v>1</v>
      </c>
      <c r="V294">
        <v>2</v>
      </c>
      <c r="W294" t="s">
        <v>67</v>
      </c>
      <c r="X294" t="s">
        <v>96</v>
      </c>
      <c r="AA294" t="s">
        <v>227</v>
      </c>
      <c r="AB294">
        <v>2</v>
      </c>
      <c r="AC294">
        <v>1</v>
      </c>
      <c r="AD294">
        <v>1</v>
      </c>
      <c r="AE294" t="s">
        <v>228</v>
      </c>
      <c r="AI294">
        <v>10</v>
      </c>
      <c r="AJ294">
        <v>40</v>
      </c>
    </row>
    <row r="295" spans="1:36" x14ac:dyDescent="0.25">
      <c r="A295" t="s">
        <v>935</v>
      </c>
      <c r="B295">
        <v>293</v>
      </c>
      <c r="C295" t="s">
        <v>48</v>
      </c>
      <c r="D295">
        <v>3</v>
      </c>
      <c r="F295">
        <v>1</v>
      </c>
      <c r="G295" t="s">
        <v>89</v>
      </c>
      <c r="H295" t="s">
        <v>71</v>
      </c>
      <c r="K295" t="s">
        <v>45</v>
      </c>
      <c r="L295">
        <v>2</v>
      </c>
      <c r="N295">
        <v>1</v>
      </c>
      <c r="O295" t="s">
        <v>140</v>
      </c>
      <c r="S295" t="s">
        <v>33</v>
      </c>
      <c r="T295">
        <v>2</v>
      </c>
      <c r="V295">
        <v>2</v>
      </c>
      <c r="W295" t="s">
        <v>65</v>
      </c>
      <c r="X295" t="s">
        <v>35</v>
      </c>
      <c r="AA295" t="s">
        <v>43</v>
      </c>
      <c r="AB295">
        <v>1</v>
      </c>
      <c r="AD295">
        <v>1</v>
      </c>
      <c r="AE295" t="s">
        <v>73</v>
      </c>
      <c r="AF295" t="s">
        <v>99</v>
      </c>
      <c r="AI295">
        <v>9</v>
      </c>
      <c r="AJ295">
        <v>25</v>
      </c>
    </row>
    <row r="296" spans="1:36" x14ac:dyDescent="0.25">
      <c r="A296" t="s">
        <v>897</v>
      </c>
      <c r="B296">
        <v>294</v>
      </c>
      <c r="C296" t="s">
        <v>48</v>
      </c>
      <c r="D296">
        <v>2</v>
      </c>
      <c r="F296">
        <v>1</v>
      </c>
      <c r="G296" t="s">
        <v>49</v>
      </c>
      <c r="K296" t="s">
        <v>45</v>
      </c>
      <c r="L296">
        <v>2</v>
      </c>
      <c r="N296">
        <v>1</v>
      </c>
      <c r="O296" t="s">
        <v>140</v>
      </c>
      <c r="S296" t="s">
        <v>33</v>
      </c>
      <c r="T296">
        <v>2</v>
      </c>
      <c r="V296">
        <v>2</v>
      </c>
      <c r="W296" t="s">
        <v>65</v>
      </c>
      <c r="AA296" t="s">
        <v>63</v>
      </c>
      <c r="AB296">
        <v>1</v>
      </c>
      <c r="AD296">
        <v>1</v>
      </c>
      <c r="AE296" t="s">
        <v>72</v>
      </c>
      <c r="AF296" t="s">
        <v>91</v>
      </c>
      <c r="AG296" t="s">
        <v>148</v>
      </c>
      <c r="AI296">
        <v>6</v>
      </c>
      <c r="AJ296">
        <v>26</v>
      </c>
    </row>
    <row r="297" spans="1:36" x14ac:dyDescent="0.25">
      <c r="A297" t="s">
        <v>936</v>
      </c>
      <c r="B297">
        <v>295</v>
      </c>
      <c r="C297" t="s">
        <v>48</v>
      </c>
      <c r="D297">
        <v>3</v>
      </c>
      <c r="F297">
        <v>1</v>
      </c>
      <c r="G297" t="s">
        <v>89</v>
      </c>
      <c r="K297" t="s">
        <v>45</v>
      </c>
      <c r="L297">
        <v>3</v>
      </c>
      <c r="N297">
        <v>1</v>
      </c>
      <c r="O297" t="s">
        <v>140</v>
      </c>
      <c r="S297" t="s">
        <v>33</v>
      </c>
      <c r="T297">
        <v>3</v>
      </c>
      <c r="V297">
        <v>3</v>
      </c>
      <c r="W297" t="s">
        <v>65</v>
      </c>
      <c r="AA297" t="s">
        <v>38</v>
      </c>
      <c r="AB297">
        <v>1</v>
      </c>
      <c r="AC297">
        <v>1</v>
      </c>
      <c r="AD297">
        <v>2</v>
      </c>
      <c r="AE297" t="s">
        <v>67</v>
      </c>
      <c r="AF297" t="s">
        <v>40</v>
      </c>
      <c r="AI297">
        <v>10</v>
      </c>
      <c r="AJ297">
        <v>31</v>
      </c>
    </row>
    <row r="298" spans="1:36" x14ac:dyDescent="0.25">
      <c r="A298" t="s">
        <v>898</v>
      </c>
      <c r="B298">
        <v>296</v>
      </c>
      <c r="C298" t="s">
        <v>48</v>
      </c>
      <c r="D298">
        <v>3</v>
      </c>
      <c r="F298">
        <v>1</v>
      </c>
      <c r="G298" t="s">
        <v>89</v>
      </c>
      <c r="H298" t="s">
        <v>84</v>
      </c>
      <c r="I298" t="s">
        <v>127</v>
      </c>
      <c r="K298" t="s">
        <v>45</v>
      </c>
      <c r="L298">
        <v>1</v>
      </c>
      <c r="N298">
        <v>1</v>
      </c>
      <c r="O298" t="s">
        <v>140</v>
      </c>
      <c r="P298" t="s">
        <v>141</v>
      </c>
      <c r="S298" t="s">
        <v>33</v>
      </c>
      <c r="T298">
        <v>1</v>
      </c>
      <c r="V298">
        <v>1</v>
      </c>
      <c r="W298" t="s">
        <v>65</v>
      </c>
      <c r="AA298" t="s">
        <v>227</v>
      </c>
      <c r="AB298">
        <v>3</v>
      </c>
      <c r="AC298">
        <v>1</v>
      </c>
      <c r="AD298">
        <v>1</v>
      </c>
      <c r="AE298" t="s">
        <v>228</v>
      </c>
      <c r="AF298" t="s">
        <v>231</v>
      </c>
      <c r="AI298">
        <v>8</v>
      </c>
      <c r="AJ298">
        <v>30</v>
      </c>
    </row>
    <row r="299" spans="1:36" x14ac:dyDescent="0.25">
      <c r="A299" t="s">
        <v>937</v>
      </c>
      <c r="B299">
        <v>297</v>
      </c>
      <c r="C299" t="s">
        <v>48</v>
      </c>
      <c r="D299">
        <v>2</v>
      </c>
      <c r="F299">
        <v>2</v>
      </c>
      <c r="G299" t="s">
        <v>89</v>
      </c>
      <c r="H299" t="s">
        <v>84</v>
      </c>
      <c r="I299" t="s">
        <v>90</v>
      </c>
      <c r="J299" t="s">
        <v>128</v>
      </c>
      <c r="K299" t="s">
        <v>45</v>
      </c>
      <c r="L299">
        <v>2</v>
      </c>
      <c r="N299">
        <v>1</v>
      </c>
      <c r="O299" t="s">
        <v>140</v>
      </c>
      <c r="S299" t="s">
        <v>43</v>
      </c>
      <c r="T299">
        <v>1</v>
      </c>
      <c r="V299">
        <v>1</v>
      </c>
      <c r="W299" t="s">
        <v>73</v>
      </c>
      <c r="AA299" t="s">
        <v>63</v>
      </c>
      <c r="AB299">
        <v>3</v>
      </c>
      <c r="AD299">
        <v>1</v>
      </c>
      <c r="AE299" t="s">
        <v>72</v>
      </c>
      <c r="AF299" t="s">
        <v>95</v>
      </c>
      <c r="AG299" t="s">
        <v>147</v>
      </c>
      <c r="AH299" t="s">
        <v>149</v>
      </c>
      <c r="AI299">
        <v>11</v>
      </c>
      <c r="AJ299">
        <v>26</v>
      </c>
    </row>
    <row r="300" spans="1:36" x14ac:dyDescent="0.25">
      <c r="A300" t="s">
        <v>899</v>
      </c>
      <c r="B300">
        <v>298</v>
      </c>
      <c r="C300" t="s">
        <v>48</v>
      </c>
      <c r="D300">
        <v>2</v>
      </c>
      <c r="F300">
        <v>1</v>
      </c>
      <c r="G300" t="s">
        <v>89</v>
      </c>
      <c r="H300" t="s">
        <v>84</v>
      </c>
      <c r="I300" t="s">
        <v>90</v>
      </c>
      <c r="J300" t="s">
        <v>129</v>
      </c>
      <c r="K300" t="s">
        <v>45</v>
      </c>
      <c r="L300">
        <v>3</v>
      </c>
      <c r="N300">
        <v>1</v>
      </c>
      <c r="O300" t="s">
        <v>140</v>
      </c>
      <c r="P300" t="s">
        <v>76</v>
      </c>
      <c r="S300" t="s">
        <v>43</v>
      </c>
      <c r="T300">
        <v>2</v>
      </c>
      <c r="V300">
        <v>1</v>
      </c>
      <c r="W300" t="s">
        <v>73</v>
      </c>
      <c r="X300" t="s">
        <v>99</v>
      </c>
      <c r="Y300" t="s">
        <v>75</v>
      </c>
      <c r="Z300" t="s">
        <v>101</v>
      </c>
      <c r="AA300" t="s">
        <v>38</v>
      </c>
      <c r="AB300">
        <v>1</v>
      </c>
      <c r="AC300">
        <v>1</v>
      </c>
      <c r="AD300">
        <v>2</v>
      </c>
      <c r="AE300" t="s">
        <v>67</v>
      </c>
      <c r="AF300" t="s">
        <v>70</v>
      </c>
      <c r="AI300">
        <v>13</v>
      </c>
      <c r="AJ300">
        <v>41</v>
      </c>
    </row>
    <row r="301" spans="1:36" x14ac:dyDescent="0.25">
      <c r="A301" t="s">
        <v>938</v>
      </c>
      <c r="B301">
        <v>299</v>
      </c>
      <c r="C301" t="s">
        <v>48</v>
      </c>
      <c r="D301">
        <v>1</v>
      </c>
      <c r="F301">
        <v>1</v>
      </c>
      <c r="G301" t="s">
        <v>89</v>
      </c>
      <c r="H301" t="s">
        <v>50</v>
      </c>
      <c r="K301" t="s">
        <v>45</v>
      </c>
      <c r="L301">
        <v>2</v>
      </c>
      <c r="N301">
        <v>1</v>
      </c>
      <c r="O301" t="s">
        <v>140</v>
      </c>
      <c r="S301" t="s">
        <v>43</v>
      </c>
      <c r="T301">
        <v>2</v>
      </c>
      <c r="V301">
        <v>2</v>
      </c>
      <c r="W301" t="s">
        <v>135</v>
      </c>
      <c r="X301" t="s">
        <v>136</v>
      </c>
      <c r="AA301" t="s">
        <v>227</v>
      </c>
      <c r="AB301">
        <v>1</v>
      </c>
      <c r="AC301">
        <v>1</v>
      </c>
      <c r="AD301">
        <v>2</v>
      </c>
      <c r="AE301" t="s">
        <v>228</v>
      </c>
      <c r="AI301">
        <v>7</v>
      </c>
      <c r="AJ301">
        <v>23</v>
      </c>
    </row>
    <row r="302" spans="1:36" x14ac:dyDescent="0.25">
      <c r="A302" t="s">
        <v>900</v>
      </c>
      <c r="B302">
        <v>300</v>
      </c>
      <c r="C302" t="s">
        <v>63</v>
      </c>
      <c r="D302">
        <v>1</v>
      </c>
      <c r="F302">
        <v>1</v>
      </c>
      <c r="G302" t="s">
        <v>72</v>
      </c>
      <c r="H302" t="s">
        <v>95</v>
      </c>
      <c r="I302" t="s">
        <v>147</v>
      </c>
      <c r="J302" t="s">
        <v>151</v>
      </c>
      <c r="K302" t="s">
        <v>38</v>
      </c>
      <c r="L302">
        <v>3</v>
      </c>
      <c r="M302">
        <v>1</v>
      </c>
      <c r="N302">
        <v>2</v>
      </c>
      <c r="O302" t="s">
        <v>67</v>
      </c>
      <c r="S302" t="s">
        <v>48</v>
      </c>
      <c r="T302">
        <v>2</v>
      </c>
      <c r="V302">
        <v>1</v>
      </c>
      <c r="W302" t="s">
        <v>49</v>
      </c>
      <c r="AA302" t="s">
        <v>45</v>
      </c>
      <c r="AB302">
        <v>3</v>
      </c>
      <c r="AD302">
        <v>1</v>
      </c>
      <c r="AE302" t="s">
        <v>47</v>
      </c>
      <c r="AI302">
        <v>9</v>
      </c>
      <c r="AJ302">
        <v>27</v>
      </c>
    </row>
    <row r="303" spans="1:36" x14ac:dyDescent="0.25">
      <c r="A303" t="s">
        <v>901</v>
      </c>
      <c r="B303">
        <v>301</v>
      </c>
      <c r="C303" t="s">
        <v>48</v>
      </c>
      <c r="D303">
        <v>2</v>
      </c>
      <c r="F303">
        <v>2</v>
      </c>
      <c r="G303" t="s">
        <v>49</v>
      </c>
      <c r="H303" t="s">
        <v>50</v>
      </c>
      <c r="I303" t="s">
        <v>127</v>
      </c>
      <c r="J303" t="s">
        <v>52</v>
      </c>
      <c r="K303" t="s">
        <v>45</v>
      </c>
      <c r="L303">
        <v>1</v>
      </c>
      <c r="N303">
        <v>1</v>
      </c>
      <c r="O303" t="s">
        <v>47</v>
      </c>
      <c r="P303" t="s">
        <v>141</v>
      </c>
      <c r="S303" t="s">
        <v>63</v>
      </c>
      <c r="T303">
        <v>1</v>
      </c>
      <c r="V303">
        <v>1</v>
      </c>
      <c r="W303" t="s">
        <v>72</v>
      </c>
      <c r="X303" t="s">
        <v>95</v>
      </c>
      <c r="AA303" t="s">
        <v>227</v>
      </c>
      <c r="AB303">
        <v>1</v>
      </c>
      <c r="AC303">
        <v>1</v>
      </c>
      <c r="AD303">
        <v>2</v>
      </c>
      <c r="AE303" t="s">
        <v>229</v>
      </c>
      <c r="AF303" t="s">
        <v>231</v>
      </c>
      <c r="AG303" t="s">
        <v>235</v>
      </c>
      <c r="AH303" t="s">
        <v>237</v>
      </c>
      <c r="AI303">
        <v>11</v>
      </c>
      <c r="AJ303">
        <v>38</v>
      </c>
    </row>
    <row r="304" spans="1:36" x14ac:dyDescent="0.25">
      <c r="A304" t="s">
        <v>902</v>
      </c>
      <c r="B304">
        <v>302</v>
      </c>
      <c r="C304" t="s">
        <v>38</v>
      </c>
      <c r="D304">
        <v>3</v>
      </c>
      <c r="E304">
        <v>1</v>
      </c>
      <c r="F304">
        <v>3</v>
      </c>
      <c r="G304" t="s">
        <v>67</v>
      </c>
      <c r="K304" t="s">
        <v>227</v>
      </c>
      <c r="L304">
        <v>2</v>
      </c>
      <c r="M304">
        <v>1</v>
      </c>
      <c r="N304">
        <v>1</v>
      </c>
      <c r="O304" t="s">
        <v>228</v>
      </c>
      <c r="P304" t="s">
        <v>231</v>
      </c>
      <c r="S304" t="s">
        <v>48</v>
      </c>
      <c r="T304">
        <v>3</v>
      </c>
      <c r="V304">
        <v>2</v>
      </c>
      <c r="W304" t="s">
        <v>89</v>
      </c>
      <c r="AA304" t="s">
        <v>45</v>
      </c>
      <c r="AB304">
        <v>1</v>
      </c>
      <c r="AD304">
        <v>1</v>
      </c>
      <c r="AE304" t="s">
        <v>47</v>
      </c>
      <c r="AF304" t="s">
        <v>92</v>
      </c>
      <c r="AI304">
        <v>10</v>
      </c>
      <c r="AJ304">
        <v>30</v>
      </c>
    </row>
    <row r="305" spans="1:36" x14ac:dyDescent="0.25">
      <c r="A305" t="s">
        <v>903</v>
      </c>
      <c r="B305">
        <v>303</v>
      </c>
      <c r="C305" t="s">
        <v>33</v>
      </c>
      <c r="D305">
        <v>2</v>
      </c>
      <c r="F305">
        <v>3</v>
      </c>
      <c r="G305" t="s">
        <v>46</v>
      </c>
      <c r="K305" t="s">
        <v>43</v>
      </c>
      <c r="L305">
        <v>2</v>
      </c>
      <c r="N305">
        <v>1</v>
      </c>
      <c r="O305" t="s">
        <v>73</v>
      </c>
      <c r="P305" t="s">
        <v>99</v>
      </c>
      <c r="S305" t="s">
        <v>48</v>
      </c>
      <c r="T305">
        <v>3</v>
      </c>
      <c r="V305">
        <v>2</v>
      </c>
      <c r="W305" t="s">
        <v>89</v>
      </c>
      <c r="AA305" t="s">
        <v>63</v>
      </c>
      <c r="AB305">
        <v>1</v>
      </c>
      <c r="AD305">
        <v>1</v>
      </c>
      <c r="AE305" t="s">
        <v>72</v>
      </c>
      <c r="AI305">
        <v>8</v>
      </c>
      <c r="AJ305">
        <v>26</v>
      </c>
    </row>
    <row r="306" spans="1:36" x14ac:dyDescent="0.25">
      <c r="A306" t="s">
        <v>939</v>
      </c>
      <c r="B306">
        <v>304</v>
      </c>
      <c r="C306" t="s">
        <v>33</v>
      </c>
      <c r="D306">
        <v>1</v>
      </c>
      <c r="F306">
        <v>2</v>
      </c>
      <c r="G306" t="s">
        <v>34</v>
      </c>
      <c r="H306" t="s">
        <v>130</v>
      </c>
      <c r="I306" t="s">
        <v>132</v>
      </c>
      <c r="K306" t="s">
        <v>45</v>
      </c>
      <c r="L306">
        <v>3</v>
      </c>
      <c r="N306">
        <v>1</v>
      </c>
      <c r="O306" t="s">
        <v>47</v>
      </c>
      <c r="S306" t="s">
        <v>48</v>
      </c>
      <c r="T306">
        <v>1</v>
      </c>
      <c r="V306">
        <v>1</v>
      </c>
      <c r="W306" t="s">
        <v>89</v>
      </c>
      <c r="X306" t="s">
        <v>84</v>
      </c>
      <c r="Y306" t="s">
        <v>90</v>
      </c>
      <c r="Z306" t="s">
        <v>129</v>
      </c>
      <c r="AA306" t="s">
        <v>63</v>
      </c>
      <c r="AB306">
        <v>2</v>
      </c>
      <c r="AD306">
        <v>1</v>
      </c>
      <c r="AE306" t="s">
        <v>72</v>
      </c>
      <c r="AF306" t="s">
        <v>91</v>
      </c>
      <c r="AG306" t="s">
        <v>147</v>
      </c>
      <c r="AI306">
        <v>11</v>
      </c>
      <c r="AJ306">
        <v>36</v>
      </c>
    </row>
    <row r="307" spans="1:36" x14ac:dyDescent="0.25">
      <c r="A307" t="s">
        <v>904</v>
      </c>
      <c r="B307">
        <v>305</v>
      </c>
      <c r="C307" t="s">
        <v>33</v>
      </c>
      <c r="D307">
        <v>3</v>
      </c>
      <c r="F307">
        <v>2</v>
      </c>
      <c r="G307" t="s">
        <v>65</v>
      </c>
      <c r="H307" t="s">
        <v>35</v>
      </c>
      <c r="I307" t="s">
        <v>131</v>
      </c>
      <c r="K307" t="s">
        <v>38</v>
      </c>
      <c r="L307">
        <v>1</v>
      </c>
      <c r="M307">
        <v>1</v>
      </c>
      <c r="N307">
        <v>1</v>
      </c>
      <c r="O307" t="s">
        <v>152</v>
      </c>
      <c r="P307" t="s">
        <v>70</v>
      </c>
      <c r="Q307" t="s">
        <v>41</v>
      </c>
      <c r="S307" t="s">
        <v>48</v>
      </c>
      <c r="T307">
        <v>3</v>
      </c>
      <c r="V307">
        <v>1</v>
      </c>
      <c r="W307" t="s">
        <v>89</v>
      </c>
      <c r="AA307" t="s">
        <v>63</v>
      </c>
      <c r="AB307">
        <v>3</v>
      </c>
      <c r="AD307">
        <v>1</v>
      </c>
      <c r="AE307" t="s">
        <v>72</v>
      </c>
      <c r="AF307" t="s">
        <v>146</v>
      </c>
      <c r="AI307">
        <v>12</v>
      </c>
      <c r="AJ307">
        <v>36</v>
      </c>
    </row>
    <row r="308" spans="1:36" x14ac:dyDescent="0.25">
      <c r="A308" t="s">
        <v>905</v>
      </c>
      <c r="B308">
        <v>306</v>
      </c>
      <c r="C308" t="s">
        <v>48</v>
      </c>
      <c r="D308">
        <v>3</v>
      </c>
      <c r="F308">
        <v>2</v>
      </c>
      <c r="G308" t="s">
        <v>89</v>
      </c>
      <c r="H308" t="s">
        <v>84</v>
      </c>
      <c r="I308" t="s">
        <v>90</v>
      </c>
      <c r="K308" t="s">
        <v>63</v>
      </c>
      <c r="L308">
        <v>1</v>
      </c>
      <c r="N308">
        <v>1</v>
      </c>
      <c r="O308" t="s">
        <v>72</v>
      </c>
      <c r="P308" t="s">
        <v>91</v>
      </c>
      <c r="S308" t="s">
        <v>33</v>
      </c>
      <c r="T308">
        <v>2</v>
      </c>
      <c r="V308">
        <v>2</v>
      </c>
      <c r="W308" t="s">
        <v>46</v>
      </c>
      <c r="X308" t="s">
        <v>35</v>
      </c>
      <c r="AA308" t="s">
        <v>227</v>
      </c>
      <c r="AB308">
        <v>3</v>
      </c>
      <c r="AC308">
        <v>1</v>
      </c>
      <c r="AD308">
        <v>2</v>
      </c>
      <c r="AE308" t="s">
        <v>228</v>
      </c>
      <c r="AF308" t="s">
        <v>231</v>
      </c>
      <c r="AG308" t="s">
        <v>234</v>
      </c>
      <c r="AI308">
        <v>14</v>
      </c>
      <c r="AJ308">
        <v>38</v>
      </c>
    </row>
    <row r="309" spans="1:36" x14ac:dyDescent="0.25">
      <c r="A309" t="s">
        <v>940</v>
      </c>
      <c r="B309">
        <v>307</v>
      </c>
      <c r="C309" t="s">
        <v>43</v>
      </c>
      <c r="D309">
        <v>2</v>
      </c>
      <c r="F309">
        <v>1</v>
      </c>
      <c r="G309" t="s">
        <v>73</v>
      </c>
      <c r="H309" t="s">
        <v>74</v>
      </c>
      <c r="I309" t="s">
        <v>75</v>
      </c>
      <c r="K309" t="s">
        <v>45</v>
      </c>
      <c r="L309">
        <v>3</v>
      </c>
      <c r="N309">
        <v>1</v>
      </c>
      <c r="O309" t="s">
        <v>86</v>
      </c>
      <c r="S309" t="s">
        <v>48</v>
      </c>
      <c r="T309">
        <v>1</v>
      </c>
      <c r="V309">
        <v>1</v>
      </c>
      <c r="W309" t="s">
        <v>89</v>
      </c>
      <c r="X309" t="s">
        <v>84</v>
      </c>
      <c r="Y309" t="s">
        <v>90</v>
      </c>
      <c r="Z309" t="s">
        <v>129</v>
      </c>
      <c r="AA309" t="s">
        <v>63</v>
      </c>
      <c r="AB309">
        <v>3</v>
      </c>
      <c r="AD309">
        <v>1</v>
      </c>
      <c r="AE309" t="s">
        <v>72</v>
      </c>
      <c r="AI309">
        <v>10</v>
      </c>
      <c r="AJ309">
        <v>24</v>
      </c>
    </row>
    <row r="310" spans="1:36" x14ac:dyDescent="0.25">
      <c r="A310" t="s">
        <v>906</v>
      </c>
      <c r="B310">
        <v>308</v>
      </c>
      <c r="C310" t="s">
        <v>43</v>
      </c>
      <c r="D310">
        <v>1</v>
      </c>
      <c r="F310">
        <v>3</v>
      </c>
      <c r="G310" t="s">
        <v>73</v>
      </c>
      <c r="H310" t="s">
        <v>74</v>
      </c>
      <c r="I310" t="s">
        <v>75</v>
      </c>
      <c r="J310" t="s">
        <v>138</v>
      </c>
      <c r="K310" t="s">
        <v>38</v>
      </c>
      <c r="L310">
        <v>1</v>
      </c>
      <c r="M310">
        <v>1</v>
      </c>
      <c r="N310">
        <v>1</v>
      </c>
      <c r="O310" t="s">
        <v>152</v>
      </c>
      <c r="P310" t="s">
        <v>70</v>
      </c>
      <c r="S310" t="s">
        <v>48</v>
      </c>
      <c r="T310">
        <v>1</v>
      </c>
      <c r="V310">
        <v>1</v>
      </c>
      <c r="W310" t="s">
        <v>89</v>
      </c>
      <c r="AA310" t="s">
        <v>63</v>
      </c>
      <c r="AB310">
        <v>3</v>
      </c>
      <c r="AD310">
        <v>1</v>
      </c>
      <c r="AE310" t="s">
        <v>72</v>
      </c>
      <c r="AI310">
        <v>8</v>
      </c>
      <c r="AJ310">
        <v>23</v>
      </c>
    </row>
    <row r="311" spans="1:36" x14ac:dyDescent="0.25">
      <c r="A311" t="s">
        <v>907</v>
      </c>
      <c r="B311">
        <v>309</v>
      </c>
      <c r="C311" t="s">
        <v>48</v>
      </c>
      <c r="D311">
        <v>2</v>
      </c>
      <c r="F311">
        <v>1</v>
      </c>
      <c r="G311" t="s">
        <v>89</v>
      </c>
      <c r="H311" t="s">
        <v>71</v>
      </c>
      <c r="K311" t="s">
        <v>63</v>
      </c>
      <c r="L311">
        <v>1</v>
      </c>
      <c r="N311">
        <v>1</v>
      </c>
      <c r="O311" t="s">
        <v>72</v>
      </c>
      <c r="P311" t="s">
        <v>95</v>
      </c>
      <c r="Q311" t="s">
        <v>148</v>
      </c>
      <c r="S311" t="s">
        <v>43</v>
      </c>
      <c r="T311">
        <v>1</v>
      </c>
      <c r="V311">
        <v>1</v>
      </c>
      <c r="W311" t="s">
        <v>73</v>
      </c>
      <c r="X311" t="s">
        <v>74</v>
      </c>
      <c r="Y311" t="s">
        <v>75</v>
      </c>
      <c r="Z311" t="s">
        <v>101</v>
      </c>
      <c r="AA311" t="s">
        <v>227</v>
      </c>
      <c r="AB311">
        <v>2</v>
      </c>
      <c r="AC311">
        <v>1</v>
      </c>
      <c r="AD311">
        <v>1</v>
      </c>
      <c r="AE311" t="s">
        <v>229</v>
      </c>
      <c r="AF311" t="s">
        <v>232</v>
      </c>
      <c r="AG311" t="s">
        <v>236</v>
      </c>
      <c r="AI311">
        <v>10</v>
      </c>
      <c r="AJ311">
        <v>38</v>
      </c>
    </row>
    <row r="312" spans="1:36" x14ac:dyDescent="0.25">
      <c r="A312" t="s">
        <v>941</v>
      </c>
      <c r="B312">
        <v>310</v>
      </c>
      <c r="C312" t="s">
        <v>45</v>
      </c>
      <c r="D312">
        <v>3</v>
      </c>
      <c r="F312">
        <v>2</v>
      </c>
      <c r="G312" t="s">
        <v>47</v>
      </c>
      <c r="K312" t="s">
        <v>38</v>
      </c>
      <c r="L312">
        <v>3</v>
      </c>
      <c r="M312">
        <v>3</v>
      </c>
      <c r="N312">
        <v>3</v>
      </c>
      <c r="O312" t="s">
        <v>152</v>
      </c>
      <c r="P312" t="s">
        <v>96</v>
      </c>
      <c r="Q312" t="s">
        <v>41</v>
      </c>
      <c r="R312" t="s">
        <v>42</v>
      </c>
      <c r="S312" t="s">
        <v>48</v>
      </c>
      <c r="T312">
        <v>1</v>
      </c>
      <c r="V312">
        <v>1</v>
      </c>
      <c r="W312" t="s">
        <v>89</v>
      </c>
      <c r="AA312" t="s">
        <v>63</v>
      </c>
      <c r="AB312">
        <v>3</v>
      </c>
      <c r="AD312">
        <v>3</v>
      </c>
      <c r="AE312" t="s">
        <v>72</v>
      </c>
      <c r="AF312" t="s">
        <v>146</v>
      </c>
      <c r="AG312" t="s">
        <v>104</v>
      </c>
      <c r="AH312" t="s">
        <v>151</v>
      </c>
      <c r="AI312">
        <v>19</v>
      </c>
      <c r="AJ312">
        <v>56</v>
      </c>
    </row>
    <row r="313" spans="1:36" x14ac:dyDescent="0.25">
      <c r="A313" t="s">
        <v>942</v>
      </c>
      <c r="B313">
        <v>311</v>
      </c>
      <c r="C313" t="s">
        <v>48</v>
      </c>
      <c r="D313">
        <v>3</v>
      </c>
      <c r="F313">
        <v>3</v>
      </c>
      <c r="G313" t="s">
        <v>89</v>
      </c>
      <c r="H313" t="s">
        <v>71</v>
      </c>
      <c r="I313" t="s">
        <v>90</v>
      </c>
      <c r="J313" t="s">
        <v>129</v>
      </c>
      <c r="K313" t="s">
        <v>63</v>
      </c>
      <c r="L313">
        <v>1</v>
      </c>
      <c r="N313">
        <v>1</v>
      </c>
      <c r="O313" t="s">
        <v>72</v>
      </c>
      <c r="S313" t="s">
        <v>45</v>
      </c>
      <c r="T313">
        <v>3</v>
      </c>
      <c r="V313">
        <v>3</v>
      </c>
      <c r="W313" t="s">
        <v>86</v>
      </c>
      <c r="X313" t="s">
        <v>76</v>
      </c>
      <c r="Y313" t="s">
        <v>142</v>
      </c>
      <c r="Z313" t="s">
        <v>144</v>
      </c>
      <c r="AA313" t="s">
        <v>227</v>
      </c>
      <c r="AB313">
        <v>1</v>
      </c>
      <c r="AC313">
        <v>1</v>
      </c>
      <c r="AD313">
        <v>1</v>
      </c>
      <c r="AE313" t="s">
        <v>228</v>
      </c>
      <c r="AI313">
        <v>14</v>
      </c>
      <c r="AJ313">
        <v>49</v>
      </c>
    </row>
    <row r="314" spans="1:36" x14ac:dyDescent="0.25">
      <c r="A314" t="s">
        <v>943</v>
      </c>
      <c r="B314">
        <v>312</v>
      </c>
      <c r="C314" t="s">
        <v>38</v>
      </c>
      <c r="D314">
        <v>2</v>
      </c>
      <c r="E314">
        <v>1</v>
      </c>
      <c r="F314">
        <v>2</v>
      </c>
      <c r="G314" t="s">
        <v>152</v>
      </c>
      <c r="H314" t="s">
        <v>40</v>
      </c>
      <c r="I314" t="s">
        <v>154</v>
      </c>
      <c r="J314" t="s">
        <v>42</v>
      </c>
      <c r="K314" t="s">
        <v>227</v>
      </c>
      <c r="L314">
        <v>2</v>
      </c>
      <c r="M314">
        <v>1</v>
      </c>
      <c r="N314">
        <v>1</v>
      </c>
      <c r="O314" t="s">
        <v>228</v>
      </c>
      <c r="P314" t="s">
        <v>231</v>
      </c>
      <c r="S314" t="s">
        <v>48</v>
      </c>
      <c r="T314">
        <v>3</v>
      </c>
      <c r="V314">
        <v>1</v>
      </c>
      <c r="W314" t="s">
        <v>89</v>
      </c>
      <c r="AA314" t="s">
        <v>63</v>
      </c>
      <c r="AB314">
        <v>1</v>
      </c>
      <c r="AD314">
        <v>1</v>
      </c>
      <c r="AE314" t="s">
        <v>103</v>
      </c>
      <c r="AF314" t="s">
        <v>91</v>
      </c>
      <c r="AI314">
        <v>10</v>
      </c>
      <c r="AJ314">
        <v>26</v>
      </c>
    </row>
    <row r="315" spans="1:36" x14ac:dyDescent="0.25">
      <c r="A315" t="s">
        <v>908</v>
      </c>
      <c r="B315">
        <v>313</v>
      </c>
      <c r="C315" t="s">
        <v>33</v>
      </c>
      <c r="D315">
        <v>3</v>
      </c>
      <c r="F315">
        <v>2</v>
      </c>
      <c r="G315" t="s">
        <v>65</v>
      </c>
      <c r="H315" t="s">
        <v>66</v>
      </c>
      <c r="I315" t="s">
        <v>36</v>
      </c>
      <c r="J315" t="s">
        <v>133</v>
      </c>
      <c r="K315" t="s">
        <v>43</v>
      </c>
      <c r="L315">
        <v>1</v>
      </c>
      <c r="N315">
        <v>1</v>
      </c>
      <c r="O315" t="s">
        <v>73</v>
      </c>
      <c r="P315" t="s">
        <v>99</v>
      </c>
      <c r="S315" t="s">
        <v>48</v>
      </c>
      <c r="T315">
        <v>3</v>
      </c>
      <c r="V315">
        <v>3</v>
      </c>
      <c r="W315" t="s">
        <v>89</v>
      </c>
      <c r="AA315" t="s">
        <v>38</v>
      </c>
      <c r="AB315">
        <v>1</v>
      </c>
      <c r="AC315">
        <v>1</v>
      </c>
      <c r="AD315">
        <v>1</v>
      </c>
      <c r="AE315" t="s">
        <v>67</v>
      </c>
      <c r="AF315" t="s">
        <v>70</v>
      </c>
      <c r="AG315" t="s">
        <v>153</v>
      </c>
      <c r="AH315" t="s">
        <v>42</v>
      </c>
      <c r="AI315">
        <v>14</v>
      </c>
      <c r="AJ315">
        <v>38</v>
      </c>
    </row>
    <row r="316" spans="1:36" x14ac:dyDescent="0.25">
      <c r="A316" t="s">
        <v>909</v>
      </c>
      <c r="B316">
        <v>314</v>
      </c>
      <c r="C316" t="s">
        <v>48</v>
      </c>
      <c r="D316">
        <v>3</v>
      </c>
      <c r="F316">
        <v>1</v>
      </c>
      <c r="G316" t="s">
        <v>89</v>
      </c>
      <c r="H316" t="s">
        <v>71</v>
      </c>
      <c r="K316" t="s">
        <v>38</v>
      </c>
      <c r="L316">
        <v>1</v>
      </c>
      <c r="M316">
        <v>2</v>
      </c>
      <c r="N316">
        <v>2</v>
      </c>
      <c r="O316" t="s">
        <v>67</v>
      </c>
      <c r="P316" t="s">
        <v>70</v>
      </c>
      <c r="S316" t="s">
        <v>33</v>
      </c>
      <c r="T316">
        <v>1</v>
      </c>
      <c r="V316">
        <v>3</v>
      </c>
      <c r="W316" t="s">
        <v>65</v>
      </c>
      <c r="AA316" t="s">
        <v>45</v>
      </c>
      <c r="AB316">
        <v>2</v>
      </c>
      <c r="AD316">
        <v>1</v>
      </c>
      <c r="AE316" t="s">
        <v>140</v>
      </c>
      <c r="AI316">
        <v>9</v>
      </c>
      <c r="AJ316">
        <v>24</v>
      </c>
    </row>
    <row r="317" spans="1:36" x14ac:dyDescent="0.25">
      <c r="A317" t="s">
        <v>910</v>
      </c>
      <c r="B317">
        <v>315</v>
      </c>
      <c r="C317" t="s">
        <v>48</v>
      </c>
      <c r="D317">
        <v>3</v>
      </c>
      <c r="F317">
        <v>3</v>
      </c>
      <c r="G317" t="s">
        <v>49</v>
      </c>
      <c r="H317" t="s">
        <v>71</v>
      </c>
      <c r="K317" t="s">
        <v>38</v>
      </c>
      <c r="L317">
        <v>1</v>
      </c>
      <c r="M317">
        <v>1</v>
      </c>
      <c r="N317">
        <v>2</v>
      </c>
      <c r="O317" t="s">
        <v>67</v>
      </c>
      <c r="P317" t="s">
        <v>70</v>
      </c>
      <c r="S317" t="s">
        <v>33</v>
      </c>
      <c r="T317">
        <v>3</v>
      </c>
      <c r="V317">
        <v>3</v>
      </c>
      <c r="W317" t="s">
        <v>65</v>
      </c>
      <c r="AA317" t="s">
        <v>63</v>
      </c>
      <c r="AB317">
        <v>1</v>
      </c>
      <c r="AD317">
        <v>1</v>
      </c>
      <c r="AE317" t="s">
        <v>103</v>
      </c>
      <c r="AI317">
        <v>11</v>
      </c>
      <c r="AJ317">
        <v>38</v>
      </c>
    </row>
    <row r="318" spans="1:36" x14ac:dyDescent="0.25">
      <c r="A318" t="s">
        <v>911</v>
      </c>
      <c r="B318">
        <v>316</v>
      </c>
      <c r="C318" t="s">
        <v>48</v>
      </c>
      <c r="D318">
        <v>3</v>
      </c>
      <c r="F318">
        <v>3</v>
      </c>
      <c r="G318" t="s">
        <v>89</v>
      </c>
      <c r="H318" t="s">
        <v>71</v>
      </c>
      <c r="I318" t="s">
        <v>90</v>
      </c>
      <c r="J318" t="s">
        <v>129</v>
      </c>
      <c r="K318" t="s">
        <v>38</v>
      </c>
      <c r="L318">
        <v>1</v>
      </c>
      <c r="M318">
        <v>1</v>
      </c>
      <c r="N318">
        <v>1</v>
      </c>
      <c r="O318" t="s">
        <v>152</v>
      </c>
      <c r="P318" t="s">
        <v>70</v>
      </c>
      <c r="S318" t="s">
        <v>33</v>
      </c>
      <c r="T318">
        <v>2</v>
      </c>
      <c r="V318">
        <v>2</v>
      </c>
      <c r="W318" t="s">
        <v>65</v>
      </c>
      <c r="X318" t="s">
        <v>130</v>
      </c>
      <c r="Y318" t="s">
        <v>36</v>
      </c>
      <c r="AA318" t="s">
        <v>227</v>
      </c>
      <c r="AB318">
        <v>1</v>
      </c>
      <c r="AC318">
        <v>1</v>
      </c>
      <c r="AD318">
        <v>1</v>
      </c>
      <c r="AE318" t="s">
        <v>228</v>
      </c>
      <c r="AI318">
        <v>12</v>
      </c>
      <c r="AJ318">
        <v>44</v>
      </c>
    </row>
    <row r="319" spans="1:36" x14ac:dyDescent="0.25">
      <c r="A319" t="s">
        <v>912</v>
      </c>
      <c r="B319">
        <v>317</v>
      </c>
      <c r="C319" t="s">
        <v>48</v>
      </c>
      <c r="D319">
        <v>3</v>
      </c>
      <c r="F319">
        <v>3</v>
      </c>
      <c r="G319" t="s">
        <v>89</v>
      </c>
      <c r="H319" t="s">
        <v>50</v>
      </c>
      <c r="I319" t="s">
        <v>90</v>
      </c>
      <c r="J319" t="s">
        <v>129</v>
      </c>
      <c r="K319" t="s">
        <v>38</v>
      </c>
      <c r="L319">
        <v>1</v>
      </c>
      <c r="M319">
        <v>1</v>
      </c>
      <c r="N319">
        <v>2</v>
      </c>
      <c r="O319" t="s">
        <v>67</v>
      </c>
      <c r="S319" t="s">
        <v>43</v>
      </c>
      <c r="T319">
        <v>3</v>
      </c>
      <c r="V319">
        <v>3</v>
      </c>
      <c r="W319" t="s">
        <v>73</v>
      </c>
      <c r="X319" t="s">
        <v>99</v>
      </c>
      <c r="Y319" t="s">
        <v>75</v>
      </c>
      <c r="Z319" t="s">
        <v>101</v>
      </c>
      <c r="AA319" t="s">
        <v>45</v>
      </c>
      <c r="AB319">
        <v>2</v>
      </c>
      <c r="AD319">
        <v>1</v>
      </c>
      <c r="AE319" t="s">
        <v>140</v>
      </c>
      <c r="AI319">
        <v>16</v>
      </c>
      <c r="AJ319">
        <v>70</v>
      </c>
    </row>
    <row r="320" spans="1:36" x14ac:dyDescent="0.25">
      <c r="A320" t="s">
        <v>944</v>
      </c>
      <c r="B320">
        <v>318</v>
      </c>
      <c r="C320" t="s">
        <v>48</v>
      </c>
      <c r="D320">
        <v>3</v>
      </c>
      <c r="F320">
        <v>1</v>
      </c>
      <c r="G320" t="s">
        <v>89</v>
      </c>
      <c r="H320" t="s">
        <v>71</v>
      </c>
      <c r="I320" t="s">
        <v>127</v>
      </c>
      <c r="K320" t="s">
        <v>38</v>
      </c>
      <c r="L320">
        <v>2</v>
      </c>
      <c r="M320">
        <v>2</v>
      </c>
      <c r="N320">
        <v>1</v>
      </c>
      <c r="O320" t="s">
        <v>67</v>
      </c>
      <c r="P320" t="s">
        <v>70</v>
      </c>
      <c r="Q320" t="s">
        <v>41</v>
      </c>
      <c r="R320" t="s">
        <v>42</v>
      </c>
      <c r="S320" t="s">
        <v>43</v>
      </c>
      <c r="T320">
        <v>1</v>
      </c>
      <c r="V320">
        <v>1</v>
      </c>
      <c r="W320" t="s">
        <v>73</v>
      </c>
      <c r="X320" t="s">
        <v>74</v>
      </c>
      <c r="AA320" t="s">
        <v>63</v>
      </c>
      <c r="AB320">
        <v>2</v>
      </c>
      <c r="AD320">
        <v>1</v>
      </c>
      <c r="AE320" t="s">
        <v>103</v>
      </c>
      <c r="AF320" t="s">
        <v>91</v>
      </c>
      <c r="AG320" t="s">
        <v>147</v>
      </c>
      <c r="AI320">
        <v>13</v>
      </c>
      <c r="AJ320">
        <v>30</v>
      </c>
    </row>
    <row r="321" spans="1:36" x14ac:dyDescent="0.25">
      <c r="A321" t="s">
        <v>945</v>
      </c>
      <c r="B321">
        <v>319</v>
      </c>
      <c r="C321" t="s">
        <v>48</v>
      </c>
      <c r="D321">
        <v>3</v>
      </c>
      <c r="F321">
        <v>3</v>
      </c>
      <c r="G321" t="s">
        <v>89</v>
      </c>
      <c r="H321" t="s">
        <v>84</v>
      </c>
      <c r="I321" t="s">
        <v>90</v>
      </c>
      <c r="J321" t="s">
        <v>128</v>
      </c>
      <c r="K321" t="s">
        <v>38</v>
      </c>
      <c r="L321">
        <v>1</v>
      </c>
      <c r="M321">
        <v>1</v>
      </c>
      <c r="N321">
        <v>1</v>
      </c>
      <c r="O321" t="s">
        <v>67</v>
      </c>
      <c r="S321" t="s">
        <v>43</v>
      </c>
      <c r="T321">
        <v>3</v>
      </c>
      <c r="V321">
        <v>1</v>
      </c>
      <c r="W321" t="s">
        <v>73</v>
      </c>
      <c r="X321" t="s">
        <v>99</v>
      </c>
      <c r="Y321" t="s">
        <v>137</v>
      </c>
      <c r="Z321" t="s">
        <v>101</v>
      </c>
      <c r="AA321" t="s">
        <v>227</v>
      </c>
      <c r="AB321">
        <v>1</v>
      </c>
      <c r="AC321">
        <v>1</v>
      </c>
      <c r="AD321">
        <v>2</v>
      </c>
      <c r="AE321" t="s">
        <v>228</v>
      </c>
      <c r="AF321" t="s">
        <v>231</v>
      </c>
      <c r="AI321">
        <v>14</v>
      </c>
      <c r="AJ321">
        <v>39</v>
      </c>
    </row>
    <row r="322" spans="1:36" x14ac:dyDescent="0.25">
      <c r="A322" t="s">
        <v>946</v>
      </c>
      <c r="B322">
        <v>320</v>
      </c>
      <c r="C322" t="s">
        <v>48</v>
      </c>
      <c r="D322">
        <v>3</v>
      </c>
      <c r="F322">
        <v>2</v>
      </c>
      <c r="G322" t="s">
        <v>49</v>
      </c>
      <c r="H322" t="s">
        <v>71</v>
      </c>
      <c r="I322" t="s">
        <v>127</v>
      </c>
      <c r="K322" t="s">
        <v>38</v>
      </c>
      <c r="L322">
        <v>1</v>
      </c>
      <c r="M322">
        <v>2</v>
      </c>
      <c r="N322">
        <v>2</v>
      </c>
      <c r="O322" t="s">
        <v>152</v>
      </c>
      <c r="S322" t="s">
        <v>45</v>
      </c>
      <c r="T322">
        <v>3</v>
      </c>
      <c r="V322">
        <v>1</v>
      </c>
      <c r="W322" t="s">
        <v>86</v>
      </c>
      <c r="AA322" t="s">
        <v>63</v>
      </c>
      <c r="AB322">
        <v>2</v>
      </c>
      <c r="AD322">
        <v>1</v>
      </c>
      <c r="AE322" t="s">
        <v>103</v>
      </c>
      <c r="AF322" t="s">
        <v>91</v>
      </c>
      <c r="AG322" t="s">
        <v>147</v>
      </c>
      <c r="AI322">
        <v>12</v>
      </c>
      <c r="AJ322">
        <v>31</v>
      </c>
    </row>
    <row r="323" spans="1:36" x14ac:dyDescent="0.25">
      <c r="A323" t="s">
        <v>947</v>
      </c>
      <c r="B323">
        <v>321</v>
      </c>
      <c r="C323" t="s">
        <v>48</v>
      </c>
      <c r="D323">
        <v>3</v>
      </c>
      <c r="F323">
        <v>2</v>
      </c>
      <c r="G323" t="s">
        <v>89</v>
      </c>
      <c r="H323" t="s">
        <v>84</v>
      </c>
      <c r="I323" t="s">
        <v>90</v>
      </c>
      <c r="J323" t="s">
        <v>128</v>
      </c>
      <c r="K323" t="s">
        <v>38</v>
      </c>
      <c r="L323">
        <v>1</v>
      </c>
      <c r="M323">
        <v>1</v>
      </c>
      <c r="N323">
        <v>1</v>
      </c>
      <c r="O323" t="s">
        <v>152</v>
      </c>
      <c r="P323" t="s">
        <v>70</v>
      </c>
      <c r="S323" t="s">
        <v>45</v>
      </c>
      <c r="T323">
        <v>3</v>
      </c>
      <c r="V323">
        <v>1</v>
      </c>
      <c r="W323" t="s">
        <v>140</v>
      </c>
      <c r="X323" t="s">
        <v>92</v>
      </c>
      <c r="Y323" t="s">
        <v>102</v>
      </c>
      <c r="Z323" t="s">
        <v>94</v>
      </c>
      <c r="AA323" t="s">
        <v>227</v>
      </c>
      <c r="AB323">
        <v>2</v>
      </c>
      <c r="AC323">
        <v>1</v>
      </c>
      <c r="AD323">
        <v>1</v>
      </c>
      <c r="AE323" t="s">
        <v>228</v>
      </c>
      <c r="AI323">
        <v>13</v>
      </c>
      <c r="AJ323">
        <v>42</v>
      </c>
    </row>
    <row r="324" spans="1:36" x14ac:dyDescent="0.25">
      <c r="A324" t="s">
        <v>948</v>
      </c>
      <c r="B324">
        <v>322</v>
      </c>
      <c r="C324" t="s">
        <v>48</v>
      </c>
      <c r="D324">
        <v>3</v>
      </c>
      <c r="F324">
        <v>1</v>
      </c>
      <c r="G324" t="s">
        <v>89</v>
      </c>
      <c r="H324" t="s">
        <v>71</v>
      </c>
      <c r="K324" t="s">
        <v>38</v>
      </c>
      <c r="L324">
        <v>3</v>
      </c>
      <c r="M324">
        <v>1</v>
      </c>
      <c r="N324">
        <v>1</v>
      </c>
      <c r="O324" t="s">
        <v>152</v>
      </c>
      <c r="P324" t="s">
        <v>70</v>
      </c>
      <c r="Q324" t="s">
        <v>153</v>
      </c>
      <c r="R324" t="s">
        <v>155</v>
      </c>
      <c r="S324" t="s">
        <v>63</v>
      </c>
      <c r="T324">
        <v>3</v>
      </c>
      <c r="V324">
        <v>1</v>
      </c>
      <c r="W324" t="s">
        <v>72</v>
      </c>
      <c r="X324" t="s">
        <v>91</v>
      </c>
      <c r="AA324" t="s">
        <v>227</v>
      </c>
      <c r="AB324">
        <v>1</v>
      </c>
      <c r="AC324">
        <v>1</v>
      </c>
      <c r="AD324">
        <v>1</v>
      </c>
      <c r="AE324" t="s">
        <v>228</v>
      </c>
      <c r="AI324">
        <v>11</v>
      </c>
      <c r="AJ324">
        <v>42</v>
      </c>
    </row>
    <row r="325" spans="1:36" x14ac:dyDescent="0.25">
      <c r="A325" t="s">
        <v>913</v>
      </c>
      <c r="B325">
        <v>323</v>
      </c>
      <c r="C325" t="s">
        <v>48</v>
      </c>
      <c r="D325">
        <v>3</v>
      </c>
      <c r="F325">
        <v>2</v>
      </c>
      <c r="G325" t="s">
        <v>89</v>
      </c>
      <c r="H325" t="s">
        <v>71</v>
      </c>
      <c r="I325" t="s">
        <v>51</v>
      </c>
      <c r="K325" t="s">
        <v>227</v>
      </c>
      <c r="L325">
        <v>1</v>
      </c>
      <c r="M325">
        <v>1</v>
      </c>
      <c r="N325">
        <v>1</v>
      </c>
      <c r="O325" t="s">
        <v>228</v>
      </c>
      <c r="S325" t="s">
        <v>33</v>
      </c>
      <c r="T325">
        <v>2</v>
      </c>
      <c r="V325">
        <v>2</v>
      </c>
      <c r="W325" t="s">
        <v>65</v>
      </c>
      <c r="X325" t="s">
        <v>35</v>
      </c>
      <c r="AA325" t="s">
        <v>43</v>
      </c>
      <c r="AB325">
        <v>1</v>
      </c>
      <c r="AD325">
        <v>1</v>
      </c>
      <c r="AE325" t="s">
        <v>73</v>
      </c>
      <c r="AF325" t="s">
        <v>136</v>
      </c>
      <c r="AG325" t="s">
        <v>100</v>
      </c>
      <c r="AI325">
        <v>10</v>
      </c>
      <c r="AJ325">
        <v>35</v>
      </c>
    </row>
    <row r="326" spans="1:36" x14ac:dyDescent="0.25">
      <c r="A326" t="s">
        <v>914</v>
      </c>
      <c r="B326">
        <v>324</v>
      </c>
      <c r="C326" t="s">
        <v>33</v>
      </c>
      <c r="D326">
        <v>2</v>
      </c>
      <c r="F326">
        <v>1</v>
      </c>
      <c r="G326" t="s">
        <v>65</v>
      </c>
      <c r="H326" t="s">
        <v>66</v>
      </c>
      <c r="K326" t="s">
        <v>45</v>
      </c>
      <c r="L326">
        <v>3</v>
      </c>
      <c r="N326">
        <v>2</v>
      </c>
      <c r="O326" t="s">
        <v>47</v>
      </c>
      <c r="S326" t="s">
        <v>48</v>
      </c>
      <c r="T326">
        <v>3</v>
      </c>
      <c r="V326">
        <v>2</v>
      </c>
      <c r="W326" t="s">
        <v>89</v>
      </c>
      <c r="AA326" t="s">
        <v>227</v>
      </c>
      <c r="AB326">
        <v>3</v>
      </c>
      <c r="AC326">
        <v>1</v>
      </c>
      <c r="AD326">
        <v>1</v>
      </c>
      <c r="AE326" t="s">
        <v>228</v>
      </c>
      <c r="AI326">
        <v>10</v>
      </c>
      <c r="AJ326">
        <v>26</v>
      </c>
    </row>
    <row r="327" spans="1:36" x14ac:dyDescent="0.25">
      <c r="A327" t="s">
        <v>915</v>
      </c>
      <c r="B327">
        <v>325</v>
      </c>
      <c r="C327" t="s">
        <v>48</v>
      </c>
      <c r="D327">
        <v>3</v>
      </c>
      <c r="F327">
        <v>1</v>
      </c>
      <c r="G327" t="s">
        <v>49</v>
      </c>
      <c r="H327" t="s">
        <v>71</v>
      </c>
      <c r="I327" t="s">
        <v>127</v>
      </c>
      <c r="J327" t="s">
        <v>52</v>
      </c>
      <c r="K327" t="s">
        <v>227</v>
      </c>
      <c r="L327">
        <v>1</v>
      </c>
      <c r="M327">
        <v>1</v>
      </c>
      <c r="N327">
        <v>1</v>
      </c>
      <c r="O327" t="s">
        <v>228</v>
      </c>
      <c r="P327" t="s">
        <v>231</v>
      </c>
      <c r="S327" t="s">
        <v>33</v>
      </c>
      <c r="T327">
        <v>3</v>
      </c>
      <c r="V327">
        <v>3</v>
      </c>
      <c r="W327" t="s">
        <v>65</v>
      </c>
      <c r="AA327" t="s">
        <v>63</v>
      </c>
      <c r="AB327">
        <v>1</v>
      </c>
      <c r="AD327">
        <v>1</v>
      </c>
      <c r="AE327" t="s">
        <v>103</v>
      </c>
      <c r="AF327" t="s">
        <v>95</v>
      </c>
      <c r="AI327">
        <v>11</v>
      </c>
      <c r="AJ327">
        <v>32</v>
      </c>
    </row>
    <row r="328" spans="1:36" x14ac:dyDescent="0.25">
      <c r="A328" t="s">
        <v>949</v>
      </c>
      <c r="B328">
        <v>326</v>
      </c>
      <c r="C328" t="s">
        <v>33</v>
      </c>
      <c r="D328">
        <v>2</v>
      </c>
      <c r="F328">
        <v>2</v>
      </c>
      <c r="G328" t="s">
        <v>65</v>
      </c>
      <c r="K328" t="s">
        <v>38</v>
      </c>
      <c r="L328">
        <v>1</v>
      </c>
      <c r="M328">
        <v>1</v>
      </c>
      <c r="N328">
        <v>1</v>
      </c>
      <c r="O328" t="s">
        <v>152</v>
      </c>
      <c r="P328" t="s">
        <v>70</v>
      </c>
      <c r="S328" t="s">
        <v>48</v>
      </c>
      <c r="T328">
        <v>3</v>
      </c>
      <c r="V328">
        <v>1</v>
      </c>
      <c r="W328" t="s">
        <v>49</v>
      </c>
      <c r="AA328" t="s">
        <v>227</v>
      </c>
      <c r="AB328">
        <v>2</v>
      </c>
      <c r="AC328">
        <v>1</v>
      </c>
      <c r="AD328">
        <v>1</v>
      </c>
      <c r="AE328" t="s">
        <v>228</v>
      </c>
      <c r="AI328">
        <v>6</v>
      </c>
      <c r="AJ328">
        <v>27</v>
      </c>
    </row>
    <row r="329" spans="1:36" x14ac:dyDescent="0.25">
      <c r="A329" t="s">
        <v>950</v>
      </c>
      <c r="B329">
        <v>327</v>
      </c>
      <c r="C329" t="s">
        <v>48</v>
      </c>
      <c r="D329">
        <v>2</v>
      </c>
      <c r="F329">
        <v>1</v>
      </c>
      <c r="G329" t="s">
        <v>89</v>
      </c>
      <c r="H329" t="s">
        <v>84</v>
      </c>
      <c r="I329" t="s">
        <v>90</v>
      </c>
      <c r="J329" t="s">
        <v>128</v>
      </c>
      <c r="K329" t="s">
        <v>227</v>
      </c>
      <c r="L329">
        <v>1</v>
      </c>
      <c r="M329">
        <v>1</v>
      </c>
      <c r="N329">
        <v>1</v>
      </c>
      <c r="O329" t="s">
        <v>228</v>
      </c>
      <c r="P329" t="s">
        <v>231</v>
      </c>
      <c r="S329" t="s">
        <v>43</v>
      </c>
      <c r="T329">
        <v>2</v>
      </c>
      <c r="V329">
        <v>1</v>
      </c>
      <c r="W329" t="s">
        <v>73</v>
      </c>
      <c r="X329" t="s">
        <v>99</v>
      </c>
      <c r="Y329" t="s">
        <v>75</v>
      </c>
      <c r="Z329" t="s">
        <v>101</v>
      </c>
      <c r="AA329" t="s">
        <v>45</v>
      </c>
      <c r="AB329">
        <v>3</v>
      </c>
      <c r="AD329">
        <v>1</v>
      </c>
      <c r="AE329" t="s">
        <v>140</v>
      </c>
      <c r="AI329">
        <v>11</v>
      </c>
      <c r="AJ329">
        <v>30</v>
      </c>
    </row>
    <row r="330" spans="1:36" x14ac:dyDescent="0.25">
      <c r="A330" t="s">
        <v>951</v>
      </c>
      <c r="B330">
        <v>328</v>
      </c>
      <c r="C330" t="s">
        <v>43</v>
      </c>
      <c r="D330">
        <v>2</v>
      </c>
      <c r="F330">
        <v>1</v>
      </c>
      <c r="G330" t="s">
        <v>73</v>
      </c>
      <c r="H330" t="s">
        <v>99</v>
      </c>
      <c r="K330" t="s">
        <v>63</v>
      </c>
      <c r="L330">
        <v>1</v>
      </c>
      <c r="N330">
        <v>1</v>
      </c>
      <c r="O330" t="s">
        <v>103</v>
      </c>
      <c r="P330" t="s">
        <v>95</v>
      </c>
      <c r="S330" t="s">
        <v>48</v>
      </c>
      <c r="T330">
        <v>3</v>
      </c>
      <c r="V330">
        <v>2</v>
      </c>
      <c r="W330" t="s">
        <v>89</v>
      </c>
      <c r="AA330" t="s">
        <v>227</v>
      </c>
      <c r="AB330">
        <v>3</v>
      </c>
      <c r="AC330">
        <v>1</v>
      </c>
      <c r="AD330">
        <v>1</v>
      </c>
      <c r="AE330" t="s">
        <v>228</v>
      </c>
      <c r="AF330" t="s">
        <v>231</v>
      </c>
      <c r="AG330" t="s">
        <v>235</v>
      </c>
      <c r="AI330">
        <v>10</v>
      </c>
      <c r="AJ330">
        <v>46</v>
      </c>
    </row>
    <row r="331" spans="1:36" x14ac:dyDescent="0.25">
      <c r="A331" t="s">
        <v>952</v>
      </c>
      <c r="B331">
        <v>329</v>
      </c>
      <c r="C331" t="s">
        <v>43</v>
      </c>
      <c r="D331">
        <v>3</v>
      </c>
      <c r="F331">
        <v>1</v>
      </c>
      <c r="G331" t="s">
        <v>73</v>
      </c>
      <c r="H331" t="s">
        <v>99</v>
      </c>
      <c r="I331" t="s">
        <v>137</v>
      </c>
      <c r="K331" t="s">
        <v>38</v>
      </c>
      <c r="L331">
        <v>1</v>
      </c>
      <c r="M331">
        <v>1</v>
      </c>
      <c r="N331">
        <v>1</v>
      </c>
      <c r="O331" t="s">
        <v>152</v>
      </c>
      <c r="P331" t="s">
        <v>70</v>
      </c>
      <c r="Q331" t="s">
        <v>154</v>
      </c>
      <c r="S331" t="s">
        <v>48</v>
      </c>
      <c r="T331">
        <v>2</v>
      </c>
      <c r="V331">
        <v>1</v>
      </c>
      <c r="W331" t="s">
        <v>89</v>
      </c>
      <c r="X331" t="s">
        <v>84</v>
      </c>
      <c r="Y331" t="s">
        <v>90</v>
      </c>
      <c r="AA331" t="s">
        <v>227</v>
      </c>
      <c r="AB331">
        <v>1</v>
      </c>
      <c r="AC331">
        <v>1</v>
      </c>
      <c r="AD331">
        <v>1</v>
      </c>
      <c r="AE331" t="s">
        <v>228</v>
      </c>
      <c r="AF331" t="s">
        <v>231</v>
      </c>
      <c r="AI331">
        <v>10</v>
      </c>
      <c r="AJ331">
        <v>39</v>
      </c>
    </row>
    <row r="332" spans="1:36" x14ac:dyDescent="0.25">
      <c r="A332" t="s">
        <v>953</v>
      </c>
      <c r="B332">
        <v>330</v>
      </c>
      <c r="C332" t="s">
        <v>45</v>
      </c>
      <c r="D332">
        <v>3</v>
      </c>
      <c r="F332">
        <v>1</v>
      </c>
      <c r="G332" t="s">
        <v>47</v>
      </c>
      <c r="K332" t="s">
        <v>63</v>
      </c>
      <c r="L332">
        <v>2</v>
      </c>
      <c r="N332">
        <v>1</v>
      </c>
      <c r="O332" t="s">
        <v>72</v>
      </c>
      <c r="P332" t="s">
        <v>91</v>
      </c>
      <c r="Q332" t="s">
        <v>147</v>
      </c>
      <c r="R332" t="s">
        <v>151</v>
      </c>
      <c r="S332" t="s">
        <v>48</v>
      </c>
      <c r="T332">
        <v>3</v>
      </c>
      <c r="V332">
        <v>1</v>
      </c>
      <c r="W332" t="s">
        <v>49</v>
      </c>
      <c r="AA332" t="s">
        <v>227</v>
      </c>
      <c r="AB332">
        <v>3</v>
      </c>
      <c r="AC332">
        <v>1</v>
      </c>
      <c r="AD332">
        <v>3</v>
      </c>
      <c r="AE332" t="s">
        <v>228</v>
      </c>
      <c r="AF332" t="s">
        <v>231</v>
      </c>
      <c r="AG332" t="s">
        <v>235</v>
      </c>
      <c r="AI332">
        <v>14</v>
      </c>
      <c r="AJ332">
        <v>35</v>
      </c>
    </row>
    <row r="333" spans="1:36" x14ac:dyDescent="0.25">
      <c r="A333" t="s">
        <v>954</v>
      </c>
      <c r="B333">
        <v>331</v>
      </c>
      <c r="C333" t="s">
        <v>45</v>
      </c>
      <c r="D333">
        <v>3</v>
      </c>
      <c r="F333">
        <v>1</v>
      </c>
      <c r="G333" t="s">
        <v>140</v>
      </c>
      <c r="K333" t="s">
        <v>38</v>
      </c>
      <c r="L333">
        <v>1</v>
      </c>
      <c r="M333">
        <v>1</v>
      </c>
      <c r="N333">
        <v>1</v>
      </c>
      <c r="O333" t="s">
        <v>152</v>
      </c>
      <c r="P333" t="s">
        <v>70</v>
      </c>
      <c r="S333" t="s">
        <v>48</v>
      </c>
      <c r="T333">
        <v>1</v>
      </c>
      <c r="V333">
        <v>1</v>
      </c>
      <c r="W333" t="s">
        <v>49</v>
      </c>
      <c r="X333" t="s">
        <v>84</v>
      </c>
      <c r="Y333" t="s">
        <v>127</v>
      </c>
      <c r="AA333" t="s">
        <v>227</v>
      </c>
      <c r="AB333">
        <v>1</v>
      </c>
      <c r="AC333">
        <v>1</v>
      </c>
      <c r="AD333">
        <v>1</v>
      </c>
      <c r="AE333" t="s">
        <v>228</v>
      </c>
      <c r="AI333">
        <v>5</v>
      </c>
      <c r="AJ333">
        <v>23</v>
      </c>
    </row>
    <row r="334" spans="1:36" x14ac:dyDescent="0.25">
      <c r="A334" t="s">
        <v>955</v>
      </c>
      <c r="B334">
        <v>332</v>
      </c>
      <c r="C334" t="s">
        <v>63</v>
      </c>
      <c r="D334">
        <v>2</v>
      </c>
      <c r="F334">
        <v>1</v>
      </c>
      <c r="G334" t="s">
        <v>103</v>
      </c>
      <c r="H334" t="s">
        <v>91</v>
      </c>
      <c r="I334" t="s">
        <v>147</v>
      </c>
      <c r="K334" t="s">
        <v>38</v>
      </c>
      <c r="L334">
        <v>2</v>
      </c>
      <c r="M334">
        <v>1</v>
      </c>
      <c r="N334">
        <v>1</v>
      </c>
      <c r="O334" t="s">
        <v>152</v>
      </c>
      <c r="P334" t="s">
        <v>70</v>
      </c>
      <c r="S334" t="s">
        <v>48</v>
      </c>
      <c r="T334">
        <v>3</v>
      </c>
      <c r="V334">
        <v>2</v>
      </c>
      <c r="W334" t="s">
        <v>49</v>
      </c>
      <c r="X334" t="s">
        <v>71</v>
      </c>
      <c r="AA334" t="s">
        <v>227</v>
      </c>
      <c r="AB334">
        <v>1</v>
      </c>
      <c r="AC334">
        <v>1</v>
      </c>
      <c r="AD334">
        <v>1</v>
      </c>
      <c r="AE334" t="s">
        <v>228</v>
      </c>
      <c r="AI334">
        <v>9</v>
      </c>
      <c r="AJ334">
        <v>32</v>
      </c>
    </row>
    <row r="335" spans="1:36" x14ac:dyDescent="0.25">
      <c r="A335" t="s">
        <v>956</v>
      </c>
      <c r="B335">
        <v>333</v>
      </c>
      <c r="C335" t="s">
        <v>45</v>
      </c>
      <c r="D335">
        <v>2</v>
      </c>
      <c r="F335">
        <v>1</v>
      </c>
      <c r="G335" t="s">
        <v>140</v>
      </c>
      <c r="K335" t="s">
        <v>63</v>
      </c>
      <c r="L335">
        <v>1</v>
      </c>
      <c r="N335">
        <v>1</v>
      </c>
      <c r="O335" t="s">
        <v>145</v>
      </c>
      <c r="P335" t="s">
        <v>95</v>
      </c>
      <c r="Q335" t="s">
        <v>147</v>
      </c>
      <c r="S335" t="s">
        <v>33</v>
      </c>
      <c r="T335">
        <v>1</v>
      </c>
      <c r="V335">
        <v>3</v>
      </c>
      <c r="W335" t="s">
        <v>34</v>
      </c>
      <c r="X335" t="s">
        <v>35</v>
      </c>
      <c r="AA335" t="s">
        <v>43</v>
      </c>
      <c r="AB335">
        <v>2</v>
      </c>
      <c r="AD335">
        <v>1</v>
      </c>
      <c r="AE335" t="s">
        <v>135</v>
      </c>
      <c r="AI335">
        <v>7</v>
      </c>
      <c r="AJ335">
        <v>23</v>
      </c>
    </row>
    <row r="336" spans="1:36" x14ac:dyDescent="0.25">
      <c r="A336" t="s">
        <v>957</v>
      </c>
      <c r="B336">
        <v>334</v>
      </c>
      <c r="C336" t="s">
        <v>45</v>
      </c>
      <c r="D336">
        <v>2</v>
      </c>
      <c r="F336">
        <v>1</v>
      </c>
      <c r="G336" t="s">
        <v>140</v>
      </c>
      <c r="H336" t="s">
        <v>141</v>
      </c>
      <c r="K336" t="s">
        <v>38</v>
      </c>
      <c r="L336">
        <v>1</v>
      </c>
      <c r="M336">
        <v>1</v>
      </c>
      <c r="N336">
        <v>2</v>
      </c>
      <c r="O336" t="s">
        <v>39</v>
      </c>
      <c r="P336" t="s">
        <v>70</v>
      </c>
      <c r="S336" t="s">
        <v>33</v>
      </c>
      <c r="T336">
        <v>1</v>
      </c>
      <c r="V336">
        <v>1</v>
      </c>
      <c r="W336" t="s">
        <v>65</v>
      </c>
      <c r="AA336" t="s">
        <v>43</v>
      </c>
      <c r="AB336">
        <v>2</v>
      </c>
      <c r="AD336">
        <v>1</v>
      </c>
      <c r="AE336" t="s">
        <v>73</v>
      </c>
      <c r="AF336" t="s">
        <v>136</v>
      </c>
      <c r="AG336" t="s">
        <v>137</v>
      </c>
      <c r="AI336">
        <v>7</v>
      </c>
      <c r="AJ336">
        <v>22</v>
      </c>
    </row>
    <row r="337" spans="1:36" x14ac:dyDescent="0.25">
      <c r="A337" t="s">
        <v>958</v>
      </c>
      <c r="B337">
        <v>335</v>
      </c>
      <c r="C337" t="s">
        <v>45</v>
      </c>
      <c r="D337">
        <v>3</v>
      </c>
      <c r="F337">
        <v>1</v>
      </c>
      <c r="G337" t="s">
        <v>140</v>
      </c>
      <c r="H337" t="s">
        <v>141</v>
      </c>
      <c r="I337" t="s">
        <v>102</v>
      </c>
      <c r="K337" t="s">
        <v>227</v>
      </c>
      <c r="L337">
        <v>1</v>
      </c>
      <c r="M337">
        <v>1</v>
      </c>
      <c r="N337">
        <v>1</v>
      </c>
      <c r="O337" t="s">
        <v>228</v>
      </c>
      <c r="S337" t="s">
        <v>33</v>
      </c>
      <c r="T337">
        <v>3</v>
      </c>
      <c r="V337">
        <v>3</v>
      </c>
      <c r="W337" t="s">
        <v>65</v>
      </c>
      <c r="X337" t="s">
        <v>35</v>
      </c>
      <c r="AA337" t="s">
        <v>43</v>
      </c>
      <c r="AB337">
        <v>1</v>
      </c>
      <c r="AD337">
        <v>1</v>
      </c>
      <c r="AE337" t="s">
        <v>73</v>
      </c>
      <c r="AF337" t="s">
        <v>136</v>
      </c>
      <c r="AI337">
        <v>10</v>
      </c>
      <c r="AJ337">
        <v>27</v>
      </c>
    </row>
    <row r="338" spans="1:36" x14ac:dyDescent="0.25">
      <c r="A338" t="s">
        <v>959</v>
      </c>
      <c r="B338">
        <v>336</v>
      </c>
      <c r="C338" t="s">
        <v>33</v>
      </c>
      <c r="D338">
        <v>2</v>
      </c>
      <c r="F338">
        <v>3</v>
      </c>
      <c r="G338" t="s">
        <v>65</v>
      </c>
      <c r="H338" t="s">
        <v>35</v>
      </c>
      <c r="I338" t="s">
        <v>131</v>
      </c>
      <c r="K338" t="s">
        <v>43</v>
      </c>
      <c r="L338">
        <v>1</v>
      </c>
      <c r="N338">
        <v>1</v>
      </c>
      <c r="O338" t="s">
        <v>73</v>
      </c>
      <c r="P338" t="s">
        <v>99</v>
      </c>
      <c r="S338" t="s">
        <v>63</v>
      </c>
      <c r="T338">
        <v>2</v>
      </c>
      <c r="V338">
        <v>1</v>
      </c>
      <c r="W338" t="s">
        <v>72</v>
      </c>
      <c r="X338" t="s">
        <v>95</v>
      </c>
      <c r="AA338" t="s">
        <v>38</v>
      </c>
      <c r="AB338">
        <v>1</v>
      </c>
      <c r="AC338">
        <v>1</v>
      </c>
      <c r="AD338">
        <v>2</v>
      </c>
      <c r="AE338" t="s">
        <v>39</v>
      </c>
      <c r="AF338" t="s">
        <v>70</v>
      </c>
      <c r="AI338">
        <v>10</v>
      </c>
      <c r="AJ338">
        <v>31</v>
      </c>
    </row>
    <row r="339" spans="1:36" x14ac:dyDescent="0.25">
      <c r="A339" t="s">
        <v>960</v>
      </c>
      <c r="B339">
        <v>337</v>
      </c>
      <c r="C339" t="s">
        <v>33</v>
      </c>
      <c r="D339">
        <v>2</v>
      </c>
      <c r="F339">
        <v>1</v>
      </c>
      <c r="G339" t="s">
        <v>34</v>
      </c>
      <c r="H339" t="s">
        <v>66</v>
      </c>
      <c r="K339" t="s">
        <v>43</v>
      </c>
      <c r="L339">
        <v>1</v>
      </c>
      <c r="N339">
        <v>1</v>
      </c>
      <c r="O339" t="s">
        <v>73</v>
      </c>
      <c r="P339" t="s">
        <v>74</v>
      </c>
      <c r="Q339" t="s">
        <v>75</v>
      </c>
      <c r="S339" t="s">
        <v>63</v>
      </c>
      <c r="T339">
        <v>1</v>
      </c>
      <c r="V339">
        <v>1</v>
      </c>
      <c r="W339" t="s">
        <v>145</v>
      </c>
      <c r="X339" t="s">
        <v>91</v>
      </c>
      <c r="Y339" t="s">
        <v>104</v>
      </c>
      <c r="AA339" t="s">
        <v>227</v>
      </c>
      <c r="AB339">
        <v>1</v>
      </c>
      <c r="AC339">
        <v>1</v>
      </c>
      <c r="AD339">
        <v>1</v>
      </c>
      <c r="AE339" t="s">
        <v>228</v>
      </c>
      <c r="AI339">
        <v>6</v>
      </c>
      <c r="AJ339">
        <v>17</v>
      </c>
    </row>
    <row r="340" spans="1:36" x14ac:dyDescent="0.25">
      <c r="A340" t="s">
        <v>961</v>
      </c>
      <c r="B340">
        <v>338</v>
      </c>
      <c r="C340" t="s">
        <v>38</v>
      </c>
      <c r="D340">
        <v>2</v>
      </c>
      <c r="E340">
        <v>1</v>
      </c>
      <c r="F340">
        <v>3</v>
      </c>
      <c r="G340" t="s">
        <v>39</v>
      </c>
      <c r="H340" t="s">
        <v>70</v>
      </c>
      <c r="I340" t="s">
        <v>41</v>
      </c>
      <c r="J340" t="s">
        <v>42</v>
      </c>
      <c r="K340" t="s">
        <v>227</v>
      </c>
      <c r="L340">
        <v>1</v>
      </c>
      <c r="M340">
        <v>1</v>
      </c>
      <c r="N340">
        <v>1</v>
      </c>
      <c r="O340" t="s">
        <v>228</v>
      </c>
      <c r="S340" t="s">
        <v>33</v>
      </c>
      <c r="T340">
        <v>2</v>
      </c>
      <c r="V340">
        <v>1</v>
      </c>
      <c r="W340" t="s">
        <v>65</v>
      </c>
      <c r="X340" t="s">
        <v>35</v>
      </c>
      <c r="Y340" t="s">
        <v>131</v>
      </c>
      <c r="AA340" t="s">
        <v>43</v>
      </c>
      <c r="AB340">
        <v>1</v>
      </c>
      <c r="AD340">
        <v>1</v>
      </c>
      <c r="AE340" t="s">
        <v>73</v>
      </c>
      <c r="AF340" t="s">
        <v>74</v>
      </c>
      <c r="AG340" t="s">
        <v>75</v>
      </c>
      <c r="AH340" t="s">
        <v>101</v>
      </c>
      <c r="AI340">
        <v>12</v>
      </c>
      <c r="AJ340">
        <v>34</v>
      </c>
    </row>
    <row r="341" spans="1:36" x14ac:dyDescent="0.25">
      <c r="A341" t="s">
        <v>962</v>
      </c>
      <c r="B341">
        <v>339</v>
      </c>
      <c r="C341" t="s">
        <v>33</v>
      </c>
      <c r="D341">
        <v>2</v>
      </c>
      <c r="F341">
        <v>2</v>
      </c>
      <c r="G341" t="s">
        <v>34</v>
      </c>
      <c r="K341" t="s">
        <v>45</v>
      </c>
      <c r="L341">
        <v>2</v>
      </c>
      <c r="N341">
        <v>1</v>
      </c>
      <c r="O341" t="s">
        <v>140</v>
      </c>
      <c r="P341" t="s">
        <v>141</v>
      </c>
      <c r="S341" t="s">
        <v>43</v>
      </c>
      <c r="T341">
        <v>1</v>
      </c>
      <c r="V341">
        <v>1</v>
      </c>
      <c r="W341" t="s">
        <v>135</v>
      </c>
      <c r="AA341" t="s">
        <v>63</v>
      </c>
      <c r="AB341">
        <v>2</v>
      </c>
      <c r="AD341">
        <v>1</v>
      </c>
      <c r="AE341" t="s">
        <v>72</v>
      </c>
      <c r="AI341">
        <v>5</v>
      </c>
      <c r="AJ341">
        <v>15</v>
      </c>
    </row>
    <row r="342" spans="1:36" x14ac:dyDescent="0.25">
      <c r="A342" t="s">
        <v>963</v>
      </c>
      <c r="B342">
        <v>340</v>
      </c>
      <c r="C342" t="s">
        <v>43</v>
      </c>
      <c r="D342">
        <v>1</v>
      </c>
      <c r="F342">
        <v>1</v>
      </c>
      <c r="G342" t="s">
        <v>135</v>
      </c>
      <c r="K342" t="s">
        <v>38</v>
      </c>
      <c r="L342">
        <v>3</v>
      </c>
      <c r="M342">
        <v>1</v>
      </c>
      <c r="N342">
        <v>3</v>
      </c>
      <c r="O342" t="s">
        <v>39</v>
      </c>
      <c r="P342" t="s">
        <v>70</v>
      </c>
      <c r="Q342" t="s">
        <v>41</v>
      </c>
      <c r="R342" t="s">
        <v>156</v>
      </c>
      <c r="S342" t="s">
        <v>33</v>
      </c>
      <c r="T342">
        <v>2</v>
      </c>
      <c r="V342">
        <v>3</v>
      </c>
      <c r="W342" t="s">
        <v>65</v>
      </c>
      <c r="X342" t="s">
        <v>66</v>
      </c>
      <c r="Y342" t="s">
        <v>131</v>
      </c>
      <c r="Z342" t="s">
        <v>133</v>
      </c>
      <c r="AA342" t="s">
        <v>45</v>
      </c>
      <c r="AB342">
        <v>2</v>
      </c>
      <c r="AD342">
        <v>1</v>
      </c>
      <c r="AE342" t="s">
        <v>140</v>
      </c>
      <c r="AI342">
        <v>14</v>
      </c>
      <c r="AJ342">
        <v>34</v>
      </c>
    </row>
    <row r="343" spans="1:36" x14ac:dyDescent="0.25">
      <c r="A343" t="s">
        <v>964</v>
      </c>
      <c r="B343">
        <v>341</v>
      </c>
      <c r="C343" t="s">
        <v>33</v>
      </c>
      <c r="D343">
        <v>1</v>
      </c>
      <c r="F343">
        <v>2</v>
      </c>
      <c r="G343" t="s">
        <v>34</v>
      </c>
      <c r="H343" t="s">
        <v>66</v>
      </c>
      <c r="K343" t="s">
        <v>45</v>
      </c>
      <c r="L343">
        <v>2</v>
      </c>
      <c r="N343">
        <v>1</v>
      </c>
      <c r="O343" t="s">
        <v>140</v>
      </c>
      <c r="S343" t="s">
        <v>43</v>
      </c>
      <c r="T343">
        <v>1</v>
      </c>
      <c r="V343">
        <v>1</v>
      </c>
      <c r="W343" t="s">
        <v>135</v>
      </c>
      <c r="X343" t="s">
        <v>136</v>
      </c>
      <c r="AA343" t="s">
        <v>227</v>
      </c>
      <c r="AB343">
        <v>2</v>
      </c>
      <c r="AC343">
        <v>1</v>
      </c>
      <c r="AD343">
        <v>1</v>
      </c>
      <c r="AE343" t="s">
        <v>228</v>
      </c>
      <c r="AI343">
        <v>5</v>
      </c>
      <c r="AJ343">
        <v>16</v>
      </c>
    </row>
    <row r="344" spans="1:36" x14ac:dyDescent="0.25">
      <c r="A344" t="s">
        <v>965</v>
      </c>
      <c r="B344">
        <v>342</v>
      </c>
      <c r="C344" t="s">
        <v>63</v>
      </c>
      <c r="D344">
        <v>1</v>
      </c>
      <c r="F344">
        <v>1</v>
      </c>
      <c r="G344" t="s">
        <v>145</v>
      </c>
      <c r="H344" t="s">
        <v>95</v>
      </c>
      <c r="K344" t="s">
        <v>38</v>
      </c>
      <c r="L344">
        <v>1</v>
      </c>
      <c r="M344">
        <v>1</v>
      </c>
      <c r="N344">
        <v>2</v>
      </c>
      <c r="O344" t="s">
        <v>39</v>
      </c>
      <c r="P344" t="s">
        <v>70</v>
      </c>
      <c r="Q344" t="s">
        <v>41</v>
      </c>
      <c r="S344" t="s">
        <v>33</v>
      </c>
      <c r="T344">
        <v>1</v>
      </c>
      <c r="V344">
        <v>1</v>
      </c>
      <c r="W344" t="s">
        <v>46</v>
      </c>
      <c r="AA344" t="s">
        <v>45</v>
      </c>
      <c r="AB344">
        <v>2</v>
      </c>
      <c r="AD344">
        <v>1</v>
      </c>
      <c r="AE344" t="s">
        <v>140</v>
      </c>
      <c r="AI344">
        <v>5</v>
      </c>
      <c r="AJ344">
        <v>19</v>
      </c>
    </row>
    <row r="345" spans="1:36" x14ac:dyDescent="0.25">
      <c r="A345" t="s">
        <v>966</v>
      </c>
      <c r="B345">
        <v>343</v>
      </c>
      <c r="C345" t="s">
        <v>33</v>
      </c>
      <c r="D345">
        <v>2</v>
      </c>
      <c r="F345">
        <v>3</v>
      </c>
      <c r="G345" t="s">
        <v>34</v>
      </c>
      <c r="K345" t="s">
        <v>45</v>
      </c>
      <c r="L345">
        <v>2</v>
      </c>
      <c r="N345">
        <v>1</v>
      </c>
      <c r="O345" t="s">
        <v>140</v>
      </c>
      <c r="S345" t="s">
        <v>63</v>
      </c>
      <c r="T345">
        <v>3</v>
      </c>
      <c r="V345">
        <v>1</v>
      </c>
      <c r="W345" t="s">
        <v>72</v>
      </c>
      <c r="AA345" t="s">
        <v>227</v>
      </c>
      <c r="AB345">
        <v>2</v>
      </c>
      <c r="AC345">
        <v>1</v>
      </c>
      <c r="AD345">
        <v>2</v>
      </c>
      <c r="AE345" t="s">
        <v>228</v>
      </c>
      <c r="AI345">
        <v>8</v>
      </c>
      <c r="AJ345">
        <v>23</v>
      </c>
    </row>
    <row r="346" spans="1:36" x14ac:dyDescent="0.25">
      <c r="A346" t="s">
        <v>967</v>
      </c>
      <c r="B346">
        <v>344</v>
      </c>
      <c r="C346" t="s">
        <v>33</v>
      </c>
      <c r="D346">
        <v>2</v>
      </c>
      <c r="F346">
        <v>3</v>
      </c>
      <c r="G346" t="s">
        <v>65</v>
      </c>
      <c r="K346" t="s">
        <v>45</v>
      </c>
      <c r="L346">
        <v>2</v>
      </c>
      <c r="N346">
        <v>1</v>
      </c>
      <c r="O346" t="s">
        <v>140</v>
      </c>
      <c r="S346" t="s">
        <v>38</v>
      </c>
      <c r="T346">
        <v>1</v>
      </c>
      <c r="U346">
        <v>1</v>
      </c>
      <c r="V346">
        <v>2</v>
      </c>
      <c r="W346" t="s">
        <v>39</v>
      </c>
      <c r="AA346" t="s">
        <v>227</v>
      </c>
      <c r="AB346">
        <v>1</v>
      </c>
      <c r="AC346">
        <v>1</v>
      </c>
      <c r="AD346">
        <v>3</v>
      </c>
      <c r="AE346" t="s">
        <v>228</v>
      </c>
      <c r="AI346">
        <v>7</v>
      </c>
      <c r="AJ346">
        <v>23</v>
      </c>
    </row>
    <row r="347" spans="1:36" x14ac:dyDescent="0.25">
      <c r="A347" t="s">
        <v>968</v>
      </c>
      <c r="B347">
        <v>345</v>
      </c>
      <c r="C347" t="s">
        <v>33</v>
      </c>
      <c r="D347">
        <v>2</v>
      </c>
      <c r="F347">
        <v>3</v>
      </c>
      <c r="G347" t="s">
        <v>34</v>
      </c>
      <c r="H347" t="s">
        <v>66</v>
      </c>
      <c r="K347" t="s">
        <v>63</v>
      </c>
      <c r="L347">
        <v>1</v>
      </c>
      <c r="N347">
        <v>1</v>
      </c>
      <c r="O347" t="s">
        <v>72</v>
      </c>
      <c r="P347" t="s">
        <v>91</v>
      </c>
      <c r="S347" t="s">
        <v>43</v>
      </c>
      <c r="T347">
        <v>3</v>
      </c>
      <c r="V347">
        <v>1</v>
      </c>
      <c r="W347" t="s">
        <v>73</v>
      </c>
      <c r="X347" t="s">
        <v>74</v>
      </c>
      <c r="AA347" t="s">
        <v>45</v>
      </c>
      <c r="AB347">
        <v>3</v>
      </c>
      <c r="AD347">
        <v>1</v>
      </c>
      <c r="AE347" t="s">
        <v>47</v>
      </c>
      <c r="AI347">
        <v>10</v>
      </c>
      <c r="AJ347">
        <v>26</v>
      </c>
    </row>
    <row r="348" spans="1:36" x14ac:dyDescent="0.25">
      <c r="A348" t="s">
        <v>969</v>
      </c>
      <c r="B348">
        <v>346</v>
      </c>
      <c r="C348" t="s">
        <v>43</v>
      </c>
      <c r="D348">
        <v>3</v>
      </c>
      <c r="F348">
        <v>2</v>
      </c>
      <c r="G348" t="s">
        <v>135</v>
      </c>
      <c r="H348" t="s">
        <v>74</v>
      </c>
      <c r="I348" t="s">
        <v>75</v>
      </c>
      <c r="K348" t="s">
        <v>38</v>
      </c>
      <c r="L348">
        <v>1</v>
      </c>
      <c r="M348">
        <v>1</v>
      </c>
      <c r="N348">
        <v>1</v>
      </c>
      <c r="O348" t="s">
        <v>67</v>
      </c>
      <c r="P348" t="s">
        <v>70</v>
      </c>
      <c r="S348" t="s">
        <v>33</v>
      </c>
      <c r="T348">
        <v>1</v>
      </c>
      <c r="V348">
        <v>1</v>
      </c>
      <c r="W348" t="s">
        <v>65</v>
      </c>
      <c r="AA348" t="s">
        <v>63</v>
      </c>
      <c r="AB348">
        <v>2</v>
      </c>
      <c r="AD348">
        <v>1</v>
      </c>
      <c r="AE348" t="s">
        <v>103</v>
      </c>
      <c r="AF348" t="s">
        <v>91</v>
      </c>
      <c r="AG348" t="s">
        <v>147</v>
      </c>
      <c r="AI348">
        <v>9</v>
      </c>
      <c r="AJ348">
        <v>25</v>
      </c>
    </row>
    <row r="349" spans="1:36" x14ac:dyDescent="0.25">
      <c r="A349" t="s">
        <v>970</v>
      </c>
      <c r="B349">
        <v>347</v>
      </c>
      <c r="C349" t="s">
        <v>43</v>
      </c>
      <c r="D349">
        <v>3</v>
      </c>
      <c r="F349">
        <v>1</v>
      </c>
      <c r="G349" t="s">
        <v>135</v>
      </c>
      <c r="H349" t="s">
        <v>136</v>
      </c>
      <c r="I349" t="s">
        <v>137</v>
      </c>
      <c r="K349" t="s">
        <v>227</v>
      </c>
      <c r="L349">
        <v>2</v>
      </c>
      <c r="M349">
        <v>1</v>
      </c>
      <c r="N349">
        <v>1</v>
      </c>
      <c r="O349" t="s">
        <v>228</v>
      </c>
      <c r="S349" t="s">
        <v>33</v>
      </c>
      <c r="T349">
        <v>1</v>
      </c>
      <c r="V349">
        <v>3</v>
      </c>
      <c r="W349" t="s">
        <v>34</v>
      </c>
      <c r="AA349" t="s">
        <v>63</v>
      </c>
      <c r="AB349">
        <v>2</v>
      </c>
      <c r="AD349">
        <v>1</v>
      </c>
      <c r="AE349" t="s">
        <v>103</v>
      </c>
      <c r="AF349" t="s">
        <v>91</v>
      </c>
      <c r="AG349" t="s">
        <v>147</v>
      </c>
      <c r="AI349">
        <v>10</v>
      </c>
      <c r="AJ349">
        <v>26</v>
      </c>
    </row>
    <row r="350" spans="1:36" x14ac:dyDescent="0.25">
      <c r="A350" t="s">
        <v>971</v>
      </c>
      <c r="B350">
        <v>348</v>
      </c>
      <c r="C350" t="s">
        <v>45</v>
      </c>
      <c r="D350">
        <v>3</v>
      </c>
      <c r="F350">
        <v>1</v>
      </c>
      <c r="G350" t="s">
        <v>140</v>
      </c>
      <c r="K350" t="s">
        <v>38</v>
      </c>
      <c r="L350">
        <v>1</v>
      </c>
      <c r="M350">
        <v>1</v>
      </c>
      <c r="N350">
        <v>2</v>
      </c>
      <c r="O350" t="s">
        <v>67</v>
      </c>
      <c r="P350" t="s">
        <v>70</v>
      </c>
      <c r="S350" t="s">
        <v>33</v>
      </c>
      <c r="T350">
        <v>2</v>
      </c>
      <c r="V350">
        <v>3</v>
      </c>
      <c r="W350" t="s">
        <v>65</v>
      </c>
      <c r="AA350" t="s">
        <v>63</v>
      </c>
      <c r="AB350">
        <v>2</v>
      </c>
      <c r="AD350">
        <v>1</v>
      </c>
      <c r="AE350" t="s">
        <v>72</v>
      </c>
      <c r="AF350" t="s">
        <v>91</v>
      </c>
      <c r="AI350">
        <v>9</v>
      </c>
      <c r="AJ350">
        <v>28</v>
      </c>
    </row>
    <row r="351" spans="1:36" x14ac:dyDescent="0.25">
      <c r="A351" t="s">
        <v>972</v>
      </c>
      <c r="B351">
        <v>349</v>
      </c>
      <c r="C351" t="s">
        <v>45</v>
      </c>
      <c r="D351">
        <v>3</v>
      </c>
      <c r="F351">
        <v>2</v>
      </c>
      <c r="G351" t="s">
        <v>86</v>
      </c>
      <c r="K351" t="s">
        <v>227</v>
      </c>
      <c r="L351">
        <v>3</v>
      </c>
      <c r="M351">
        <v>1</v>
      </c>
      <c r="N351">
        <v>1</v>
      </c>
      <c r="O351" t="s">
        <v>228</v>
      </c>
      <c r="S351" t="s">
        <v>33</v>
      </c>
      <c r="T351">
        <v>2</v>
      </c>
      <c r="V351">
        <v>3</v>
      </c>
      <c r="W351" t="s">
        <v>65</v>
      </c>
      <c r="AA351" t="s">
        <v>63</v>
      </c>
      <c r="AB351">
        <v>2</v>
      </c>
      <c r="AD351">
        <v>2</v>
      </c>
      <c r="AE351" t="s">
        <v>72</v>
      </c>
      <c r="AF351" t="s">
        <v>91</v>
      </c>
      <c r="AI351">
        <v>11</v>
      </c>
      <c r="AJ351">
        <v>46</v>
      </c>
    </row>
    <row r="352" spans="1:36" x14ac:dyDescent="0.25">
      <c r="A352" t="s">
        <v>973</v>
      </c>
      <c r="B352">
        <v>350</v>
      </c>
      <c r="C352" t="s">
        <v>33</v>
      </c>
      <c r="D352">
        <v>3</v>
      </c>
      <c r="F352">
        <v>1</v>
      </c>
      <c r="G352" t="s">
        <v>65</v>
      </c>
      <c r="H352" t="s">
        <v>66</v>
      </c>
      <c r="K352" t="s">
        <v>63</v>
      </c>
      <c r="L352">
        <v>1</v>
      </c>
      <c r="N352">
        <v>1</v>
      </c>
      <c r="O352" t="s">
        <v>103</v>
      </c>
      <c r="P352" t="s">
        <v>91</v>
      </c>
      <c r="S352" t="s">
        <v>38</v>
      </c>
      <c r="T352">
        <v>1</v>
      </c>
      <c r="U352">
        <v>1</v>
      </c>
      <c r="V352">
        <v>2</v>
      </c>
      <c r="W352" t="s">
        <v>67</v>
      </c>
      <c r="AA352" t="s">
        <v>227</v>
      </c>
      <c r="AB352">
        <v>1</v>
      </c>
      <c r="AC352">
        <v>1</v>
      </c>
      <c r="AD352">
        <v>1</v>
      </c>
      <c r="AE352" t="s">
        <v>228</v>
      </c>
      <c r="AF352" t="s">
        <v>231</v>
      </c>
      <c r="AI352">
        <v>6</v>
      </c>
      <c r="AJ352">
        <v>23</v>
      </c>
    </row>
    <row r="353" spans="1:36" x14ac:dyDescent="0.25">
      <c r="A353" t="s">
        <v>974</v>
      </c>
      <c r="B353">
        <v>351</v>
      </c>
      <c r="C353" t="s">
        <v>43</v>
      </c>
      <c r="D353">
        <v>1</v>
      </c>
      <c r="F353">
        <v>1</v>
      </c>
      <c r="G353" t="s">
        <v>73</v>
      </c>
      <c r="H353" t="s">
        <v>136</v>
      </c>
      <c r="I353" t="s">
        <v>100</v>
      </c>
      <c r="J353" t="s">
        <v>138</v>
      </c>
      <c r="K353" t="s">
        <v>45</v>
      </c>
      <c r="L353">
        <v>3</v>
      </c>
      <c r="N353">
        <v>1</v>
      </c>
      <c r="O353" t="s">
        <v>140</v>
      </c>
      <c r="P353" t="s">
        <v>141</v>
      </c>
      <c r="S353" t="s">
        <v>33</v>
      </c>
      <c r="T353">
        <v>2</v>
      </c>
      <c r="V353">
        <v>3</v>
      </c>
      <c r="W353" t="s">
        <v>65</v>
      </c>
      <c r="X353" t="s">
        <v>35</v>
      </c>
      <c r="AA353" t="s">
        <v>38</v>
      </c>
      <c r="AB353">
        <v>3</v>
      </c>
      <c r="AC353">
        <v>1</v>
      </c>
      <c r="AD353">
        <v>2</v>
      </c>
      <c r="AE353" t="s">
        <v>67</v>
      </c>
      <c r="AI353">
        <v>13</v>
      </c>
      <c r="AJ353">
        <v>32</v>
      </c>
    </row>
    <row r="354" spans="1:36" x14ac:dyDescent="0.25">
      <c r="A354" t="s">
        <v>975</v>
      </c>
      <c r="B354">
        <v>352</v>
      </c>
      <c r="C354" t="s">
        <v>33</v>
      </c>
      <c r="D354">
        <v>1</v>
      </c>
      <c r="F354">
        <v>3</v>
      </c>
      <c r="G354" t="s">
        <v>34</v>
      </c>
      <c r="H354" t="s">
        <v>66</v>
      </c>
      <c r="I354" t="s">
        <v>132</v>
      </c>
      <c r="K354" t="s">
        <v>38</v>
      </c>
      <c r="L354">
        <v>1</v>
      </c>
      <c r="M354">
        <v>1</v>
      </c>
      <c r="N354">
        <v>1</v>
      </c>
      <c r="O354" t="s">
        <v>67</v>
      </c>
      <c r="S354" t="s">
        <v>43</v>
      </c>
      <c r="T354">
        <v>1</v>
      </c>
      <c r="V354">
        <v>1</v>
      </c>
      <c r="W354" t="s">
        <v>73</v>
      </c>
      <c r="X354" t="s">
        <v>136</v>
      </c>
      <c r="AA354" t="s">
        <v>63</v>
      </c>
      <c r="AB354">
        <v>2</v>
      </c>
      <c r="AD354">
        <v>1</v>
      </c>
      <c r="AE354" t="s">
        <v>72</v>
      </c>
      <c r="AF354" t="s">
        <v>95</v>
      </c>
      <c r="AG354" t="s">
        <v>104</v>
      </c>
      <c r="AH354" t="s">
        <v>151</v>
      </c>
      <c r="AI354">
        <v>9</v>
      </c>
      <c r="AJ354">
        <v>25</v>
      </c>
    </row>
    <row r="355" spans="1:36" x14ac:dyDescent="0.25">
      <c r="A355" t="s">
        <v>976</v>
      </c>
      <c r="B355">
        <v>353</v>
      </c>
      <c r="C355" t="s">
        <v>33</v>
      </c>
      <c r="D355">
        <v>1</v>
      </c>
      <c r="F355">
        <v>2</v>
      </c>
      <c r="G355" t="s">
        <v>34</v>
      </c>
      <c r="K355" t="s">
        <v>38</v>
      </c>
      <c r="L355">
        <v>1</v>
      </c>
      <c r="M355">
        <v>1</v>
      </c>
      <c r="N355">
        <v>2</v>
      </c>
      <c r="O355" t="s">
        <v>67</v>
      </c>
      <c r="P355" t="s">
        <v>70</v>
      </c>
      <c r="S355" t="s">
        <v>43</v>
      </c>
      <c r="T355">
        <v>2</v>
      </c>
      <c r="V355">
        <v>1</v>
      </c>
      <c r="W355" t="s">
        <v>135</v>
      </c>
      <c r="X355" t="s">
        <v>136</v>
      </c>
      <c r="AA355" t="s">
        <v>227</v>
      </c>
      <c r="AB355">
        <v>1</v>
      </c>
      <c r="AC355">
        <v>1</v>
      </c>
      <c r="AD355">
        <v>1</v>
      </c>
      <c r="AE355" t="s">
        <v>228</v>
      </c>
      <c r="AI355">
        <v>5</v>
      </c>
      <c r="AJ355">
        <v>19</v>
      </c>
    </row>
    <row r="356" spans="1:36" x14ac:dyDescent="0.25">
      <c r="A356" t="s">
        <v>977</v>
      </c>
      <c r="B356">
        <v>354</v>
      </c>
      <c r="C356" t="s">
        <v>33</v>
      </c>
      <c r="D356">
        <v>3</v>
      </c>
      <c r="F356">
        <v>3</v>
      </c>
      <c r="G356" t="s">
        <v>34</v>
      </c>
      <c r="K356" t="s">
        <v>38</v>
      </c>
      <c r="L356">
        <v>1</v>
      </c>
      <c r="M356">
        <v>1</v>
      </c>
      <c r="N356">
        <v>1</v>
      </c>
      <c r="O356" t="s">
        <v>67</v>
      </c>
      <c r="S356" t="s">
        <v>45</v>
      </c>
      <c r="T356">
        <v>2</v>
      </c>
      <c r="V356">
        <v>1</v>
      </c>
      <c r="W356" t="s">
        <v>140</v>
      </c>
      <c r="AA356" t="s">
        <v>63</v>
      </c>
      <c r="AB356">
        <v>1</v>
      </c>
      <c r="AD356">
        <v>1</v>
      </c>
      <c r="AE356" t="s">
        <v>72</v>
      </c>
      <c r="AF356" t="s">
        <v>95</v>
      </c>
      <c r="AG356" t="s">
        <v>147</v>
      </c>
      <c r="AI356">
        <v>7</v>
      </c>
      <c r="AJ356">
        <v>20</v>
      </c>
    </row>
    <row r="357" spans="1:36" x14ac:dyDescent="0.25">
      <c r="A357" t="s">
        <v>978</v>
      </c>
      <c r="B357">
        <v>355</v>
      </c>
      <c r="C357" t="s">
        <v>33</v>
      </c>
      <c r="D357">
        <v>2</v>
      </c>
      <c r="F357">
        <v>3</v>
      </c>
      <c r="G357" t="s">
        <v>65</v>
      </c>
      <c r="H357" t="s">
        <v>35</v>
      </c>
      <c r="K357" t="s">
        <v>38</v>
      </c>
      <c r="L357">
        <v>1</v>
      </c>
      <c r="M357">
        <v>1</v>
      </c>
      <c r="N357">
        <v>1</v>
      </c>
      <c r="O357" t="s">
        <v>67</v>
      </c>
      <c r="P357" t="s">
        <v>70</v>
      </c>
      <c r="S357" t="s">
        <v>45</v>
      </c>
      <c r="T357">
        <v>3</v>
      </c>
      <c r="V357">
        <v>2</v>
      </c>
      <c r="W357" t="s">
        <v>140</v>
      </c>
      <c r="AA357" t="s">
        <v>227</v>
      </c>
      <c r="AB357">
        <v>1</v>
      </c>
      <c r="AC357">
        <v>1</v>
      </c>
      <c r="AD357">
        <v>1</v>
      </c>
      <c r="AE357" t="s">
        <v>228</v>
      </c>
      <c r="AI357">
        <v>8</v>
      </c>
      <c r="AJ357">
        <v>23</v>
      </c>
    </row>
    <row r="358" spans="1:36" x14ac:dyDescent="0.25">
      <c r="A358" t="s">
        <v>979</v>
      </c>
      <c r="B358">
        <v>356</v>
      </c>
      <c r="C358" t="s">
        <v>33</v>
      </c>
      <c r="D358">
        <v>1</v>
      </c>
      <c r="F358">
        <v>2</v>
      </c>
      <c r="G358" t="s">
        <v>34</v>
      </c>
      <c r="K358" t="s">
        <v>38</v>
      </c>
      <c r="L358">
        <v>1</v>
      </c>
      <c r="M358">
        <v>1</v>
      </c>
      <c r="N358">
        <v>2</v>
      </c>
      <c r="O358" t="s">
        <v>152</v>
      </c>
      <c r="P358" t="s">
        <v>70</v>
      </c>
      <c r="S358" t="s">
        <v>63</v>
      </c>
      <c r="T358">
        <v>1</v>
      </c>
      <c r="V358">
        <v>1</v>
      </c>
      <c r="W358" t="s">
        <v>72</v>
      </c>
      <c r="X358" t="s">
        <v>95</v>
      </c>
      <c r="AA358" t="s">
        <v>227</v>
      </c>
      <c r="AB358">
        <v>1</v>
      </c>
      <c r="AC358">
        <v>1</v>
      </c>
      <c r="AD358">
        <v>1</v>
      </c>
      <c r="AE358" t="s">
        <v>228</v>
      </c>
      <c r="AI358">
        <v>4</v>
      </c>
      <c r="AJ358">
        <v>19</v>
      </c>
    </row>
    <row r="359" spans="1:36" x14ac:dyDescent="0.25">
      <c r="A359" t="s">
        <v>980</v>
      </c>
      <c r="B359">
        <v>357</v>
      </c>
      <c r="C359" t="s">
        <v>43</v>
      </c>
      <c r="D359">
        <v>1</v>
      </c>
      <c r="F359">
        <v>1</v>
      </c>
      <c r="G359" t="s">
        <v>73</v>
      </c>
      <c r="H359" t="s">
        <v>136</v>
      </c>
      <c r="I359" t="s">
        <v>137</v>
      </c>
      <c r="J359" t="s">
        <v>138</v>
      </c>
      <c r="K359" t="s">
        <v>45</v>
      </c>
      <c r="L359">
        <v>2</v>
      </c>
      <c r="N359">
        <v>2</v>
      </c>
      <c r="O359" t="s">
        <v>140</v>
      </c>
      <c r="P359" t="s">
        <v>141</v>
      </c>
      <c r="S359" t="s">
        <v>33</v>
      </c>
      <c r="T359">
        <v>3</v>
      </c>
      <c r="V359">
        <v>3</v>
      </c>
      <c r="W359" t="s">
        <v>34</v>
      </c>
      <c r="AA359" t="s">
        <v>227</v>
      </c>
      <c r="AB359">
        <v>2</v>
      </c>
      <c r="AC359">
        <v>1</v>
      </c>
      <c r="AD359">
        <v>2</v>
      </c>
      <c r="AE359" t="s">
        <v>228</v>
      </c>
      <c r="AF359" t="s">
        <v>231</v>
      </c>
      <c r="AI359">
        <v>13</v>
      </c>
      <c r="AJ359">
        <v>33</v>
      </c>
    </row>
    <row r="360" spans="1:36" x14ac:dyDescent="0.25">
      <c r="A360" t="s">
        <v>981</v>
      </c>
      <c r="B360">
        <v>358</v>
      </c>
      <c r="C360" t="s">
        <v>33</v>
      </c>
      <c r="D360">
        <v>2</v>
      </c>
      <c r="F360">
        <v>2</v>
      </c>
      <c r="G360" t="s">
        <v>34</v>
      </c>
      <c r="H360" t="s">
        <v>35</v>
      </c>
      <c r="K360" t="s">
        <v>227</v>
      </c>
      <c r="L360">
        <v>2</v>
      </c>
      <c r="M360">
        <v>1</v>
      </c>
      <c r="N360">
        <v>1</v>
      </c>
      <c r="O360" t="s">
        <v>228</v>
      </c>
      <c r="S360" t="s">
        <v>43</v>
      </c>
      <c r="T360">
        <v>1</v>
      </c>
      <c r="V360">
        <v>1</v>
      </c>
      <c r="W360" t="s">
        <v>73</v>
      </c>
      <c r="X360" t="s">
        <v>136</v>
      </c>
      <c r="Y360" t="s">
        <v>137</v>
      </c>
      <c r="AA360" t="s">
        <v>63</v>
      </c>
      <c r="AB360">
        <v>1</v>
      </c>
      <c r="AD360">
        <v>1</v>
      </c>
      <c r="AE360" t="s">
        <v>72</v>
      </c>
      <c r="AF360" t="s">
        <v>95</v>
      </c>
      <c r="AG360" t="s">
        <v>104</v>
      </c>
      <c r="AI360">
        <v>8</v>
      </c>
      <c r="AJ360">
        <v>24</v>
      </c>
    </row>
    <row r="361" spans="1:36" x14ac:dyDescent="0.25">
      <c r="A361" t="s">
        <v>982</v>
      </c>
      <c r="B361">
        <v>359</v>
      </c>
      <c r="C361" t="s">
        <v>43</v>
      </c>
      <c r="D361">
        <v>1</v>
      </c>
      <c r="F361">
        <v>2</v>
      </c>
      <c r="G361" t="s">
        <v>73</v>
      </c>
      <c r="H361" t="s">
        <v>136</v>
      </c>
      <c r="I361" t="s">
        <v>100</v>
      </c>
      <c r="K361" t="s">
        <v>38</v>
      </c>
      <c r="L361">
        <v>1</v>
      </c>
      <c r="M361">
        <v>1</v>
      </c>
      <c r="N361">
        <v>2</v>
      </c>
      <c r="O361" t="s">
        <v>67</v>
      </c>
      <c r="P361" t="s">
        <v>70</v>
      </c>
      <c r="S361" t="s">
        <v>33</v>
      </c>
      <c r="T361">
        <v>3</v>
      </c>
      <c r="V361">
        <v>1</v>
      </c>
      <c r="W361" t="s">
        <v>65</v>
      </c>
      <c r="X361" t="s">
        <v>66</v>
      </c>
      <c r="AA361" t="s">
        <v>227</v>
      </c>
      <c r="AB361">
        <v>1</v>
      </c>
      <c r="AC361">
        <v>1</v>
      </c>
      <c r="AD361">
        <v>1</v>
      </c>
      <c r="AE361" t="s">
        <v>228</v>
      </c>
      <c r="AF361" t="s">
        <v>231</v>
      </c>
      <c r="AG361" t="s">
        <v>235</v>
      </c>
      <c r="AI361">
        <v>10</v>
      </c>
      <c r="AJ361">
        <v>30</v>
      </c>
    </row>
    <row r="362" spans="1:36" x14ac:dyDescent="0.25">
      <c r="A362" t="s">
        <v>983</v>
      </c>
      <c r="B362">
        <v>360</v>
      </c>
      <c r="C362" t="s">
        <v>33</v>
      </c>
      <c r="D362">
        <v>3</v>
      </c>
      <c r="F362">
        <v>3</v>
      </c>
      <c r="G362" t="s">
        <v>34</v>
      </c>
      <c r="H362" t="s">
        <v>66</v>
      </c>
      <c r="I362" t="s">
        <v>131</v>
      </c>
      <c r="K362" t="s">
        <v>227</v>
      </c>
      <c r="L362">
        <v>1</v>
      </c>
      <c r="M362">
        <v>1</v>
      </c>
      <c r="N362">
        <v>1</v>
      </c>
      <c r="O362" t="s">
        <v>228</v>
      </c>
      <c r="S362" t="s">
        <v>45</v>
      </c>
      <c r="T362">
        <v>2</v>
      </c>
      <c r="V362">
        <v>1</v>
      </c>
      <c r="W362" t="s">
        <v>140</v>
      </c>
      <c r="AA362" t="s">
        <v>63</v>
      </c>
      <c r="AB362">
        <v>2</v>
      </c>
      <c r="AD362">
        <v>1</v>
      </c>
      <c r="AE362" t="s">
        <v>103</v>
      </c>
      <c r="AF362" t="s">
        <v>91</v>
      </c>
      <c r="AI362">
        <v>9</v>
      </c>
      <c r="AJ362">
        <v>36</v>
      </c>
    </row>
    <row r="363" spans="1:36" x14ac:dyDescent="0.25">
      <c r="A363" t="s">
        <v>984</v>
      </c>
      <c r="B363">
        <v>361</v>
      </c>
      <c r="C363" t="s">
        <v>45</v>
      </c>
      <c r="D363">
        <v>2</v>
      </c>
      <c r="F363">
        <v>1</v>
      </c>
      <c r="G363" t="s">
        <v>140</v>
      </c>
      <c r="K363" t="s">
        <v>38</v>
      </c>
      <c r="L363">
        <v>1</v>
      </c>
      <c r="M363">
        <v>1</v>
      </c>
      <c r="N363">
        <v>1</v>
      </c>
      <c r="O363" t="s">
        <v>152</v>
      </c>
      <c r="P363" t="s">
        <v>70</v>
      </c>
      <c r="S363" t="s">
        <v>33</v>
      </c>
      <c r="T363">
        <v>3</v>
      </c>
      <c r="V363">
        <v>2</v>
      </c>
      <c r="W363" t="s">
        <v>65</v>
      </c>
      <c r="AA363" t="s">
        <v>227</v>
      </c>
      <c r="AB363">
        <v>1</v>
      </c>
      <c r="AC363">
        <v>1</v>
      </c>
      <c r="AD363">
        <v>1</v>
      </c>
      <c r="AE363" t="s">
        <v>228</v>
      </c>
      <c r="AF363" t="s">
        <v>231</v>
      </c>
      <c r="AI363">
        <v>6</v>
      </c>
      <c r="AJ363">
        <v>18</v>
      </c>
    </row>
    <row r="364" spans="1:36" x14ac:dyDescent="0.25">
      <c r="A364" t="s">
        <v>985</v>
      </c>
      <c r="B364">
        <v>362</v>
      </c>
      <c r="C364" t="s">
        <v>33</v>
      </c>
      <c r="D364">
        <v>3</v>
      </c>
      <c r="F364">
        <v>3</v>
      </c>
      <c r="G364" t="s">
        <v>65</v>
      </c>
      <c r="K364" t="s">
        <v>227</v>
      </c>
      <c r="L364">
        <v>1</v>
      </c>
      <c r="M364">
        <v>1</v>
      </c>
      <c r="N364">
        <v>1</v>
      </c>
      <c r="O364" t="s">
        <v>228</v>
      </c>
      <c r="S364" t="s">
        <v>63</v>
      </c>
      <c r="T364">
        <v>3</v>
      </c>
      <c r="V364">
        <v>1</v>
      </c>
      <c r="W364" t="s">
        <v>72</v>
      </c>
      <c r="X364" t="s">
        <v>146</v>
      </c>
      <c r="Y364" t="s">
        <v>104</v>
      </c>
      <c r="AA364" t="s">
        <v>38</v>
      </c>
      <c r="AB364">
        <v>1</v>
      </c>
      <c r="AC364">
        <v>1</v>
      </c>
      <c r="AD364">
        <v>1</v>
      </c>
      <c r="AE364" t="s">
        <v>67</v>
      </c>
      <c r="AF364" t="s">
        <v>70</v>
      </c>
      <c r="AI364">
        <v>9</v>
      </c>
      <c r="AJ364">
        <v>28</v>
      </c>
    </row>
    <row r="365" spans="1:36" x14ac:dyDescent="0.25">
      <c r="A365" t="s">
        <v>986</v>
      </c>
      <c r="B365">
        <v>363</v>
      </c>
      <c r="C365" t="s">
        <v>63</v>
      </c>
      <c r="D365">
        <v>1</v>
      </c>
      <c r="F365">
        <v>1</v>
      </c>
      <c r="G365" t="s">
        <v>72</v>
      </c>
      <c r="H365" t="s">
        <v>95</v>
      </c>
      <c r="I365" t="s">
        <v>148</v>
      </c>
      <c r="J365" t="s">
        <v>150</v>
      </c>
      <c r="K365" t="s">
        <v>38</v>
      </c>
      <c r="L365">
        <v>1</v>
      </c>
      <c r="M365">
        <v>1</v>
      </c>
      <c r="N365">
        <v>2</v>
      </c>
      <c r="O365" t="s">
        <v>67</v>
      </c>
      <c r="S365" t="s">
        <v>43</v>
      </c>
      <c r="T365">
        <v>1</v>
      </c>
      <c r="V365">
        <v>1</v>
      </c>
      <c r="W365" t="s">
        <v>73</v>
      </c>
      <c r="X365" t="s">
        <v>74</v>
      </c>
      <c r="Y365" t="s">
        <v>100</v>
      </c>
      <c r="Z365" t="s">
        <v>101</v>
      </c>
      <c r="AA365" t="s">
        <v>45</v>
      </c>
      <c r="AB365">
        <v>3</v>
      </c>
      <c r="AD365">
        <v>2</v>
      </c>
      <c r="AE365" t="s">
        <v>140</v>
      </c>
      <c r="AI365">
        <v>10</v>
      </c>
      <c r="AJ365">
        <v>28</v>
      </c>
    </row>
    <row r="366" spans="1:36" x14ac:dyDescent="0.25">
      <c r="A366" t="s">
        <v>987</v>
      </c>
      <c r="B366">
        <v>364</v>
      </c>
      <c r="C366" t="s">
        <v>43</v>
      </c>
      <c r="D366">
        <v>1</v>
      </c>
      <c r="F366">
        <v>1</v>
      </c>
      <c r="G366" t="s">
        <v>73</v>
      </c>
      <c r="H366" t="s">
        <v>99</v>
      </c>
      <c r="I366" t="s">
        <v>137</v>
      </c>
      <c r="K366" t="s">
        <v>45</v>
      </c>
      <c r="L366">
        <v>2</v>
      </c>
      <c r="N366">
        <v>1</v>
      </c>
      <c r="O366" t="s">
        <v>140</v>
      </c>
      <c r="P366" t="s">
        <v>141</v>
      </c>
      <c r="S366" t="s">
        <v>63</v>
      </c>
      <c r="T366">
        <v>2</v>
      </c>
      <c r="V366">
        <v>1</v>
      </c>
      <c r="W366" t="s">
        <v>72</v>
      </c>
      <c r="X366" t="s">
        <v>91</v>
      </c>
      <c r="AA366" t="s">
        <v>227</v>
      </c>
      <c r="AB366">
        <v>1</v>
      </c>
      <c r="AC366">
        <v>1</v>
      </c>
      <c r="AD366">
        <v>2</v>
      </c>
      <c r="AE366" t="s">
        <v>228</v>
      </c>
      <c r="AI366">
        <v>7</v>
      </c>
      <c r="AJ366">
        <v>24</v>
      </c>
    </row>
    <row r="367" spans="1:36" x14ac:dyDescent="0.25">
      <c r="A367" t="s">
        <v>988</v>
      </c>
      <c r="B367">
        <v>365</v>
      </c>
      <c r="C367" t="s">
        <v>43</v>
      </c>
      <c r="D367">
        <v>1</v>
      </c>
      <c r="F367">
        <v>2</v>
      </c>
      <c r="G367" t="s">
        <v>73</v>
      </c>
      <c r="H367" t="s">
        <v>136</v>
      </c>
      <c r="K367" t="s">
        <v>45</v>
      </c>
      <c r="L367">
        <v>2</v>
      </c>
      <c r="N367">
        <v>1</v>
      </c>
      <c r="O367" t="s">
        <v>86</v>
      </c>
      <c r="S367" t="s">
        <v>38</v>
      </c>
      <c r="T367">
        <v>1</v>
      </c>
      <c r="U367">
        <v>1</v>
      </c>
      <c r="V367">
        <v>2</v>
      </c>
      <c r="W367" t="s">
        <v>67</v>
      </c>
      <c r="AA367" t="s">
        <v>227</v>
      </c>
      <c r="AB367">
        <v>1</v>
      </c>
      <c r="AC367">
        <v>1</v>
      </c>
      <c r="AD367">
        <v>2</v>
      </c>
      <c r="AE367" t="s">
        <v>228</v>
      </c>
      <c r="AI367">
        <v>5</v>
      </c>
      <c r="AJ367">
        <v>20</v>
      </c>
    </row>
    <row r="368" spans="1:36" x14ac:dyDescent="0.25">
      <c r="A368" t="s">
        <v>989</v>
      </c>
      <c r="B368">
        <v>366</v>
      </c>
      <c r="C368" t="s">
        <v>45</v>
      </c>
      <c r="D368">
        <v>3</v>
      </c>
      <c r="F368">
        <v>2</v>
      </c>
      <c r="G368" t="s">
        <v>86</v>
      </c>
      <c r="K368" t="s">
        <v>38</v>
      </c>
      <c r="L368">
        <v>1</v>
      </c>
      <c r="M368">
        <v>1</v>
      </c>
      <c r="N368">
        <v>1</v>
      </c>
      <c r="O368" t="s">
        <v>67</v>
      </c>
      <c r="P368" t="s">
        <v>96</v>
      </c>
      <c r="S368" t="s">
        <v>43</v>
      </c>
      <c r="T368">
        <v>1</v>
      </c>
      <c r="V368">
        <v>1</v>
      </c>
      <c r="W368" t="s">
        <v>73</v>
      </c>
      <c r="AA368" t="s">
        <v>63</v>
      </c>
      <c r="AB368">
        <v>2</v>
      </c>
      <c r="AD368">
        <v>1</v>
      </c>
      <c r="AE368" t="s">
        <v>72</v>
      </c>
      <c r="AF368" t="s">
        <v>91</v>
      </c>
      <c r="AI368">
        <v>6</v>
      </c>
      <c r="AJ368">
        <v>19</v>
      </c>
    </row>
    <row r="369" spans="1:36" x14ac:dyDescent="0.25">
      <c r="A369" t="s">
        <v>990</v>
      </c>
      <c r="B369">
        <v>367</v>
      </c>
      <c r="C369" t="s">
        <v>45</v>
      </c>
      <c r="D369">
        <v>3</v>
      </c>
      <c r="F369">
        <v>2</v>
      </c>
      <c r="G369" t="s">
        <v>140</v>
      </c>
      <c r="K369" t="s">
        <v>227</v>
      </c>
      <c r="L369">
        <v>1</v>
      </c>
      <c r="M369">
        <v>2</v>
      </c>
      <c r="N369">
        <v>1</v>
      </c>
      <c r="O369" t="s">
        <v>228</v>
      </c>
      <c r="P369" t="s">
        <v>231</v>
      </c>
      <c r="S369" t="s">
        <v>43</v>
      </c>
      <c r="T369">
        <v>1</v>
      </c>
      <c r="V369">
        <v>1</v>
      </c>
      <c r="W369" t="s">
        <v>73</v>
      </c>
      <c r="X369" t="s">
        <v>136</v>
      </c>
      <c r="Y369" t="s">
        <v>100</v>
      </c>
      <c r="AA369" t="s">
        <v>63</v>
      </c>
      <c r="AB369">
        <v>3</v>
      </c>
      <c r="AD369">
        <v>1</v>
      </c>
      <c r="AE369" t="s">
        <v>72</v>
      </c>
      <c r="AF369" t="s">
        <v>91</v>
      </c>
      <c r="AG369" t="s">
        <v>148</v>
      </c>
      <c r="AI369">
        <v>11</v>
      </c>
      <c r="AJ369">
        <v>31</v>
      </c>
    </row>
    <row r="370" spans="1:36" x14ac:dyDescent="0.25">
      <c r="A370" t="s">
        <v>991</v>
      </c>
      <c r="B370">
        <v>368</v>
      </c>
      <c r="C370" t="s">
        <v>38</v>
      </c>
      <c r="D370">
        <v>3</v>
      </c>
      <c r="E370">
        <v>1</v>
      </c>
      <c r="F370">
        <v>3</v>
      </c>
      <c r="G370" t="s">
        <v>67</v>
      </c>
      <c r="H370" t="s">
        <v>70</v>
      </c>
      <c r="K370" t="s">
        <v>227</v>
      </c>
      <c r="L370">
        <v>2</v>
      </c>
      <c r="M370">
        <v>1</v>
      </c>
      <c r="N370">
        <v>1</v>
      </c>
      <c r="O370" t="s">
        <v>228</v>
      </c>
      <c r="S370" t="s">
        <v>43</v>
      </c>
      <c r="T370">
        <v>3</v>
      </c>
      <c r="V370">
        <v>1</v>
      </c>
      <c r="W370" t="s">
        <v>73</v>
      </c>
      <c r="X370" t="s">
        <v>74</v>
      </c>
      <c r="Y370" t="s">
        <v>100</v>
      </c>
      <c r="Z370" t="s">
        <v>139</v>
      </c>
      <c r="AA370" t="s">
        <v>63</v>
      </c>
      <c r="AB370">
        <v>1</v>
      </c>
      <c r="AD370">
        <v>1</v>
      </c>
      <c r="AE370" t="s">
        <v>103</v>
      </c>
      <c r="AF370" t="s">
        <v>91</v>
      </c>
      <c r="AI370">
        <v>12</v>
      </c>
      <c r="AJ370">
        <v>37</v>
      </c>
    </row>
    <row r="371" spans="1:36" x14ac:dyDescent="0.25">
      <c r="A371" t="s">
        <v>992</v>
      </c>
      <c r="B371">
        <v>369</v>
      </c>
      <c r="C371" t="s">
        <v>43</v>
      </c>
      <c r="D371">
        <v>3</v>
      </c>
      <c r="F371">
        <v>2</v>
      </c>
      <c r="G371" t="s">
        <v>73</v>
      </c>
      <c r="H371" t="s">
        <v>74</v>
      </c>
      <c r="I371" t="s">
        <v>100</v>
      </c>
      <c r="J371" t="s">
        <v>101</v>
      </c>
      <c r="K371" t="s">
        <v>38</v>
      </c>
      <c r="L371">
        <v>1</v>
      </c>
      <c r="M371">
        <v>1</v>
      </c>
      <c r="N371">
        <v>2</v>
      </c>
      <c r="O371" t="s">
        <v>67</v>
      </c>
      <c r="S371" t="s">
        <v>45</v>
      </c>
      <c r="T371">
        <v>3</v>
      </c>
      <c r="V371">
        <v>1</v>
      </c>
      <c r="W371" t="s">
        <v>140</v>
      </c>
      <c r="AA371" t="s">
        <v>63</v>
      </c>
      <c r="AB371">
        <v>3</v>
      </c>
      <c r="AD371">
        <v>2</v>
      </c>
      <c r="AE371" t="s">
        <v>72</v>
      </c>
      <c r="AF371" t="s">
        <v>95</v>
      </c>
      <c r="AG371" t="s">
        <v>148</v>
      </c>
      <c r="AI371">
        <v>14</v>
      </c>
      <c r="AJ371">
        <v>35</v>
      </c>
    </row>
    <row r="372" spans="1:36" x14ac:dyDescent="0.25">
      <c r="A372" t="s">
        <v>993</v>
      </c>
      <c r="B372">
        <v>370</v>
      </c>
      <c r="C372" t="s">
        <v>43</v>
      </c>
      <c r="D372">
        <v>2</v>
      </c>
      <c r="F372">
        <v>1</v>
      </c>
      <c r="G372" t="s">
        <v>73</v>
      </c>
      <c r="H372" t="s">
        <v>99</v>
      </c>
      <c r="K372" t="s">
        <v>38</v>
      </c>
      <c r="L372">
        <v>1</v>
      </c>
      <c r="M372">
        <v>1</v>
      </c>
      <c r="N372">
        <v>2</v>
      </c>
      <c r="O372" t="s">
        <v>152</v>
      </c>
      <c r="P372" t="s">
        <v>70</v>
      </c>
      <c r="S372" t="s">
        <v>45</v>
      </c>
      <c r="T372">
        <v>3</v>
      </c>
      <c r="V372">
        <v>1</v>
      </c>
      <c r="W372" t="s">
        <v>140</v>
      </c>
      <c r="AA372" t="s">
        <v>227</v>
      </c>
      <c r="AB372">
        <v>1</v>
      </c>
      <c r="AC372">
        <v>1</v>
      </c>
      <c r="AD372">
        <v>1</v>
      </c>
      <c r="AE372" t="s">
        <v>228</v>
      </c>
      <c r="AI372">
        <v>6</v>
      </c>
      <c r="AJ372">
        <v>21</v>
      </c>
    </row>
    <row r="373" spans="1:36" x14ac:dyDescent="0.25">
      <c r="A373" t="s">
        <v>994</v>
      </c>
      <c r="B373">
        <v>371</v>
      </c>
      <c r="C373" t="s">
        <v>43</v>
      </c>
      <c r="D373">
        <v>3</v>
      </c>
      <c r="F373">
        <v>1</v>
      </c>
      <c r="G373" t="s">
        <v>73</v>
      </c>
      <c r="H373" t="s">
        <v>99</v>
      </c>
      <c r="K373" t="s">
        <v>38</v>
      </c>
      <c r="L373">
        <v>3</v>
      </c>
      <c r="M373">
        <v>2</v>
      </c>
      <c r="N373">
        <v>2</v>
      </c>
      <c r="O373" t="s">
        <v>152</v>
      </c>
      <c r="P373" t="s">
        <v>70</v>
      </c>
      <c r="Q373" t="s">
        <v>41</v>
      </c>
      <c r="R373" t="s">
        <v>42</v>
      </c>
      <c r="S373" t="s">
        <v>63</v>
      </c>
      <c r="T373">
        <v>3</v>
      </c>
      <c r="V373">
        <v>2</v>
      </c>
      <c r="W373" t="s">
        <v>72</v>
      </c>
      <c r="X373" t="s">
        <v>91</v>
      </c>
      <c r="Y373" t="s">
        <v>148</v>
      </c>
      <c r="Z373" t="s">
        <v>149</v>
      </c>
      <c r="AA373" t="s">
        <v>227</v>
      </c>
      <c r="AB373">
        <v>1</v>
      </c>
      <c r="AC373">
        <v>1</v>
      </c>
      <c r="AD373">
        <v>1</v>
      </c>
      <c r="AE373" t="s">
        <v>228</v>
      </c>
      <c r="AI373">
        <v>16</v>
      </c>
      <c r="AJ373">
        <v>34</v>
      </c>
    </row>
    <row r="374" spans="1:36" x14ac:dyDescent="0.25">
      <c r="A374" t="s">
        <v>995</v>
      </c>
      <c r="B374">
        <v>372</v>
      </c>
      <c r="C374" t="s">
        <v>45</v>
      </c>
      <c r="D374">
        <v>3</v>
      </c>
      <c r="F374">
        <v>1</v>
      </c>
      <c r="G374" t="s">
        <v>86</v>
      </c>
      <c r="K374" t="s">
        <v>63</v>
      </c>
      <c r="L374">
        <v>1</v>
      </c>
      <c r="N374">
        <v>1</v>
      </c>
      <c r="O374" t="s">
        <v>72</v>
      </c>
      <c r="P374" t="s">
        <v>95</v>
      </c>
      <c r="S374" t="s">
        <v>43</v>
      </c>
      <c r="T374">
        <v>2</v>
      </c>
      <c r="V374">
        <v>1</v>
      </c>
      <c r="W374" t="s">
        <v>73</v>
      </c>
      <c r="X374" t="s">
        <v>136</v>
      </c>
      <c r="AA374" t="s">
        <v>227</v>
      </c>
      <c r="AB374">
        <v>2</v>
      </c>
      <c r="AC374">
        <v>1</v>
      </c>
      <c r="AD374">
        <v>1</v>
      </c>
      <c r="AE374" t="s">
        <v>228</v>
      </c>
      <c r="AI374">
        <v>6</v>
      </c>
      <c r="AJ374">
        <v>17</v>
      </c>
    </row>
    <row r="375" spans="1:36" x14ac:dyDescent="0.25">
      <c r="A375" t="s">
        <v>996</v>
      </c>
      <c r="B375">
        <v>373</v>
      </c>
      <c r="C375" t="s">
        <v>45</v>
      </c>
      <c r="D375">
        <v>1</v>
      </c>
      <c r="F375">
        <v>1</v>
      </c>
      <c r="G375" t="s">
        <v>140</v>
      </c>
      <c r="K375" t="s">
        <v>38</v>
      </c>
      <c r="L375">
        <v>1</v>
      </c>
      <c r="M375">
        <v>1</v>
      </c>
      <c r="N375">
        <v>2</v>
      </c>
      <c r="O375" t="s">
        <v>67</v>
      </c>
      <c r="P375" t="s">
        <v>70</v>
      </c>
      <c r="S375" t="s">
        <v>43</v>
      </c>
      <c r="T375">
        <v>1</v>
      </c>
      <c r="V375">
        <v>1</v>
      </c>
      <c r="W375" t="s">
        <v>44</v>
      </c>
      <c r="X375" t="s">
        <v>136</v>
      </c>
      <c r="AA375" t="s">
        <v>227</v>
      </c>
      <c r="AB375">
        <v>1</v>
      </c>
      <c r="AC375">
        <v>1</v>
      </c>
      <c r="AD375">
        <v>1</v>
      </c>
      <c r="AE375" t="s">
        <v>228</v>
      </c>
      <c r="AI375">
        <v>3</v>
      </c>
      <c r="AJ375">
        <v>23</v>
      </c>
    </row>
    <row r="376" spans="1:36" x14ac:dyDescent="0.25">
      <c r="A376" t="s">
        <v>997</v>
      </c>
      <c r="B376">
        <v>374</v>
      </c>
      <c r="C376" t="s">
        <v>63</v>
      </c>
      <c r="D376">
        <v>1</v>
      </c>
      <c r="F376">
        <v>1</v>
      </c>
      <c r="G376" t="s">
        <v>72</v>
      </c>
      <c r="H376" t="s">
        <v>95</v>
      </c>
      <c r="K376" t="s">
        <v>38</v>
      </c>
      <c r="L376">
        <v>1</v>
      </c>
      <c r="M376">
        <v>1</v>
      </c>
      <c r="N376">
        <v>1</v>
      </c>
      <c r="O376" t="s">
        <v>67</v>
      </c>
      <c r="P376" t="s">
        <v>70</v>
      </c>
      <c r="S376" t="s">
        <v>43</v>
      </c>
      <c r="T376">
        <v>1</v>
      </c>
      <c r="V376">
        <v>1</v>
      </c>
      <c r="W376" t="s">
        <v>73</v>
      </c>
      <c r="X376" t="s">
        <v>74</v>
      </c>
      <c r="Y376" t="s">
        <v>75</v>
      </c>
      <c r="AA376" t="s">
        <v>227</v>
      </c>
      <c r="AB376">
        <v>2</v>
      </c>
      <c r="AC376">
        <v>1</v>
      </c>
      <c r="AD376">
        <v>1</v>
      </c>
      <c r="AE376" t="s">
        <v>228</v>
      </c>
      <c r="AF376" t="s">
        <v>231</v>
      </c>
      <c r="AI376">
        <v>7</v>
      </c>
      <c r="AJ376">
        <v>22</v>
      </c>
    </row>
    <row r="377" spans="1:36" x14ac:dyDescent="0.25">
      <c r="A377" t="s">
        <v>998</v>
      </c>
      <c r="B377">
        <v>375</v>
      </c>
      <c r="C377" t="s">
        <v>45</v>
      </c>
      <c r="D377">
        <v>1</v>
      </c>
      <c r="F377">
        <v>1</v>
      </c>
      <c r="G377" t="s">
        <v>140</v>
      </c>
      <c r="K377" t="s">
        <v>63</v>
      </c>
      <c r="L377">
        <v>2</v>
      </c>
      <c r="N377">
        <v>1</v>
      </c>
      <c r="O377" t="s">
        <v>103</v>
      </c>
      <c r="P377" t="s">
        <v>91</v>
      </c>
      <c r="Q377" t="s">
        <v>147</v>
      </c>
      <c r="S377" t="s">
        <v>38</v>
      </c>
      <c r="T377">
        <v>3</v>
      </c>
      <c r="U377">
        <v>2</v>
      </c>
      <c r="V377">
        <v>2</v>
      </c>
      <c r="W377" t="s">
        <v>67</v>
      </c>
      <c r="X377" t="s">
        <v>40</v>
      </c>
      <c r="AA377" t="s">
        <v>227</v>
      </c>
      <c r="AB377">
        <v>2</v>
      </c>
      <c r="AC377">
        <v>1</v>
      </c>
      <c r="AD377">
        <v>2</v>
      </c>
      <c r="AE377" t="s">
        <v>228</v>
      </c>
      <c r="AI377">
        <v>10</v>
      </c>
      <c r="AJ377">
        <v>35</v>
      </c>
    </row>
    <row r="378" spans="1:36" x14ac:dyDescent="0.25">
      <c r="A378" t="s">
        <v>999</v>
      </c>
      <c r="B378">
        <v>376</v>
      </c>
      <c r="C378" t="s">
        <v>45</v>
      </c>
      <c r="D378">
        <v>2</v>
      </c>
      <c r="F378">
        <v>1</v>
      </c>
      <c r="G378" t="s">
        <v>47</v>
      </c>
      <c r="K378" t="s">
        <v>38</v>
      </c>
      <c r="L378">
        <v>1</v>
      </c>
      <c r="M378">
        <v>1</v>
      </c>
      <c r="N378">
        <v>1</v>
      </c>
      <c r="O378" t="s">
        <v>152</v>
      </c>
      <c r="P378" t="s">
        <v>70</v>
      </c>
      <c r="Q378" t="s">
        <v>41</v>
      </c>
      <c r="R378" t="s">
        <v>42</v>
      </c>
      <c r="S378" t="s">
        <v>63</v>
      </c>
      <c r="T378">
        <v>2</v>
      </c>
      <c r="V378">
        <v>1</v>
      </c>
      <c r="W378" t="s">
        <v>72</v>
      </c>
      <c r="X378" t="s">
        <v>91</v>
      </c>
      <c r="AA378" t="s">
        <v>227</v>
      </c>
      <c r="AB378">
        <v>1</v>
      </c>
      <c r="AC378">
        <v>1</v>
      </c>
      <c r="AD378">
        <v>1</v>
      </c>
      <c r="AE378" t="s">
        <v>228</v>
      </c>
      <c r="AI378">
        <v>6</v>
      </c>
      <c r="AJ378">
        <v>19</v>
      </c>
    </row>
    <row r="379" spans="1:36" x14ac:dyDescent="0.25">
      <c r="A379" t="s">
        <v>1000</v>
      </c>
      <c r="B379">
        <v>377</v>
      </c>
      <c r="C379" t="s">
        <v>63</v>
      </c>
      <c r="D379">
        <v>1</v>
      </c>
      <c r="F379">
        <v>1</v>
      </c>
      <c r="G379" t="s">
        <v>72</v>
      </c>
      <c r="H379" t="s">
        <v>91</v>
      </c>
      <c r="K379" t="s">
        <v>38</v>
      </c>
      <c r="L379">
        <v>1</v>
      </c>
      <c r="M379">
        <v>1</v>
      </c>
      <c r="N379">
        <v>1</v>
      </c>
      <c r="O379" t="s">
        <v>67</v>
      </c>
      <c r="P379" t="s">
        <v>70</v>
      </c>
      <c r="S379" t="s">
        <v>45</v>
      </c>
      <c r="T379">
        <v>2</v>
      </c>
      <c r="V379">
        <v>2</v>
      </c>
      <c r="W379" t="s">
        <v>86</v>
      </c>
      <c r="AA379" t="s">
        <v>227</v>
      </c>
      <c r="AB379">
        <v>1</v>
      </c>
      <c r="AC379">
        <v>1</v>
      </c>
      <c r="AD379">
        <v>1</v>
      </c>
      <c r="AE379" t="s">
        <v>228</v>
      </c>
      <c r="AI379">
        <v>4</v>
      </c>
      <c r="AJ379">
        <v>23</v>
      </c>
    </row>
  </sheetData>
  <conditionalFormatting sqref="B1">
    <cfRule type="duplicateValues" dxfId="2034" priority="8"/>
  </conditionalFormatting>
  <conditionalFormatting sqref="B209:B378 B1 B380:B1048576">
    <cfRule type="duplicateValues" dxfId="2033" priority="6"/>
  </conditionalFormatting>
  <conditionalFormatting sqref="A209:B378 A380:B1048576">
    <cfRule type="duplicateValues" dxfId="2032" priority="2879"/>
  </conditionalFormatting>
  <conditionalFormatting sqref="C159:K159">
    <cfRule type="duplicateValues" dxfId="2031" priority="2"/>
  </conditionalFormatting>
  <conditionalFormatting sqref="A171:B208">
    <cfRule type="duplicateValues" dxfId="2030" priority="3"/>
  </conditionalFormatting>
  <conditionalFormatting sqref="B2:B379">
    <cfRule type="duplicateValues" dxfId="2029" priority="3219"/>
  </conditionalFormatting>
  <conditionalFormatting sqref="B379">
    <cfRule type="duplicateValues" dxfId="2028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380"/>
  <sheetViews>
    <sheetView topLeftCell="A10" workbookViewId="0">
      <selection activeCell="K17" sqref="K17:L1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3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9.5211640211640205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3" s="3">
        <f>IF(ScenarioTeams1[[#This Row],[battles]],ScenarioTeams1[[#This Row],[wins]]/ScenarioTeams1[[#This Row],[battles]],0)</f>
        <v>0.33333333333333331</v>
      </c>
      <c r="O3" s="4" t="s">
        <v>159</v>
      </c>
      <c r="P3" s="30">
        <f>MAX(Scenario1[crystals])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17</v>
      </c>
      <c r="M4" s="3">
        <f>IF(ScenarioTeams1[[#This Row],[battles]],ScenarioTeams1[[#This Row],[wins]]/ScenarioTeams1[[#This Row],[battles]],0)</f>
        <v>0.80952380952380953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15</v>
      </c>
      <c r="M5" s="3">
        <f>IF(ScenarioTeams1[[#This Row],[battles]],ScenarioTeams1[[#This Row],[wins]]/ScenarioTeams1[[#This Row],[battles]],0)</f>
        <v>0.7142857142857143</v>
      </c>
      <c r="O5" s="4" t="s">
        <v>158</v>
      </c>
      <c r="P5" s="30">
        <f>MIN(Scenario1[turns])</f>
        <v>15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6" s="3">
        <f>IF(ScenarioTeams1[[#This Row],[battles]],ScenarioTeams1[[#This Row],[wins]]/ScenarioTeams1[[#This Row],[battles]],0)</f>
        <v>0.42857142857142855</v>
      </c>
      <c r="O6" s="5" t="s">
        <v>108</v>
      </c>
      <c r="P6" s="31">
        <f>AVERAGE(Scenario1[turns])</f>
        <v>29.161375661375661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7" s="3">
        <f>IF(ScenarioTeams1[[#This Row],[battles]],ScenarioTeams1[[#This Row],[wins]]/ScenarioTeams1[[#This Row],[battles]],0)</f>
        <v>0.5714285714285714</v>
      </c>
      <c r="O7" s="5" t="s">
        <v>160</v>
      </c>
      <c r="P7" s="31">
        <f>MAX(Scenario1[turns])</f>
        <v>70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48</v>
      </c>
      <c r="E8" t="s">
        <v>227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8" s="3">
        <f>IF(ScenarioTeams1[[#This Row],[battles]],ScenarioTeams1[[#This Row],[wins]]/ScenarioTeams1[[#This Row],[battles]],0)</f>
        <v>0.23809523809523808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" t="s">
        <v>33</v>
      </c>
      <c r="E9" t="s">
        <v>43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17</v>
      </c>
      <c r="M9" s="3">
        <f>IF(ScenarioTeams1[[#This Row],[battles]],ScenarioTeams1[[#This Row],[wins]]/ScenarioTeams1[[#This Row],[battles]],0)</f>
        <v>0.80952380952380953</v>
      </c>
      <c r="O9" s="4" t="s">
        <v>185</v>
      </c>
      <c r="P9" s="30">
        <f>120000*$P$6/1000/60</f>
        <v>58.322751322751323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45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53</v>
      </c>
      <c r="J10" t="s">
        <v>227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2</v>
      </c>
      <c r="M10" s="3">
        <f>IF(ScenarioTeams1[[#This Row],[battles]],ScenarioTeams1[[#This Row],[wins]]/ScenarioTeams1[[#This Row],[battles]],0)</f>
        <v>9.5238095238095233E-2</v>
      </c>
      <c r="O10" s="5" t="s">
        <v>186</v>
      </c>
      <c r="P10" s="31">
        <f>P9*COUNTA(ScenarioStat1[hero-1])/60/24</f>
        <v>15.309722222222222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63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48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14</v>
      </c>
      <c r="M11" s="3">
        <f>IF(ScenarioTeams1[[#This Row],[battles]],ScenarioTeams1[[#This Row],[wins]]/ScenarioTeams1[[#This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33</v>
      </c>
      <c r="E12" t="s">
        <v>38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33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2" s="3">
        <f>IF(ScenarioTeams1[[#This Row],[battles]],ScenarioTeams1[[#This Row],[wins]]/ScenarioTeams1[[#This Row],[battles]],0)</f>
        <v>0.38095238095238093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33</v>
      </c>
      <c r="E13" t="s">
        <v>227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43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3" s="3">
        <f>IF(ScenarioTeams1[[#This Row],[battles]],ScenarioTeams1[[#This Row],[wins]]/ScenarioTeams1[[#This Row],[battles]],0)</f>
        <v>0.38095238095238093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45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45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14" s="3">
        <f>IF(ScenarioTeams1[[#This Row],[battles]],ScenarioTeams1[[#This Row],[wins]]/ScenarioTeams1[[#This Row],[battles]],0)</f>
        <v>0.52380952380952384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43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">
        <f>ScenarioStat1[[#This Row],[team-1-win]]+ScenarioStat1[[#This Row],[team-2-win]]</f>
        <v>1</v>
      </c>
      <c r="I15" t="s">
        <v>56</v>
      </c>
      <c r="J15" t="s">
        <v>63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5" s="3">
        <f>IF(ScenarioTeams1[[#This Row],[battles]],ScenarioTeams1[[#This Row],[wins]]/ScenarioTeams1[[#This Row],[battles]],0)</f>
        <v>0.23809523809523808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43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56</v>
      </c>
      <c r="J16" t="s">
        <v>38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16" s="3">
        <f>IF(ScenarioTeams1[[#This Row],[battles]],ScenarioTeams1[[#This Row],[wins]]/ScenarioTeams1[[#This Row],[battles]],0)</f>
        <v>0.52380952380952384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43</v>
      </c>
      <c r="E17" t="s">
        <v>227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56</v>
      </c>
      <c r="J17" t="s">
        <v>227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7" s="3">
        <f>IF(ScenarioTeams1[[#This Row],[battles]],ScenarioTeams1[[#This Row],[wins]]/ScenarioTeams1[[#This Row],[battles]],0)</f>
        <v>0.23809523809523808</v>
      </c>
    </row>
    <row r="18" spans="1:13" x14ac:dyDescent="0.25">
      <c r="A18" t="s">
        <v>53</v>
      </c>
      <c r="B18" t="s">
        <v>56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45</v>
      </c>
      <c r="E18" t="s">
        <v>63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33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14</v>
      </c>
      <c r="M18" s="3">
        <f>IF(ScenarioTeams1[[#This Row],[battles]],ScenarioTeams1[[#This Row],[wins]]/ScenarioTeams1[[#This Row],[battles]],0)</f>
        <v>0.66666666666666663</v>
      </c>
    </row>
    <row r="19" spans="1:13" x14ac:dyDescent="0.25">
      <c r="A19" t="s">
        <v>53</v>
      </c>
      <c r="B19" t="s">
        <v>56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45</v>
      </c>
      <c r="E19" t="s">
        <v>38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">
        <f>ScenarioStat1[[#This Row],[team-1-win]]+ScenarioStat1[[#This Row],[team-2-win]]</f>
        <v>1</v>
      </c>
      <c r="I19" t="s">
        <v>48</v>
      </c>
      <c r="J19" t="s">
        <v>43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19" s="3">
        <f>IF(ScenarioTeams1[[#This Row],[battles]],ScenarioTeams1[[#This Row],[wins]]/ScenarioTeams1[[#This Row],[battles]],0)</f>
        <v>0.52380952380952384</v>
      </c>
    </row>
    <row r="20" spans="1:13" x14ac:dyDescent="0.25">
      <c r="A20" t="s">
        <v>53</v>
      </c>
      <c r="B20" t="s">
        <v>56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45</v>
      </c>
      <c r="E20" t="s">
        <v>227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45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16</v>
      </c>
      <c r="M20" s="3">
        <f>IF(ScenarioTeams1[[#This Row],[battles]],ScenarioTeams1[[#This Row],[wins]]/ScenarioTeams1[[#This Row],[battles]],0)</f>
        <v>0.76190476190476186</v>
      </c>
    </row>
    <row r="21" spans="1:13" x14ac:dyDescent="0.25">
      <c r="A21" t="s">
        <v>53</v>
      </c>
      <c r="B21" t="s">
        <v>56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63</v>
      </c>
      <c r="E21" t="s">
        <v>38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48</v>
      </c>
      <c r="J21" t="s">
        <v>63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1" s="3">
        <f>IF(ScenarioTeams1[[#This Row],[battles]],ScenarioTeams1[[#This Row],[wins]]/ScenarioTeams1[[#This Row],[battles]],0)</f>
        <v>0.47619047619047616</v>
      </c>
    </row>
    <row r="22" spans="1:13" x14ac:dyDescent="0.25">
      <c r="A22" t="s">
        <v>53</v>
      </c>
      <c r="B22" t="s">
        <v>56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" t="s">
        <v>63</v>
      </c>
      <c r="E22" t="s">
        <v>227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1</v>
      </c>
      <c r="I22" t="s">
        <v>48</v>
      </c>
      <c r="J22" t="s">
        <v>38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18</v>
      </c>
      <c r="M22" s="3">
        <f>IF(ScenarioTeams1[[#This Row],[battles]],ScenarioTeams1[[#This Row],[wins]]/ScenarioTeams1[[#This Row],[battles]],0)</f>
        <v>0.8571428571428571</v>
      </c>
    </row>
    <row r="23" spans="1:13" x14ac:dyDescent="0.25">
      <c r="A23" t="s">
        <v>53</v>
      </c>
      <c r="B23" t="s">
        <v>56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38</v>
      </c>
      <c r="E23" t="s">
        <v>227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48</v>
      </c>
      <c r="J23" t="s">
        <v>227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3" s="3">
        <f>IF(ScenarioTeams1[[#This Row],[battles]],ScenarioTeams1[[#This Row],[wins]]/ScenarioTeams1[[#This Row],[battles]],0)</f>
        <v>0.38095238095238093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56</v>
      </c>
      <c r="E24" t="s">
        <v>33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43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4" s="3">
        <f>IF(ScenarioTeams1[[#This Row],[battles]],ScenarioTeams1[[#This Row],[wins]]/ScenarioTeams1[[#This Row],[battles]],0)</f>
        <v>0.5714285714285714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56</v>
      </c>
      <c r="E25" t="s">
        <v>43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33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25" s="3">
        <f>IF(ScenarioTeams1[[#This Row],[battles]],ScenarioTeams1[[#This Row],[wins]]/ScenarioTeams1[[#This Row],[battles]],0)</f>
        <v>0.61904761904761907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56</v>
      </c>
      <c r="E26" t="s">
        <v>45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33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6" s="3">
        <f>IF(ScenarioTeams1[[#This Row],[battles]],ScenarioTeams1[[#This Row],[wins]]/ScenarioTeams1[[#This Row],[battles]],0)</f>
        <v>0.47619047619047616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56</v>
      </c>
      <c r="E27" t="s">
        <v>63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33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16</v>
      </c>
      <c r="M27" s="3">
        <f>IF(ScenarioTeams1[[#This Row],[battles]],ScenarioTeams1[[#This Row],[wins]]/ScenarioTeams1[[#This Row],[battles]],0)</f>
        <v>0.76190476190476186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56</v>
      </c>
      <c r="E28" t="s">
        <v>38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33</v>
      </c>
      <c r="J28" t="s">
        <v>227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8" s="3">
        <f>IF(ScenarioTeams1[[#This Row],[battles]],ScenarioTeams1[[#This Row],[wins]]/ScenarioTeams1[[#This Row],[battles]],0)</f>
        <v>0.52380952380952384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56</v>
      </c>
      <c r="E29" t="s">
        <v>227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43</v>
      </c>
      <c r="J29" t="s">
        <v>45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9" s="3">
        <f>IF(ScenarioTeams1[[#This Row],[battles]],ScenarioTeams1[[#This Row],[wins]]/ScenarioTeams1[[#This Row],[battles]],0)</f>
        <v>0.42857142857142855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33</v>
      </c>
      <c r="E30" t="s">
        <v>43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43</v>
      </c>
      <c r="J30" t="s">
        <v>63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30" s="3">
        <f>IF(ScenarioTeams1[[#This Row],[battles]],ScenarioTeams1[[#This Row],[wins]]/ScenarioTeams1[[#This Row],[battles]],0)</f>
        <v>0.19047619047619047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33</v>
      </c>
      <c r="E31" t="s">
        <v>45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  <c r="I31" t="s">
        <v>43</v>
      </c>
      <c r="J31" t="s">
        <v>38</v>
      </c>
      <c r="K3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17</v>
      </c>
      <c r="M31" s="3">
        <f>IF(ScenarioTeams1[[#This Row],[battles]],ScenarioTeams1[[#This Row],[wins]]/ScenarioTeams1[[#This Row],[battles]],0)</f>
        <v>0.80952380952380953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33</v>
      </c>
      <c r="E32" t="s">
        <v>63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  <c r="I32" t="s">
        <v>43</v>
      </c>
      <c r="J32" t="s">
        <v>227</v>
      </c>
      <c r="K3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32" s="3">
        <f>IF(ScenarioTeams1[[#This Row],[battles]],ScenarioTeams1[[#This Row],[wins]]/ScenarioTeams1[[#This Row],[battles]],0)</f>
        <v>0.33333333333333331</v>
      </c>
    </row>
    <row r="33" spans="1:13" x14ac:dyDescent="0.25">
      <c r="A33" t="s">
        <v>53</v>
      </c>
      <c r="B33" t="s">
        <v>48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33</v>
      </c>
      <c r="E33" t="s">
        <v>38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">
        <f>ScenarioStat1[[#This Row],[team-1-win]]+ScenarioStat1[[#This Row],[team-2-win]]</f>
        <v>1</v>
      </c>
      <c r="I33" t="s">
        <v>45</v>
      </c>
      <c r="J33" t="s">
        <v>63</v>
      </c>
      <c r="K3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33" s="3">
        <f>IF(ScenarioTeams1[[#This Row],[battles]],ScenarioTeams1[[#This Row],[wins]]/ScenarioTeams1[[#This Row],[battles]],0)</f>
        <v>0.52380952380952384</v>
      </c>
    </row>
    <row r="34" spans="1:13" x14ac:dyDescent="0.25">
      <c r="A34" t="s">
        <v>53</v>
      </c>
      <c r="B34" t="s">
        <v>48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33</v>
      </c>
      <c r="E34" t="s">
        <v>227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">
        <f>ScenarioStat1[[#This Row],[team-1-win]]+ScenarioStat1[[#This Row],[team-2-win]]</f>
        <v>1</v>
      </c>
      <c r="I34" t="s">
        <v>45</v>
      </c>
      <c r="J34" t="s">
        <v>38</v>
      </c>
      <c r="K3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16</v>
      </c>
      <c r="M34" s="3">
        <f>IF(ScenarioTeams1[[#This Row],[battles]],ScenarioTeams1[[#This Row],[wins]]/ScenarioTeams1[[#This Row],[battles]],0)</f>
        <v>0.76190476190476186</v>
      </c>
    </row>
    <row r="35" spans="1:13" x14ac:dyDescent="0.25">
      <c r="A35" t="s">
        <v>53</v>
      </c>
      <c r="B35" t="s">
        <v>48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43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  <c r="I35" t="s">
        <v>45</v>
      </c>
      <c r="J35" t="s">
        <v>227</v>
      </c>
      <c r="K3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5" s="3">
        <f>IF(ScenarioTeams1[[#This Row],[battles]],ScenarioTeams1[[#This Row],[wins]]/ScenarioTeams1[[#This Row],[battles]],0)</f>
        <v>0.42857142857142855</v>
      </c>
    </row>
    <row r="36" spans="1:13" x14ac:dyDescent="0.25">
      <c r="A36" t="s">
        <v>53</v>
      </c>
      <c r="B36" t="s">
        <v>48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43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  <c r="I36" t="s">
        <v>63</v>
      </c>
      <c r="J36" t="s">
        <v>38</v>
      </c>
      <c r="K3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36" s="3">
        <f>IF(ScenarioTeams1[[#This Row],[battles]],ScenarioTeams1[[#This Row],[wins]]/ScenarioTeams1[[#This Row],[battles]],0)</f>
        <v>0.47619047619047616</v>
      </c>
    </row>
    <row r="37" spans="1:13" x14ac:dyDescent="0.25">
      <c r="A37" t="s">
        <v>53</v>
      </c>
      <c r="B37" t="s">
        <v>48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43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  <c r="I37" t="s">
        <v>38</v>
      </c>
      <c r="J37" t="s">
        <v>227</v>
      </c>
      <c r="K3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21</v>
      </c>
      <c r="L3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7" s="3">
        <f>IF(ScenarioTeams1[[#This Row],[battles]],ScenarioTeams1[[#This Row],[wins]]/ScenarioTeams1[[#This Row],[battles]],0)</f>
        <v>0.42857142857142855</v>
      </c>
    </row>
    <row r="38" spans="1:13" x14ac:dyDescent="0.25">
      <c r="A38" t="s">
        <v>53</v>
      </c>
      <c r="B38" t="s">
        <v>48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43</v>
      </c>
      <c r="E38" t="s">
        <v>227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13" x14ac:dyDescent="0.25">
      <c r="A39" t="s">
        <v>53</v>
      </c>
      <c r="B39" t="s">
        <v>48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45</v>
      </c>
      <c r="E39" t="s">
        <v>63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</row>
    <row r="40" spans="1:13" x14ac:dyDescent="0.25">
      <c r="A40" t="s">
        <v>53</v>
      </c>
      <c r="B40" t="s">
        <v>48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45</v>
      </c>
      <c r="E40" t="s">
        <v>38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13" x14ac:dyDescent="0.25">
      <c r="A41" t="s">
        <v>53</v>
      </c>
      <c r="B41" t="s">
        <v>48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45</v>
      </c>
      <c r="E41" t="s">
        <v>227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13" x14ac:dyDescent="0.25">
      <c r="A42" t="s">
        <v>53</v>
      </c>
      <c r="B42" t="s">
        <v>48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2" t="s">
        <v>63</v>
      </c>
      <c r="E42" t="s">
        <v>38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1</v>
      </c>
    </row>
    <row r="43" spans="1:13" x14ac:dyDescent="0.25">
      <c r="A43" t="s">
        <v>53</v>
      </c>
      <c r="B43" t="s">
        <v>48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63</v>
      </c>
      <c r="E43" t="s">
        <v>227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13" x14ac:dyDescent="0.25">
      <c r="A44" t="s">
        <v>53</v>
      </c>
      <c r="B44" t="s">
        <v>48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38</v>
      </c>
      <c r="E44" t="s">
        <v>227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13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56</v>
      </c>
      <c r="E45" t="s">
        <v>48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13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56</v>
      </c>
      <c r="E46" t="s">
        <v>43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</row>
    <row r="47" spans="1:13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56</v>
      </c>
      <c r="E47" t="s">
        <v>45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7">
        <f>ScenarioStat1[[#This Row],[team-1-win]]+ScenarioStat1[[#This Row],[team-2-win]]</f>
        <v>1</v>
      </c>
    </row>
    <row r="48" spans="1:13" x14ac:dyDescent="0.25">
      <c r="A48" t="s">
        <v>53</v>
      </c>
      <c r="B48" t="s">
        <v>33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63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33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38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33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0" t="s">
        <v>56</v>
      </c>
      <c r="E50" t="s">
        <v>227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33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48</v>
      </c>
      <c r="E51" t="s">
        <v>43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33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48</v>
      </c>
      <c r="E52" t="s">
        <v>45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33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63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33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38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33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5" t="s">
        <v>48</v>
      </c>
      <c r="E55" t="s">
        <v>227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33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6" t="s">
        <v>43</v>
      </c>
      <c r="E56" t="s">
        <v>45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33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43</v>
      </c>
      <c r="E57" t="s">
        <v>63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33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43</v>
      </c>
      <c r="E58" t="s">
        <v>38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33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43</v>
      </c>
      <c r="E59" t="s">
        <v>227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33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33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33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45</v>
      </c>
      <c r="E62" t="s">
        <v>227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33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63</v>
      </c>
      <c r="E63" t="s">
        <v>38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33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63</v>
      </c>
      <c r="E64" t="s">
        <v>227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33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38</v>
      </c>
      <c r="E65" t="s">
        <v>227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43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48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43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33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43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56</v>
      </c>
      <c r="E68" t="s">
        <v>45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43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56</v>
      </c>
      <c r="E69" t="s">
        <v>63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43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56</v>
      </c>
      <c r="E70" t="s">
        <v>38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43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56</v>
      </c>
      <c r="E71" t="s">
        <v>227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43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48</v>
      </c>
      <c r="E72" t="s">
        <v>33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43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48</v>
      </c>
      <c r="E73" t="s">
        <v>45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43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48</v>
      </c>
      <c r="E74" t="s">
        <v>63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43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48</v>
      </c>
      <c r="E75" t="s">
        <v>38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43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48</v>
      </c>
      <c r="E76" t="s">
        <v>227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43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33</v>
      </c>
      <c r="E77" t="s">
        <v>45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43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33</v>
      </c>
      <c r="E78" t="s">
        <v>63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43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33</v>
      </c>
      <c r="E79" t="s">
        <v>38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43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33</v>
      </c>
      <c r="E80" t="s">
        <v>227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43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45</v>
      </c>
      <c r="E81" t="s">
        <v>63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43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45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43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45</v>
      </c>
      <c r="E83" t="s">
        <v>227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43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63</v>
      </c>
      <c r="E84" t="s">
        <v>38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43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63</v>
      </c>
      <c r="E85" t="s">
        <v>227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43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38</v>
      </c>
      <c r="E86" t="s">
        <v>227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45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56</v>
      </c>
      <c r="E87" t="s">
        <v>48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45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8" t="s">
        <v>56</v>
      </c>
      <c r="E88" t="s">
        <v>33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45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9" t="s">
        <v>56</v>
      </c>
      <c r="E89" t="s">
        <v>43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45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56</v>
      </c>
      <c r="E90" t="s">
        <v>63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45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56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45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56</v>
      </c>
      <c r="E92" t="s">
        <v>227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45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48</v>
      </c>
      <c r="E93" t="s">
        <v>33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45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48</v>
      </c>
      <c r="E94" t="s">
        <v>43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45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48</v>
      </c>
      <c r="E95" t="s">
        <v>63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45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48</v>
      </c>
      <c r="E96" t="s">
        <v>38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45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48</v>
      </c>
      <c r="E97" t="s">
        <v>227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45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33</v>
      </c>
      <c r="E98" t="s">
        <v>43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45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33</v>
      </c>
      <c r="E99" t="s">
        <v>63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45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33</v>
      </c>
      <c r="E100" t="s">
        <v>38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45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33</v>
      </c>
      <c r="E101" t="s">
        <v>227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45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43</v>
      </c>
      <c r="E102" t="s">
        <v>63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45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43</v>
      </c>
      <c r="E103" t="s">
        <v>38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45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4" t="s">
        <v>43</v>
      </c>
      <c r="E104" t="s">
        <v>227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45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63</v>
      </c>
      <c r="E105" t="s">
        <v>38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45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63</v>
      </c>
      <c r="E106" t="s">
        <v>227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45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38</v>
      </c>
      <c r="E107" t="s">
        <v>227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7">
        <f>ScenarioStat1[[#This Row],[team-1-win]]+ScenarioStat1[[#This Row],[team-2-win]]</f>
        <v>1</v>
      </c>
    </row>
    <row r="108" spans="1:7" x14ac:dyDescent="0.25">
      <c r="A108" t="s">
        <v>53</v>
      </c>
      <c r="B108" t="s">
        <v>63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56</v>
      </c>
      <c r="E108" t="s">
        <v>48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53</v>
      </c>
      <c r="B109" t="s">
        <v>63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56</v>
      </c>
      <c r="E109" t="s">
        <v>33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53</v>
      </c>
      <c r="B110" t="s">
        <v>63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56</v>
      </c>
      <c r="E110" t="s">
        <v>43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53</v>
      </c>
      <c r="B111" t="s">
        <v>63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56</v>
      </c>
      <c r="E111" t="s">
        <v>45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53</v>
      </c>
      <c r="B112" t="s">
        <v>63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56</v>
      </c>
      <c r="E112" t="s">
        <v>38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53</v>
      </c>
      <c r="B113" t="s">
        <v>63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56</v>
      </c>
      <c r="E113" t="s">
        <v>227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53</v>
      </c>
      <c r="B114" t="s">
        <v>63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48</v>
      </c>
      <c r="E114" t="s">
        <v>33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4">
        <f>ScenarioStat1[[#This Row],[team-1-win]]+ScenarioStat1[[#This Row],[team-2-win]]</f>
        <v>1</v>
      </c>
    </row>
    <row r="115" spans="1:7" x14ac:dyDescent="0.25">
      <c r="A115" t="s">
        <v>53</v>
      </c>
      <c r="B115" t="s">
        <v>63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48</v>
      </c>
      <c r="E115" t="s">
        <v>43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53</v>
      </c>
      <c r="B116" t="s">
        <v>63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48</v>
      </c>
      <c r="E116" t="s">
        <v>45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25">
      <c r="A117" t="s">
        <v>53</v>
      </c>
      <c r="B117" t="s">
        <v>63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48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53</v>
      </c>
      <c r="B118" t="s">
        <v>63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227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53</v>
      </c>
      <c r="B119" t="s">
        <v>63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33</v>
      </c>
      <c r="E119" t="s">
        <v>43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53</v>
      </c>
      <c r="B120" t="s">
        <v>63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33</v>
      </c>
      <c r="E120" t="s">
        <v>45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53</v>
      </c>
      <c r="B121" t="s">
        <v>63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33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53</v>
      </c>
      <c r="B122" t="s">
        <v>63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33</v>
      </c>
      <c r="E122" t="s">
        <v>227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53</v>
      </c>
      <c r="B123" t="s">
        <v>63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45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53</v>
      </c>
      <c r="B124" t="s">
        <v>63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53</v>
      </c>
      <c r="B125" t="s">
        <v>63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43</v>
      </c>
      <c r="E125" t="s">
        <v>227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53</v>
      </c>
      <c r="B126" t="s">
        <v>63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1</v>
      </c>
    </row>
    <row r="127" spans="1:7" x14ac:dyDescent="0.25">
      <c r="A127" t="s">
        <v>53</v>
      </c>
      <c r="B127" t="s">
        <v>63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45</v>
      </c>
      <c r="E127" t="s">
        <v>227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53</v>
      </c>
      <c r="B128" t="s">
        <v>63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8" t="s">
        <v>38</v>
      </c>
      <c r="E128" t="s">
        <v>227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1</v>
      </c>
    </row>
    <row r="129" spans="1:7" x14ac:dyDescent="0.25">
      <c r="A129" t="s">
        <v>53</v>
      </c>
      <c r="B129" t="s">
        <v>38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56</v>
      </c>
      <c r="E129" t="s">
        <v>48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53</v>
      </c>
      <c r="B130" t="s">
        <v>38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56</v>
      </c>
      <c r="E130" t="s">
        <v>33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53</v>
      </c>
      <c r="B131" t="s">
        <v>38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56</v>
      </c>
      <c r="E131" t="s">
        <v>43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1">
        <f>ScenarioStat1[[#This Row],[team-1-win]]+ScenarioStat1[[#This Row],[team-2-win]]</f>
        <v>1</v>
      </c>
    </row>
    <row r="132" spans="1:7" x14ac:dyDescent="0.25">
      <c r="A132" t="s">
        <v>53</v>
      </c>
      <c r="B132" t="s">
        <v>38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2" t="s">
        <v>56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1</v>
      </c>
    </row>
    <row r="133" spans="1:7" x14ac:dyDescent="0.25">
      <c r="A133" t="s">
        <v>53</v>
      </c>
      <c r="B133" t="s">
        <v>38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56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53</v>
      </c>
      <c r="B134" t="s">
        <v>38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56</v>
      </c>
      <c r="E134" t="s">
        <v>227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53</v>
      </c>
      <c r="B135" t="s">
        <v>38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48</v>
      </c>
      <c r="E135" t="s">
        <v>33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53</v>
      </c>
      <c r="B136" t="s">
        <v>38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6" t="s">
        <v>48</v>
      </c>
      <c r="E136" t="s">
        <v>43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1</v>
      </c>
    </row>
    <row r="137" spans="1:7" x14ac:dyDescent="0.25">
      <c r="A137" t="s">
        <v>53</v>
      </c>
      <c r="B137" t="s">
        <v>38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7" t="s">
        <v>48</v>
      </c>
      <c r="E137" t="s">
        <v>45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1</v>
      </c>
    </row>
    <row r="138" spans="1:7" x14ac:dyDescent="0.25">
      <c r="A138" t="s">
        <v>53</v>
      </c>
      <c r="B138" t="s">
        <v>38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63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8">
        <f>ScenarioStat1[[#This Row],[team-1-win]]+ScenarioStat1[[#This Row],[team-2-win]]</f>
        <v>1</v>
      </c>
    </row>
    <row r="139" spans="1:7" x14ac:dyDescent="0.25">
      <c r="A139" t="s">
        <v>53</v>
      </c>
      <c r="B139" t="s">
        <v>38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227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53</v>
      </c>
      <c r="B140" t="s">
        <v>38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33</v>
      </c>
      <c r="E140" t="s">
        <v>43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53</v>
      </c>
      <c r="B141" t="s">
        <v>38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1" t="s">
        <v>33</v>
      </c>
      <c r="E141" t="s">
        <v>45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1</v>
      </c>
    </row>
    <row r="142" spans="1:7" x14ac:dyDescent="0.25">
      <c r="A142" t="s">
        <v>53</v>
      </c>
      <c r="B142" t="s">
        <v>38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63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53</v>
      </c>
      <c r="B143" t="s">
        <v>38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227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53</v>
      </c>
      <c r="B144" t="s">
        <v>38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43</v>
      </c>
      <c r="E144" t="s">
        <v>45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53</v>
      </c>
      <c r="B145" t="s">
        <v>38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53</v>
      </c>
      <c r="B146" t="s">
        <v>38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227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53</v>
      </c>
      <c r="B147" t="s">
        <v>38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45</v>
      </c>
      <c r="E147" t="s">
        <v>63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25">
      <c r="A148" t="s">
        <v>53</v>
      </c>
      <c r="B148" t="s">
        <v>38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8" t="s">
        <v>45</v>
      </c>
      <c r="E148" t="s">
        <v>227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1</v>
      </c>
    </row>
    <row r="149" spans="1:7" x14ac:dyDescent="0.25">
      <c r="A149" t="s">
        <v>53</v>
      </c>
      <c r="B149" t="s">
        <v>38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9" t="s">
        <v>63</v>
      </c>
      <c r="E149" t="s">
        <v>227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1</v>
      </c>
    </row>
    <row r="150" spans="1:7" x14ac:dyDescent="0.25">
      <c r="A150" t="s">
        <v>53</v>
      </c>
      <c r="B150" t="s">
        <v>227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56</v>
      </c>
      <c r="E150" t="s">
        <v>48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53</v>
      </c>
      <c r="B151" t="s">
        <v>227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56</v>
      </c>
      <c r="E151" t="s">
        <v>33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53</v>
      </c>
      <c r="B152" t="s">
        <v>227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56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53</v>
      </c>
      <c r="B153" t="s">
        <v>227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3" t="s">
        <v>56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1</v>
      </c>
    </row>
    <row r="154" spans="1:7" x14ac:dyDescent="0.25">
      <c r="A154" t="s">
        <v>53</v>
      </c>
      <c r="B154" t="s">
        <v>227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56</v>
      </c>
      <c r="E154" t="s">
        <v>63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53</v>
      </c>
      <c r="B155" t="s">
        <v>227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56</v>
      </c>
      <c r="E155" t="s">
        <v>38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5">
        <f>ScenarioStat1[[#This Row],[team-1-win]]+ScenarioStat1[[#This Row],[team-2-win]]</f>
        <v>1</v>
      </c>
    </row>
    <row r="156" spans="1:7" x14ac:dyDescent="0.25">
      <c r="A156" t="s">
        <v>53</v>
      </c>
      <c r="B156" t="s">
        <v>227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48</v>
      </c>
      <c r="E156" t="s">
        <v>33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53</v>
      </c>
      <c r="B157" t="s">
        <v>227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48</v>
      </c>
      <c r="E157" t="s">
        <v>43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53</v>
      </c>
      <c r="B158" t="s">
        <v>227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45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8">
        <f>ScenarioStat1[[#This Row],[team-1-win]]+ScenarioStat1[[#This Row],[team-2-win]]</f>
        <v>1</v>
      </c>
    </row>
    <row r="159" spans="1:7" x14ac:dyDescent="0.25">
      <c r="A159" t="s">
        <v>53</v>
      </c>
      <c r="B159" t="s">
        <v>227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63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53</v>
      </c>
      <c r="B160" t="s">
        <v>227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38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53</v>
      </c>
      <c r="B161" t="s">
        <v>227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33</v>
      </c>
      <c r="E161" t="s">
        <v>43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53</v>
      </c>
      <c r="B162" t="s">
        <v>227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45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53</v>
      </c>
      <c r="B163" t="s">
        <v>227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63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53</v>
      </c>
      <c r="B164" t="s">
        <v>227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38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53</v>
      </c>
      <c r="B165" t="s">
        <v>227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5">
        <f>ScenarioStat1[[#This Row],[team-1-win]]+ScenarioStat1[[#This Row],[team-2-win]]</f>
        <v>1</v>
      </c>
    </row>
    <row r="166" spans="1:7" x14ac:dyDescent="0.25">
      <c r="A166" t="s">
        <v>53</v>
      </c>
      <c r="B166" t="s">
        <v>227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6">
        <f>ScenarioStat1[[#This Row],[team-1-win]]+ScenarioStat1[[#This Row],[team-2-win]]</f>
        <v>1</v>
      </c>
    </row>
    <row r="167" spans="1:7" x14ac:dyDescent="0.25">
      <c r="A167" t="s">
        <v>53</v>
      </c>
      <c r="B167" t="s">
        <v>227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43</v>
      </c>
      <c r="E167" t="s">
        <v>38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7">
        <f>ScenarioStat1[[#This Row],[team-1-win]]+ScenarioStat1[[#This Row],[team-2-win]]</f>
        <v>1</v>
      </c>
    </row>
    <row r="168" spans="1:7" x14ac:dyDescent="0.25">
      <c r="A168" t="s">
        <v>53</v>
      </c>
      <c r="B168" t="s">
        <v>227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45</v>
      </c>
      <c r="E168" t="s">
        <v>63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53</v>
      </c>
      <c r="B169" t="s">
        <v>227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45</v>
      </c>
      <c r="E169" t="s">
        <v>38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53</v>
      </c>
      <c r="B170" t="s">
        <v>227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63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0">
        <f>ScenarioStat1[[#This Row],[team-1-win]]+ScenarioStat1[[#This Row],[team-2-win]]</f>
        <v>1</v>
      </c>
    </row>
    <row r="171" spans="1:7" x14ac:dyDescent="0.25">
      <c r="A171" t="s">
        <v>56</v>
      </c>
      <c r="B171" t="s">
        <v>48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33</v>
      </c>
      <c r="E171" t="s">
        <v>43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56</v>
      </c>
      <c r="B172" t="s">
        <v>48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2" t="s">
        <v>33</v>
      </c>
      <c r="E172" t="s">
        <v>45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1</v>
      </c>
    </row>
    <row r="173" spans="1:7" x14ac:dyDescent="0.25">
      <c r="A173" t="s">
        <v>56</v>
      </c>
      <c r="B173" t="s">
        <v>48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33</v>
      </c>
      <c r="E173" t="s">
        <v>63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56</v>
      </c>
      <c r="B174" t="s">
        <v>48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38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56</v>
      </c>
      <c r="B175" t="s">
        <v>48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227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56</v>
      </c>
      <c r="B176" t="s">
        <v>48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43</v>
      </c>
      <c r="E176" t="s">
        <v>45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25">
      <c r="A177" t="s">
        <v>56</v>
      </c>
      <c r="B177" t="s">
        <v>48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7" t="s">
        <v>43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1</v>
      </c>
    </row>
    <row r="178" spans="1:7" x14ac:dyDescent="0.25">
      <c r="A178" t="s">
        <v>56</v>
      </c>
      <c r="B178" t="s">
        <v>48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43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56</v>
      </c>
      <c r="B179" t="s">
        <v>48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43</v>
      </c>
      <c r="E179" t="s">
        <v>227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56</v>
      </c>
      <c r="B180" t="s">
        <v>48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45</v>
      </c>
      <c r="E180" t="s">
        <v>63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56</v>
      </c>
      <c r="B181" t="s">
        <v>48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45</v>
      </c>
      <c r="E181" t="s">
        <v>38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25">
      <c r="A182" t="s">
        <v>56</v>
      </c>
      <c r="B182" t="s">
        <v>48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45</v>
      </c>
      <c r="E182" t="s">
        <v>227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56</v>
      </c>
      <c r="B183" t="s">
        <v>48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63</v>
      </c>
      <c r="E183" t="s">
        <v>38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56</v>
      </c>
      <c r="B184" t="s">
        <v>48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4" t="s">
        <v>63</v>
      </c>
      <c r="E184" t="s">
        <v>227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1</v>
      </c>
    </row>
    <row r="185" spans="1:7" x14ac:dyDescent="0.25">
      <c r="A185" t="s">
        <v>56</v>
      </c>
      <c r="B185" t="s">
        <v>48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5" t="s">
        <v>38</v>
      </c>
      <c r="E185" t="s">
        <v>227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1</v>
      </c>
    </row>
    <row r="186" spans="1:7" x14ac:dyDescent="0.25">
      <c r="A186" t="s">
        <v>56</v>
      </c>
      <c r="B186" t="s">
        <v>33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48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25">
      <c r="A187" t="s">
        <v>56</v>
      </c>
      <c r="B187" t="s">
        <v>33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48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56</v>
      </c>
      <c r="B188" t="s">
        <v>33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48</v>
      </c>
      <c r="E188" t="s">
        <v>63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56</v>
      </c>
      <c r="B189" t="s">
        <v>33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9" t="s">
        <v>48</v>
      </c>
      <c r="E189" t="s">
        <v>38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1</v>
      </c>
    </row>
    <row r="190" spans="1:7" x14ac:dyDescent="0.25">
      <c r="A190" t="s">
        <v>56</v>
      </c>
      <c r="B190" t="s">
        <v>33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0" t="s">
        <v>48</v>
      </c>
      <c r="E190" t="s">
        <v>227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1</v>
      </c>
    </row>
    <row r="191" spans="1:7" x14ac:dyDescent="0.25">
      <c r="A191" t="s">
        <v>56</v>
      </c>
      <c r="B191" t="s">
        <v>33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43</v>
      </c>
      <c r="E191" t="s">
        <v>45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56</v>
      </c>
      <c r="B192" t="s">
        <v>33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2" t="s">
        <v>43</v>
      </c>
      <c r="E192" t="s">
        <v>63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1</v>
      </c>
    </row>
    <row r="193" spans="1:7" x14ac:dyDescent="0.25">
      <c r="A193" t="s">
        <v>56</v>
      </c>
      <c r="B193" t="s">
        <v>33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43</v>
      </c>
      <c r="E193" t="s">
        <v>38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3">
        <f>ScenarioStat1[[#This Row],[team-1-win]]+ScenarioStat1[[#This Row],[team-2-win]]</f>
        <v>1</v>
      </c>
    </row>
    <row r="194" spans="1:7" x14ac:dyDescent="0.25">
      <c r="A194" t="s">
        <v>56</v>
      </c>
      <c r="B194" t="s">
        <v>33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43</v>
      </c>
      <c r="E194" t="s">
        <v>227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56</v>
      </c>
      <c r="B195" t="s">
        <v>33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45</v>
      </c>
      <c r="E195" t="s">
        <v>63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5">
        <f>ScenarioStat1[[#This Row],[team-1-win]]+ScenarioStat1[[#This Row],[team-2-win]]</f>
        <v>1</v>
      </c>
    </row>
    <row r="196" spans="1:7" x14ac:dyDescent="0.25">
      <c r="A196" t="s">
        <v>56</v>
      </c>
      <c r="B196" t="s">
        <v>33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45</v>
      </c>
      <c r="E196" t="s">
        <v>38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25">
      <c r="A197" t="s">
        <v>56</v>
      </c>
      <c r="B197" t="s">
        <v>33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227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25">
      <c r="A198" t="s">
        <v>56</v>
      </c>
      <c r="B198" t="s">
        <v>33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8" t="s">
        <v>63</v>
      </c>
      <c r="E198" t="s">
        <v>38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1</v>
      </c>
    </row>
    <row r="199" spans="1:7" x14ac:dyDescent="0.25">
      <c r="A199" t="s">
        <v>56</v>
      </c>
      <c r="B199" t="s">
        <v>33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9" t="s">
        <v>63</v>
      </c>
      <c r="E199" t="s">
        <v>227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1</v>
      </c>
    </row>
    <row r="200" spans="1:7" x14ac:dyDescent="0.25">
      <c r="A200" t="s">
        <v>56</v>
      </c>
      <c r="B200" t="s">
        <v>33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38</v>
      </c>
      <c r="E200" t="s">
        <v>227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56</v>
      </c>
      <c r="B201" t="s">
        <v>43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48</v>
      </c>
      <c r="E201" t="s">
        <v>33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56</v>
      </c>
      <c r="B202" t="s">
        <v>43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48</v>
      </c>
      <c r="E202" t="s">
        <v>45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56</v>
      </c>
      <c r="B203" t="s">
        <v>43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48</v>
      </c>
      <c r="E203" t="s">
        <v>63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25">
      <c r="A204" t="s">
        <v>56</v>
      </c>
      <c r="B204" t="s">
        <v>43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48</v>
      </c>
      <c r="E204" t="s">
        <v>38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25">
      <c r="A205" t="s">
        <v>56</v>
      </c>
      <c r="B205" t="s">
        <v>43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5" t="s">
        <v>48</v>
      </c>
      <c r="E205" t="s">
        <v>227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1</v>
      </c>
    </row>
    <row r="206" spans="1:7" x14ac:dyDescent="0.25">
      <c r="A206" t="s">
        <v>56</v>
      </c>
      <c r="B206" t="s">
        <v>43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33</v>
      </c>
      <c r="E206" t="s">
        <v>45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56</v>
      </c>
      <c r="B207" t="s">
        <v>43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33</v>
      </c>
      <c r="E207" t="s">
        <v>63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56</v>
      </c>
      <c r="B208" t="s">
        <v>43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33</v>
      </c>
      <c r="E208" t="s">
        <v>38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56</v>
      </c>
      <c r="B209" t="s">
        <v>43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33</v>
      </c>
      <c r="E209" t="s">
        <v>227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25">
      <c r="A210" t="s">
        <v>56</v>
      </c>
      <c r="B210" t="s">
        <v>43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45</v>
      </c>
      <c r="E210" t="s">
        <v>63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56</v>
      </c>
      <c r="B211" t="s">
        <v>43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56</v>
      </c>
      <c r="B212" t="s">
        <v>43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227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  <row r="213" spans="1:7" x14ac:dyDescent="0.25">
      <c r="A213" t="s">
        <v>56</v>
      </c>
      <c r="B213" t="s">
        <v>43</v>
      </c>
      <c r="C2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3" t="s">
        <v>63</v>
      </c>
      <c r="E213" t="s">
        <v>38</v>
      </c>
      <c r="F2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3">
        <f>ScenarioStat1[[#This Row],[team-1-win]]+ScenarioStat1[[#This Row],[team-2-win]]</f>
        <v>1</v>
      </c>
    </row>
    <row r="214" spans="1:7" x14ac:dyDescent="0.25">
      <c r="A214" t="s">
        <v>56</v>
      </c>
      <c r="B214" t="s">
        <v>43</v>
      </c>
      <c r="C2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4" t="s">
        <v>63</v>
      </c>
      <c r="E214" t="s">
        <v>227</v>
      </c>
      <c r="F2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4">
        <f>ScenarioStat1[[#This Row],[team-1-win]]+ScenarioStat1[[#This Row],[team-2-win]]</f>
        <v>1</v>
      </c>
    </row>
    <row r="215" spans="1:7" x14ac:dyDescent="0.25">
      <c r="A215" t="s">
        <v>56</v>
      </c>
      <c r="B215" t="s">
        <v>43</v>
      </c>
      <c r="C2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5" t="s">
        <v>38</v>
      </c>
      <c r="E215" t="s">
        <v>227</v>
      </c>
      <c r="F2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5">
        <f>ScenarioStat1[[#This Row],[team-1-win]]+ScenarioStat1[[#This Row],[team-2-win]]</f>
        <v>1</v>
      </c>
    </row>
    <row r="216" spans="1:7" x14ac:dyDescent="0.25">
      <c r="A216" t="s">
        <v>56</v>
      </c>
      <c r="B216" t="s">
        <v>45</v>
      </c>
      <c r="C2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6" t="s">
        <v>48</v>
      </c>
      <c r="E216" t="s">
        <v>33</v>
      </c>
      <c r="F2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6">
        <f>ScenarioStat1[[#This Row],[team-1-win]]+ScenarioStat1[[#This Row],[team-2-win]]</f>
        <v>1</v>
      </c>
    </row>
    <row r="217" spans="1:7" x14ac:dyDescent="0.25">
      <c r="A217" t="s">
        <v>56</v>
      </c>
      <c r="B217" t="s">
        <v>45</v>
      </c>
      <c r="C2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7" t="s">
        <v>48</v>
      </c>
      <c r="E217" t="s">
        <v>43</v>
      </c>
      <c r="F2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7">
        <f>ScenarioStat1[[#This Row],[team-1-win]]+ScenarioStat1[[#This Row],[team-2-win]]</f>
        <v>1</v>
      </c>
    </row>
    <row r="218" spans="1:7" x14ac:dyDescent="0.25">
      <c r="A218" t="s">
        <v>56</v>
      </c>
      <c r="B218" t="s">
        <v>45</v>
      </c>
      <c r="C2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8" t="s">
        <v>48</v>
      </c>
      <c r="E218" t="s">
        <v>63</v>
      </c>
      <c r="F2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8">
        <f>ScenarioStat1[[#This Row],[team-1-win]]+ScenarioStat1[[#This Row],[team-2-win]]</f>
        <v>1</v>
      </c>
    </row>
    <row r="219" spans="1:7" x14ac:dyDescent="0.25">
      <c r="A219" t="s">
        <v>56</v>
      </c>
      <c r="B219" t="s">
        <v>45</v>
      </c>
      <c r="C2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9" t="s">
        <v>48</v>
      </c>
      <c r="E219" t="s">
        <v>38</v>
      </c>
      <c r="F2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9">
        <f>ScenarioStat1[[#This Row],[team-1-win]]+ScenarioStat1[[#This Row],[team-2-win]]</f>
        <v>1</v>
      </c>
    </row>
    <row r="220" spans="1:7" x14ac:dyDescent="0.25">
      <c r="A220" t="s">
        <v>56</v>
      </c>
      <c r="B220" t="s">
        <v>45</v>
      </c>
      <c r="C2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0" t="s">
        <v>48</v>
      </c>
      <c r="E220" t="s">
        <v>227</v>
      </c>
      <c r="F2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0">
        <f>ScenarioStat1[[#This Row],[team-1-win]]+ScenarioStat1[[#This Row],[team-2-win]]</f>
        <v>1</v>
      </c>
    </row>
    <row r="221" spans="1:7" x14ac:dyDescent="0.25">
      <c r="A221" t="s">
        <v>56</v>
      </c>
      <c r="B221" t="s">
        <v>45</v>
      </c>
      <c r="C2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1" t="s">
        <v>33</v>
      </c>
      <c r="E221" t="s">
        <v>43</v>
      </c>
      <c r="F2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1">
        <f>ScenarioStat1[[#This Row],[team-1-win]]+ScenarioStat1[[#This Row],[team-2-win]]</f>
        <v>1</v>
      </c>
    </row>
    <row r="222" spans="1:7" x14ac:dyDescent="0.25">
      <c r="A222" t="s">
        <v>56</v>
      </c>
      <c r="B222" t="s">
        <v>45</v>
      </c>
      <c r="C2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2" t="s">
        <v>33</v>
      </c>
      <c r="E222" t="s">
        <v>63</v>
      </c>
      <c r="F2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2">
        <f>ScenarioStat1[[#This Row],[team-1-win]]+ScenarioStat1[[#This Row],[team-2-win]]</f>
        <v>1</v>
      </c>
    </row>
    <row r="223" spans="1:7" x14ac:dyDescent="0.25">
      <c r="A223" t="s">
        <v>56</v>
      </c>
      <c r="B223" t="s">
        <v>45</v>
      </c>
      <c r="C2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3" t="s">
        <v>33</v>
      </c>
      <c r="E223" t="s">
        <v>38</v>
      </c>
      <c r="F2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3">
        <f>ScenarioStat1[[#This Row],[team-1-win]]+ScenarioStat1[[#This Row],[team-2-win]]</f>
        <v>1</v>
      </c>
    </row>
    <row r="224" spans="1:7" x14ac:dyDescent="0.25">
      <c r="A224" t="s">
        <v>56</v>
      </c>
      <c r="B224" t="s">
        <v>45</v>
      </c>
      <c r="C2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4" t="s">
        <v>33</v>
      </c>
      <c r="E224" t="s">
        <v>227</v>
      </c>
      <c r="F2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4">
        <f>ScenarioStat1[[#This Row],[team-1-win]]+ScenarioStat1[[#This Row],[team-2-win]]</f>
        <v>1</v>
      </c>
    </row>
    <row r="225" spans="1:7" x14ac:dyDescent="0.25">
      <c r="A225" t="s">
        <v>56</v>
      </c>
      <c r="B225" t="s">
        <v>45</v>
      </c>
      <c r="C2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5" t="s">
        <v>43</v>
      </c>
      <c r="E225" t="s">
        <v>63</v>
      </c>
      <c r="F2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5">
        <f>ScenarioStat1[[#This Row],[team-1-win]]+ScenarioStat1[[#This Row],[team-2-win]]</f>
        <v>1</v>
      </c>
    </row>
    <row r="226" spans="1:7" x14ac:dyDescent="0.25">
      <c r="A226" t="s">
        <v>56</v>
      </c>
      <c r="B226" t="s">
        <v>45</v>
      </c>
      <c r="C2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6" t="s">
        <v>43</v>
      </c>
      <c r="E226" t="s">
        <v>38</v>
      </c>
      <c r="F2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6">
        <f>ScenarioStat1[[#This Row],[team-1-win]]+ScenarioStat1[[#This Row],[team-2-win]]</f>
        <v>1</v>
      </c>
    </row>
    <row r="227" spans="1:7" x14ac:dyDescent="0.25">
      <c r="A227" t="s">
        <v>56</v>
      </c>
      <c r="B227" t="s">
        <v>45</v>
      </c>
      <c r="C2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7" t="s">
        <v>43</v>
      </c>
      <c r="E227" t="s">
        <v>227</v>
      </c>
      <c r="F2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7">
        <f>ScenarioStat1[[#This Row],[team-1-win]]+ScenarioStat1[[#This Row],[team-2-win]]</f>
        <v>1</v>
      </c>
    </row>
    <row r="228" spans="1:7" x14ac:dyDescent="0.25">
      <c r="A228" t="s">
        <v>56</v>
      </c>
      <c r="B228" t="s">
        <v>45</v>
      </c>
      <c r="C2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8" t="s">
        <v>63</v>
      </c>
      <c r="E228" t="s">
        <v>38</v>
      </c>
      <c r="F2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8">
        <f>ScenarioStat1[[#This Row],[team-1-win]]+ScenarioStat1[[#This Row],[team-2-win]]</f>
        <v>1</v>
      </c>
    </row>
    <row r="229" spans="1:7" x14ac:dyDescent="0.25">
      <c r="A229" t="s">
        <v>56</v>
      </c>
      <c r="B229" t="s">
        <v>45</v>
      </c>
      <c r="C2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9" t="s">
        <v>63</v>
      </c>
      <c r="E229" t="s">
        <v>227</v>
      </c>
      <c r="F2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9">
        <f>ScenarioStat1[[#This Row],[team-1-win]]+ScenarioStat1[[#This Row],[team-2-win]]</f>
        <v>1</v>
      </c>
    </row>
    <row r="230" spans="1:7" x14ac:dyDescent="0.25">
      <c r="A230" t="s">
        <v>56</v>
      </c>
      <c r="B230" t="s">
        <v>45</v>
      </c>
      <c r="C2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0" t="s">
        <v>38</v>
      </c>
      <c r="E230" t="s">
        <v>227</v>
      </c>
      <c r="F2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0">
        <f>ScenarioStat1[[#This Row],[team-1-win]]+ScenarioStat1[[#This Row],[team-2-win]]</f>
        <v>1</v>
      </c>
    </row>
    <row r="231" spans="1:7" x14ac:dyDescent="0.25">
      <c r="A231" t="s">
        <v>56</v>
      </c>
      <c r="B231" t="s">
        <v>63</v>
      </c>
      <c r="C2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1" t="s">
        <v>48</v>
      </c>
      <c r="E231" t="s">
        <v>33</v>
      </c>
      <c r="F2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1">
        <f>ScenarioStat1[[#This Row],[team-1-win]]+ScenarioStat1[[#This Row],[team-2-win]]</f>
        <v>1</v>
      </c>
    </row>
    <row r="232" spans="1:7" x14ac:dyDescent="0.25">
      <c r="A232" t="s">
        <v>56</v>
      </c>
      <c r="B232" t="s">
        <v>63</v>
      </c>
      <c r="C2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2" t="s">
        <v>48</v>
      </c>
      <c r="E232" t="s">
        <v>43</v>
      </c>
      <c r="F2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2">
        <f>ScenarioStat1[[#This Row],[team-1-win]]+ScenarioStat1[[#This Row],[team-2-win]]</f>
        <v>1</v>
      </c>
    </row>
    <row r="233" spans="1:7" x14ac:dyDescent="0.25">
      <c r="A233" t="s">
        <v>56</v>
      </c>
      <c r="B233" t="s">
        <v>63</v>
      </c>
      <c r="C2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3" t="s">
        <v>48</v>
      </c>
      <c r="E233" t="s">
        <v>45</v>
      </c>
      <c r="F2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3">
        <f>ScenarioStat1[[#This Row],[team-1-win]]+ScenarioStat1[[#This Row],[team-2-win]]</f>
        <v>1</v>
      </c>
    </row>
    <row r="234" spans="1:7" x14ac:dyDescent="0.25">
      <c r="A234" t="s">
        <v>56</v>
      </c>
      <c r="B234" t="s">
        <v>63</v>
      </c>
      <c r="C2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4" t="s">
        <v>48</v>
      </c>
      <c r="E234" t="s">
        <v>38</v>
      </c>
      <c r="F2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4">
        <f>ScenarioStat1[[#This Row],[team-1-win]]+ScenarioStat1[[#This Row],[team-2-win]]</f>
        <v>1</v>
      </c>
    </row>
    <row r="235" spans="1:7" x14ac:dyDescent="0.25">
      <c r="A235" t="s">
        <v>56</v>
      </c>
      <c r="B235" t="s">
        <v>63</v>
      </c>
      <c r="C2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5" t="s">
        <v>48</v>
      </c>
      <c r="E235" t="s">
        <v>227</v>
      </c>
      <c r="F2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5">
        <f>ScenarioStat1[[#This Row],[team-1-win]]+ScenarioStat1[[#This Row],[team-2-win]]</f>
        <v>1</v>
      </c>
    </row>
    <row r="236" spans="1:7" x14ac:dyDescent="0.25">
      <c r="A236" t="s">
        <v>56</v>
      </c>
      <c r="B236" t="s">
        <v>63</v>
      </c>
      <c r="C2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6" t="s">
        <v>33</v>
      </c>
      <c r="E236" t="s">
        <v>43</v>
      </c>
      <c r="F2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6">
        <f>ScenarioStat1[[#This Row],[team-1-win]]+ScenarioStat1[[#This Row],[team-2-win]]</f>
        <v>1</v>
      </c>
    </row>
    <row r="237" spans="1:7" x14ac:dyDescent="0.25">
      <c r="A237" t="s">
        <v>56</v>
      </c>
      <c r="B237" t="s">
        <v>63</v>
      </c>
      <c r="C2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7" t="s">
        <v>33</v>
      </c>
      <c r="E237" t="s">
        <v>45</v>
      </c>
      <c r="F2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7">
        <f>ScenarioStat1[[#This Row],[team-1-win]]+ScenarioStat1[[#This Row],[team-2-win]]</f>
        <v>1</v>
      </c>
    </row>
    <row r="238" spans="1:7" x14ac:dyDescent="0.25">
      <c r="A238" t="s">
        <v>56</v>
      </c>
      <c r="B238" t="s">
        <v>63</v>
      </c>
      <c r="C2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8" t="s">
        <v>33</v>
      </c>
      <c r="E238" t="s">
        <v>38</v>
      </c>
      <c r="F2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8">
        <f>ScenarioStat1[[#This Row],[team-1-win]]+ScenarioStat1[[#This Row],[team-2-win]]</f>
        <v>1</v>
      </c>
    </row>
    <row r="239" spans="1:7" x14ac:dyDescent="0.25">
      <c r="A239" t="s">
        <v>56</v>
      </c>
      <c r="B239" t="s">
        <v>63</v>
      </c>
      <c r="C2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9" t="s">
        <v>33</v>
      </c>
      <c r="E239" t="s">
        <v>227</v>
      </c>
      <c r="F2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9">
        <f>ScenarioStat1[[#This Row],[team-1-win]]+ScenarioStat1[[#This Row],[team-2-win]]</f>
        <v>1</v>
      </c>
    </row>
    <row r="240" spans="1:7" x14ac:dyDescent="0.25">
      <c r="A240" t="s">
        <v>56</v>
      </c>
      <c r="B240" t="s">
        <v>63</v>
      </c>
      <c r="C2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0" t="s">
        <v>43</v>
      </c>
      <c r="E240" t="s">
        <v>45</v>
      </c>
      <c r="F2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0">
        <f>ScenarioStat1[[#This Row],[team-1-win]]+ScenarioStat1[[#This Row],[team-2-win]]</f>
        <v>1</v>
      </c>
    </row>
    <row r="241" spans="1:7" x14ac:dyDescent="0.25">
      <c r="A241" t="s">
        <v>56</v>
      </c>
      <c r="B241" t="s">
        <v>63</v>
      </c>
      <c r="C2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1" t="s">
        <v>43</v>
      </c>
      <c r="E241" t="s">
        <v>38</v>
      </c>
      <c r="F2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1">
        <f>ScenarioStat1[[#This Row],[team-1-win]]+ScenarioStat1[[#This Row],[team-2-win]]</f>
        <v>1</v>
      </c>
    </row>
    <row r="242" spans="1:7" x14ac:dyDescent="0.25">
      <c r="A242" t="s">
        <v>56</v>
      </c>
      <c r="B242" t="s">
        <v>63</v>
      </c>
      <c r="C2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2" t="s">
        <v>43</v>
      </c>
      <c r="E242" t="s">
        <v>227</v>
      </c>
      <c r="F2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2">
        <f>ScenarioStat1[[#This Row],[team-1-win]]+ScenarioStat1[[#This Row],[team-2-win]]</f>
        <v>1</v>
      </c>
    </row>
    <row r="243" spans="1:7" x14ac:dyDescent="0.25">
      <c r="A243" t="s">
        <v>56</v>
      </c>
      <c r="B243" t="s">
        <v>63</v>
      </c>
      <c r="C2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3" t="s">
        <v>45</v>
      </c>
      <c r="E243" t="s">
        <v>38</v>
      </c>
      <c r="F2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3">
        <f>ScenarioStat1[[#This Row],[team-1-win]]+ScenarioStat1[[#This Row],[team-2-win]]</f>
        <v>1</v>
      </c>
    </row>
    <row r="244" spans="1:7" x14ac:dyDescent="0.25">
      <c r="A244" t="s">
        <v>56</v>
      </c>
      <c r="B244" t="s">
        <v>63</v>
      </c>
      <c r="C2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4" t="s">
        <v>45</v>
      </c>
      <c r="E244" t="s">
        <v>227</v>
      </c>
      <c r="F2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4">
        <f>ScenarioStat1[[#This Row],[team-1-win]]+ScenarioStat1[[#This Row],[team-2-win]]</f>
        <v>1</v>
      </c>
    </row>
    <row r="245" spans="1:7" x14ac:dyDescent="0.25">
      <c r="A245" t="s">
        <v>56</v>
      </c>
      <c r="B245" t="s">
        <v>63</v>
      </c>
      <c r="C2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5" t="s">
        <v>38</v>
      </c>
      <c r="E245" t="s">
        <v>227</v>
      </c>
      <c r="F2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5">
        <f>ScenarioStat1[[#This Row],[team-1-win]]+ScenarioStat1[[#This Row],[team-2-win]]</f>
        <v>1</v>
      </c>
    </row>
    <row r="246" spans="1:7" x14ac:dyDescent="0.25">
      <c r="A246" t="s">
        <v>56</v>
      </c>
      <c r="B246" t="s">
        <v>38</v>
      </c>
      <c r="C2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6" t="s">
        <v>48</v>
      </c>
      <c r="E246" t="s">
        <v>33</v>
      </c>
      <c r="F2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6">
        <f>ScenarioStat1[[#This Row],[team-1-win]]+ScenarioStat1[[#This Row],[team-2-win]]</f>
        <v>1</v>
      </c>
    </row>
    <row r="247" spans="1:7" x14ac:dyDescent="0.25">
      <c r="A247" t="s">
        <v>56</v>
      </c>
      <c r="B247" t="s">
        <v>38</v>
      </c>
      <c r="C2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7" t="s">
        <v>48</v>
      </c>
      <c r="E247" t="s">
        <v>43</v>
      </c>
      <c r="F2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7">
        <f>ScenarioStat1[[#This Row],[team-1-win]]+ScenarioStat1[[#This Row],[team-2-win]]</f>
        <v>1</v>
      </c>
    </row>
    <row r="248" spans="1:7" x14ac:dyDescent="0.25">
      <c r="A248" t="s">
        <v>56</v>
      </c>
      <c r="B248" t="s">
        <v>38</v>
      </c>
      <c r="C2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8" t="s">
        <v>48</v>
      </c>
      <c r="E248" t="s">
        <v>45</v>
      </c>
      <c r="F2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8">
        <f>ScenarioStat1[[#This Row],[team-1-win]]+ScenarioStat1[[#This Row],[team-2-win]]</f>
        <v>1</v>
      </c>
    </row>
    <row r="249" spans="1:7" x14ac:dyDescent="0.25">
      <c r="A249" t="s">
        <v>56</v>
      </c>
      <c r="B249" t="s">
        <v>38</v>
      </c>
      <c r="C2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9" t="s">
        <v>48</v>
      </c>
      <c r="E249" t="s">
        <v>63</v>
      </c>
      <c r="F2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9">
        <f>ScenarioStat1[[#This Row],[team-1-win]]+ScenarioStat1[[#This Row],[team-2-win]]</f>
        <v>1</v>
      </c>
    </row>
    <row r="250" spans="1:7" x14ac:dyDescent="0.25">
      <c r="A250" t="s">
        <v>56</v>
      </c>
      <c r="B250" t="s">
        <v>38</v>
      </c>
      <c r="C2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0" t="s">
        <v>48</v>
      </c>
      <c r="E250" t="s">
        <v>227</v>
      </c>
      <c r="F2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0">
        <f>ScenarioStat1[[#This Row],[team-1-win]]+ScenarioStat1[[#This Row],[team-2-win]]</f>
        <v>1</v>
      </c>
    </row>
    <row r="251" spans="1:7" x14ac:dyDescent="0.25">
      <c r="A251" t="s">
        <v>56</v>
      </c>
      <c r="B251" t="s">
        <v>38</v>
      </c>
      <c r="C2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1" t="s">
        <v>33</v>
      </c>
      <c r="E251" t="s">
        <v>43</v>
      </c>
      <c r="F2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1">
        <f>ScenarioStat1[[#This Row],[team-1-win]]+ScenarioStat1[[#This Row],[team-2-win]]</f>
        <v>1</v>
      </c>
    </row>
    <row r="252" spans="1:7" x14ac:dyDescent="0.25">
      <c r="A252" t="s">
        <v>56</v>
      </c>
      <c r="B252" t="s">
        <v>38</v>
      </c>
      <c r="C2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2" t="s">
        <v>33</v>
      </c>
      <c r="E252" t="s">
        <v>45</v>
      </c>
      <c r="F2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2">
        <f>ScenarioStat1[[#This Row],[team-1-win]]+ScenarioStat1[[#This Row],[team-2-win]]</f>
        <v>1</v>
      </c>
    </row>
    <row r="253" spans="1:7" x14ac:dyDescent="0.25">
      <c r="A253" t="s">
        <v>56</v>
      </c>
      <c r="B253" t="s">
        <v>38</v>
      </c>
      <c r="C2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3" t="s">
        <v>33</v>
      </c>
      <c r="E253" t="s">
        <v>63</v>
      </c>
      <c r="F2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3">
        <f>ScenarioStat1[[#This Row],[team-1-win]]+ScenarioStat1[[#This Row],[team-2-win]]</f>
        <v>1</v>
      </c>
    </row>
    <row r="254" spans="1:7" x14ac:dyDescent="0.25">
      <c r="A254" t="s">
        <v>56</v>
      </c>
      <c r="B254" t="s">
        <v>38</v>
      </c>
      <c r="C2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4" t="s">
        <v>33</v>
      </c>
      <c r="E254" t="s">
        <v>227</v>
      </c>
      <c r="F2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4">
        <f>ScenarioStat1[[#This Row],[team-1-win]]+ScenarioStat1[[#This Row],[team-2-win]]</f>
        <v>1</v>
      </c>
    </row>
    <row r="255" spans="1:7" x14ac:dyDescent="0.25">
      <c r="A255" t="s">
        <v>56</v>
      </c>
      <c r="B255" t="s">
        <v>38</v>
      </c>
      <c r="C2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5" t="s">
        <v>43</v>
      </c>
      <c r="E255" t="s">
        <v>45</v>
      </c>
      <c r="F2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5">
        <f>ScenarioStat1[[#This Row],[team-1-win]]+ScenarioStat1[[#This Row],[team-2-win]]</f>
        <v>1</v>
      </c>
    </row>
    <row r="256" spans="1:7" x14ac:dyDescent="0.25">
      <c r="A256" t="s">
        <v>56</v>
      </c>
      <c r="B256" t="s">
        <v>38</v>
      </c>
      <c r="C2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6" t="s">
        <v>43</v>
      </c>
      <c r="E256" t="s">
        <v>63</v>
      </c>
      <c r="F2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6">
        <f>ScenarioStat1[[#This Row],[team-1-win]]+ScenarioStat1[[#This Row],[team-2-win]]</f>
        <v>1</v>
      </c>
    </row>
    <row r="257" spans="1:7" x14ac:dyDescent="0.25">
      <c r="A257" t="s">
        <v>56</v>
      </c>
      <c r="B257" t="s">
        <v>38</v>
      </c>
      <c r="C2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7" t="s">
        <v>43</v>
      </c>
      <c r="E257" t="s">
        <v>227</v>
      </c>
      <c r="F2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57">
        <f>ScenarioStat1[[#This Row],[team-1-win]]+ScenarioStat1[[#This Row],[team-2-win]]</f>
        <v>1</v>
      </c>
    </row>
    <row r="258" spans="1:7" x14ac:dyDescent="0.25">
      <c r="A258" t="s">
        <v>56</v>
      </c>
      <c r="B258" t="s">
        <v>38</v>
      </c>
      <c r="C2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8" t="s">
        <v>45</v>
      </c>
      <c r="E258" t="s">
        <v>63</v>
      </c>
      <c r="F2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8">
        <f>ScenarioStat1[[#This Row],[team-1-win]]+ScenarioStat1[[#This Row],[team-2-win]]</f>
        <v>1</v>
      </c>
    </row>
    <row r="259" spans="1:7" x14ac:dyDescent="0.25">
      <c r="A259" t="s">
        <v>56</v>
      </c>
      <c r="B259" t="s">
        <v>38</v>
      </c>
      <c r="C2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9" t="s">
        <v>45</v>
      </c>
      <c r="E259" t="s">
        <v>227</v>
      </c>
      <c r="F2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9">
        <f>ScenarioStat1[[#This Row],[team-1-win]]+ScenarioStat1[[#This Row],[team-2-win]]</f>
        <v>1</v>
      </c>
    </row>
    <row r="260" spans="1:7" x14ac:dyDescent="0.25">
      <c r="A260" t="s">
        <v>56</v>
      </c>
      <c r="B260" t="s">
        <v>38</v>
      </c>
      <c r="C2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0" t="s">
        <v>63</v>
      </c>
      <c r="E260" t="s">
        <v>227</v>
      </c>
      <c r="F2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0">
        <f>ScenarioStat1[[#This Row],[team-1-win]]+ScenarioStat1[[#This Row],[team-2-win]]</f>
        <v>1</v>
      </c>
    </row>
    <row r="261" spans="1:7" x14ac:dyDescent="0.25">
      <c r="A261" t="s">
        <v>56</v>
      </c>
      <c r="B261" t="s">
        <v>227</v>
      </c>
      <c r="C2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1" t="s">
        <v>48</v>
      </c>
      <c r="E261" t="s">
        <v>33</v>
      </c>
      <c r="F2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1">
        <f>ScenarioStat1[[#This Row],[team-1-win]]+ScenarioStat1[[#This Row],[team-2-win]]</f>
        <v>1</v>
      </c>
    </row>
    <row r="262" spans="1:7" x14ac:dyDescent="0.25">
      <c r="A262" t="s">
        <v>56</v>
      </c>
      <c r="B262" t="s">
        <v>227</v>
      </c>
      <c r="C2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2" t="s">
        <v>48</v>
      </c>
      <c r="E262" t="s">
        <v>43</v>
      </c>
      <c r="F2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2">
        <f>ScenarioStat1[[#This Row],[team-1-win]]+ScenarioStat1[[#This Row],[team-2-win]]</f>
        <v>1</v>
      </c>
    </row>
    <row r="263" spans="1:7" x14ac:dyDescent="0.25">
      <c r="A263" t="s">
        <v>56</v>
      </c>
      <c r="B263" t="s">
        <v>227</v>
      </c>
      <c r="C2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3" t="s">
        <v>48</v>
      </c>
      <c r="E263" t="s">
        <v>45</v>
      </c>
      <c r="F2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3">
        <f>ScenarioStat1[[#This Row],[team-1-win]]+ScenarioStat1[[#This Row],[team-2-win]]</f>
        <v>1</v>
      </c>
    </row>
    <row r="264" spans="1:7" x14ac:dyDescent="0.25">
      <c r="A264" t="s">
        <v>56</v>
      </c>
      <c r="B264" t="s">
        <v>227</v>
      </c>
      <c r="C2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4" t="s">
        <v>48</v>
      </c>
      <c r="E264" t="s">
        <v>63</v>
      </c>
      <c r="F2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4">
        <f>ScenarioStat1[[#This Row],[team-1-win]]+ScenarioStat1[[#This Row],[team-2-win]]</f>
        <v>1</v>
      </c>
    </row>
    <row r="265" spans="1:7" x14ac:dyDescent="0.25">
      <c r="A265" t="s">
        <v>56</v>
      </c>
      <c r="B265" t="s">
        <v>227</v>
      </c>
      <c r="C2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5" t="s">
        <v>48</v>
      </c>
      <c r="E265" t="s">
        <v>38</v>
      </c>
      <c r="F2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5">
        <f>ScenarioStat1[[#This Row],[team-1-win]]+ScenarioStat1[[#This Row],[team-2-win]]</f>
        <v>1</v>
      </c>
    </row>
    <row r="266" spans="1:7" x14ac:dyDescent="0.25">
      <c r="A266" t="s">
        <v>56</v>
      </c>
      <c r="B266" t="s">
        <v>227</v>
      </c>
      <c r="C2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6" t="s">
        <v>33</v>
      </c>
      <c r="E266" t="s">
        <v>43</v>
      </c>
      <c r="F2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6">
        <f>ScenarioStat1[[#This Row],[team-1-win]]+ScenarioStat1[[#This Row],[team-2-win]]</f>
        <v>1</v>
      </c>
    </row>
    <row r="267" spans="1:7" x14ac:dyDescent="0.25">
      <c r="A267" t="s">
        <v>56</v>
      </c>
      <c r="B267" t="s">
        <v>227</v>
      </c>
      <c r="C2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7" t="s">
        <v>33</v>
      </c>
      <c r="E267" t="s">
        <v>45</v>
      </c>
      <c r="F2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7">
        <f>ScenarioStat1[[#This Row],[team-1-win]]+ScenarioStat1[[#This Row],[team-2-win]]</f>
        <v>1</v>
      </c>
    </row>
    <row r="268" spans="1:7" x14ac:dyDescent="0.25">
      <c r="A268" t="s">
        <v>56</v>
      </c>
      <c r="B268" t="s">
        <v>227</v>
      </c>
      <c r="C2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8" t="s">
        <v>33</v>
      </c>
      <c r="E268" t="s">
        <v>63</v>
      </c>
      <c r="F2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8">
        <f>ScenarioStat1[[#This Row],[team-1-win]]+ScenarioStat1[[#This Row],[team-2-win]]</f>
        <v>1</v>
      </c>
    </row>
    <row r="269" spans="1:7" x14ac:dyDescent="0.25">
      <c r="A269" t="s">
        <v>56</v>
      </c>
      <c r="B269" t="s">
        <v>227</v>
      </c>
      <c r="C2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9" t="s">
        <v>33</v>
      </c>
      <c r="E269" t="s">
        <v>38</v>
      </c>
      <c r="F2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9">
        <f>ScenarioStat1[[#This Row],[team-1-win]]+ScenarioStat1[[#This Row],[team-2-win]]</f>
        <v>1</v>
      </c>
    </row>
    <row r="270" spans="1:7" x14ac:dyDescent="0.25">
      <c r="A270" t="s">
        <v>56</v>
      </c>
      <c r="B270" t="s">
        <v>227</v>
      </c>
      <c r="C2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0" t="s">
        <v>43</v>
      </c>
      <c r="E270" t="s">
        <v>45</v>
      </c>
      <c r="F2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0">
        <f>ScenarioStat1[[#This Row],[team-1-win]]+ScenarioStat1[[#This Row],[team-2-win]]</f>
        <v>1</v>
      </c>
    </row>
    <row r="271" spans="1:7" x14ac:dyDescent="0.25">
      <c r="A271" t="s">
        <v>56</v>
      </c>
      <c r="B271" t="s">
        <v>227</v>
      </c>
      <c r="C2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1" t="s">
        <v>43</v>
      </c>
      <c r="E271" t="s">
        <v>63</v>
      </c>
      <c r="F2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1">
        <f>ScenarioStat1[[#This Row],[team-1-win]]+ScenarioStat1[[#This Row],[team-2-win]]</f>
        <v>1</v>
      </c>
    </row>
    <row r="272" spans="1:7" x14ac:dyDescent="0.25">
      <c r="A272" t="s">
        <v>56</v>
      </c>
      <c r="B272" t="s">
        <v>227</v>
      </c>
      <c r="C2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2" t="s">
        <v>43</v>
      </c>
      <c r="E272" t="s">
        <v>38</v>
      </c>
      <c r="F2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2">
        <f>ScenarioStat1[[#This Row],[team-1-win]]+ScenarioStat1[[#This Row],[team-2-win]]</f>
        <v>1</v>
      </c>
    </row>
    <row r="273" spans="1:7" x14ac:dyDescent="0.25">
      <c r="A273" t="s">
        <v>56</v>
      </c>
      <c r="B273" t="s">
        <v>227</v>
      </c>
      <c r="C2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3" t="s">
        <v>45</v>
      </c>
      <c r="E273" t="s">
        <v>63</v>
      </c>
      <c r="F2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3">
        <f>ScenarioStat1[[#This Row],[team-1-win]]+ScenarioStat1[[#This Row],[team-2-win]]</f>
        <v>1</v>
      </c>
    </row>
    <row r="274" spans="1:7" x14ac:dyDescent="0.25">
      <c r="A274" t="s">
        <v>56</v>
      </c>
      <c r="B274" t="s">
        <v>227</v>
      </c>
      <c r="C2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4" t="s">
        <v>45</v>
      </c>
      <c r="E274" t="s">
        <v>38</v>
      </c>
      <c r="F2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4">
        <f>ScenarioStat1[[#This Row],[team-1-win]]+ScenarioStat1[[#This Row],[team-2-win]]</f>
        <v>1</v>
      </c>
    </row>
    <row r="275" spans="1:7" x14ac:dyDescent="0.25">
      <c r="A275" t="s">
        <v>56</v>
      </c>
      <c r="B275" t="s">
        <v>227</v>
      </c>
      <c r="C2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5" t="s">
        <v>63</v>
      </c>
      <c r="E275" t="s">
        <v>38</v>
      </c>
      <c r="F2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5">
        <f>ScenarioStat1[[#This Row],[team-1-win]]+ScenarioStat1[[#This Row],[team-2-win]]</f>
        <v>1</v>
      </c>
    </row>
    <row r="276" spans="1:7" x14ac:dyDescent="0.25">
      <c r="A276" t="s">
        <v>48</v>
      </c>
      <c r="B276" t="s">
        <v>33</v>
      </c>
      <c r="C2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6" t="s">
        <v>43</v>
      </c>
      <c r="E276" t="s">
        <v>45</v>
      </c>
      <c r="F2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6">
        <f>ScenarioStat1[[#This Row],[team-1-win]]+ScenarioStat1[[#This Row],[team-2-win]]</f>
        <v>1</v>
      </c>
    </row>
    <row r="277" spans="1:7" x14ac:dyDescent="0.25">
      <c r="A277" t="s">
        <v>48</v>
      </c>
      <c r="B277" t="s">
        <v>33</v>
      </c>
      <c r="C27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7" t="s">
        <v>43</v>
      </c>
      <c r="E277" t="s">
        <v>63</v>
      </c>
      <c r="F2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7">
        <f>ScenarioStat1[[#This Row],[team-1-win]]+ScenarioStat1[[#This Row],[team-2-win]]</f>
        <v>1</v>
      </c>
    </row>
    <row r="278" spans="1:7" x14ac:dyDescent="0.25">
      <c r="A278" t="s">
        <v>48</v>
      </c>
      <c r="B278" t="s">
        <v>33</v>
      </c>
      <c r="C2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8" t="s">
        <v>43</v>
      </c>
      <c r="E278" t="s">
        <v>38</v>
      </c>
      <c r="F2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8">
        <f>ScenarioStat1[[#This Row],[team-1-win]]+ScenarioStat1[[#This Row],[team-2-win]]</f>
        <v>1</v>
      </c>
    </row>
    <row r="279" spans="1:7" x14ac:dyDescent="0.25">
      <c r="A279" t="s">
        <v>48</v>
      </c>
      <c r="B279" t="s">
        <v>33</v>
      </c>
      <c r="C2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9" t="s">
        <v>43</v>
      </c>
      <c r="E279" t="s">
        <v>227</v>
      </c>
      <c r="F2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9">
        <f>ScenarioStat1[[#This Row],[team-1-win]]+ScenarioStat1[[#This Row],[team-2-win]]</f>
        <v>1</v>
      </c>
    </row>
    <row r="280" spans="1:7" x14ac:dyDescent="0.25">
      <c r="A280" t="s">
        <v>48</v>
      </c>
      <c r="B280" t="s">
        <v>33</v>
      </c>
      <c r="C2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0" t="s">
        <v>45</v>
      </c>
      <c r="E280" t="s">
        <v>63</v>
      </c>
      <c r="F2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0">
        <f>ScenarioStat1[[#This Row],[team-1-win]]+ScenarioStat1[[#This Row],[team-2-win]]</f>
        <v>1</v>
      </c>
    </row>
    <row r="281" spans="1:7" x14ac:dyDescent="0.25">
      <c r="A281" t="s">
        <v>48</v>
      </c>
      <c r="B281" t="s">
        <v>33</v>
      </c>
      <c r="C2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1" t="s">
        <v>45</v>
      </c>
      <c r="E281" t="s">
        <v>38</v>
      </c>
      <c r="F2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1">
        <f>ScenarioStat1[[#This Row],[team-1-win]]+ScenarioStat1[[#This Row],[team-2-win]]</f>
        <v>1</v>
      </c>
    </row>
    <row r="282" spans="1:7" x14ac:dyDescent="0.25">
      <c r="A282" t="s">
        <v>48</v>
      </c>
      <c r="B282" t="s">
        <v>33</v>
      </c>
      <c r="C2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2" t="s">
        <v>45</v>
      </c>
      <c r="E282" t="s">
        <v>227</v>
      </c>
      <c r="F2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2">
        <f>ScenarioStat1[[#This Row],[team-1-win]]+ScenarioStat1[[#This Row],[team-2-win]]</f>
        <v>1</v>
      </c>
    </row>
    <row r="283" spans="1:7" x14ac:dyDescent="0.25">
      <c r="A283" t="s">
        <v>48</v>
      </c>
      <c r="B283" t="s">
        <v>33</v>
      </c>
      <c r="C2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3" t="s">
        <v>63</v>
      </c>
      <c r="E283" t="s">
        <v>38</v>
      </c>
      <c r="F2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3">
        <f>ScenarioStat1[[#This Row],[team-1-win]]+ScenarioStat1[[#This Row],[team-2-win]]</f>
        <v>1</v>
      </c>
    </row>
    <row r="284" spans="1:7" x14ac:dyDescent="0.25">
      <c r="A284" t="s">
        <v>48</v>
      </c>
      <c r="B284" t="s">
        <v>33</v>
      </c>
      <c r="C2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4" t="s">
        <v>63</v>
      </c>
      <c r="E284" t="s">
        <v>227</v>
      </c>
      <c r="F2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4">
        <f>ScenarioStat1[[#This Row],[team-1-win]]+ScenarioStat1[[#This Row],[team-2-win]]</f>
        <v>1</v>
      </c>
    </row>
    <row r="285" spans="1:7" x14ac:dyDescent="0.25">
      <c r="A285" t="s">
        <v>48</v>
      </c>
      <c r="B285" t="s">
        <v>33</v>
      </c>
      <c r="C2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5" t="s">
        <v>38</v>
      </c>
      <c r="E285" t="s">
        <v>227</v>
      </c>
      <c r="F2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5">
        <f>ScenarioStat1[[#This Row],[team-1-win]]+ScenarioStat1[[#This Row],[team-2-win]]</f>
        <v>1</v>
      </c>
    </row>
    <row r="286" spans="1:7" x14ac:dyDescent="0.25">
      <c r="A286" t="s">
        <v>48</v>
      </c>
      <c r="B286" t="s">
        <v>43</v>
      </c>
      <c r="C2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6" t="s">
        <v>33</v>
      </c>
      <c r="E286" t="s">
        <v>45</v>
      </c>
      <c r="F2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6">
        <f>ScenarioStat1[[#This Row],[team-1-win]]+ScenarioStat1[[#This Row],[team-2-win]]</f>
        <v>1</v>
      </c>
    </row>
    <row r="287" spans="1:7" x14ac:dyDescent="0.25">
      <c r="A287" t="s">
        <v>48</v>
      </c>
      <c r="B287" t="s">
        <v>43</v>
      </c>
      <c r="C2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7" t="s">
        <v>33</v>
      </c>
      <c r="E287" t="s">
        <v>63</v>
      </c>
      <c r="F2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7">
        <f>ScenarioStat1[[#This Row],[team-1-win]]+ScenarioStat1[[#This Row],[team-2-win]]</f>
        <v>1</v>
      </c>
    </row>
    <row r="288" spans="1:7" x14ac:dyDescent="0.25">
      <c r="A288" t="s">
        <v>48</v>
      </c>
      <c r="B288" t="s">
        <v>43</v>
      </c>
      <c r="C2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8" t="s">
        <v>33</v>
      </c>
      <c r="E288" t="s">
        <v>38</v>
      </c>
      <c r="F2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8">
        <f>ScenarioStat1[[#This Row],[team-1-win]]+ScenarioStat1[[#This Row],[team-2-win]]</f>
        <v>1</v>
      </c>
    </row>
    <row r="289" spans="1:7" x14ac:dyDescent="0.25">
      <c r="A289" t="s">
        <v>48</v>
      </c>
      <c r="B289" t="s">
        <v>43</v>
      </c>
      <c r="C2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9" t="s">
        <v>33</v>
      </c>
      <c r="E289" t="s">
        <v>227</v>
      </c>
      <c r="F2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9">
        <f>ScenarioStat1[[#This Row],[team-1-win]]+ScenarioStat1[[#This Row],[team-2-win]]</f>
        <v>1</v>
      </c>
    </row>
    <row r="290" spans="1:7" x14ac:dyDescent="0.25">
      <c r="A290" t="s">
        <v>48</v>
      </c>
      <c r="B290" t="s">
        <v>43</v>
      </c>
      <c r="C2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0" t="s">
        <v>45</v>
      </c>
      <c r="E290" t="s">
        <v>63</v>
      </c>
      <c r="F2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0">
        <f>ScenarioStat1[[#This Row],[team-1-win]]+ScenarioStat1[[#This Row],[team-2-win]]</f>
        <v>1</v>
      </c>
    </row>
    <row r="291" spans="1:7" x14ac:dyDescent="0.25">
      <c r="A291" t="s">
        <v>48</v>
      </c>
      <c r="B291" t="s">
        <v>43</v>
      </c>
      <c r="C2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1" t="s">
        <v>45</v>
      </c>
      <c r="E291" t="s">
        <v>38</v>
      </c>
      <c r="F2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1">
        <f>ScenarioStat1[[#This Row],[team-1-win]]+ScenarioStat1[[#This Row],[team-2-win]]</f>
        <v>1</v>
      </c>
    </row>
    <row r="292" spans="1:7" x14ac:dyDescent="0.25">
      <c r="A292" t="s">
        <v>48</v>
      </c>
      <c r="B292" t="s">
        <v>43</v>
      </c>
      <c r="C2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2" t="s">
        <v>45</v>
      </c>
      <c r="E292" t="s">
        <v>227</v>
      </c>
      <c r="F2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2">
        <f>ScenarioStat1[[#This Row],[team-1-win]]+ScenarioStat1[[#This Row],[team-2-win]]</f>
        <v>1</v>
      </c>
    </row>
    <row r="293" spans="1:7" x14ac:dyDescent="0.25">
      <c r="A293" t="s">
        <v>48</v>
      </c>
      <c r="B293" t="s">
        <v>43</v>
      </c>
      <c r="C2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3" t="s">
        <v>63</v>
      </c>
      <c r="E293" t="s">
        <v>38</v>
      </c>
      <c r="F2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3">
        <f>ScenarioStat1[[#This Row],[team-1-win]]+ScenarioStat1[[#This Row],[team-2-win]]</f>
        <v>1</v>
      </c>
    </row>
    <row r="294" spans="1:7" x14ac:dyDescent="0.25">
      <c r="A294" t="s">
        <v>48</v>
      </c>
      <c r="B294" t="s">
        <v>43</v>
      </c>
      <c r="C2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4" t="s">
        <v>63</v>
      </c>
      <c r="E294" t="s">
        <v>227</v>
      </c>
      <c r="F2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4">
        <f>ScenarioStat1[[#This Row],[team-1-win]]+ScenarioStat1[[#This Row],[team-2-win]]</f>
        <v>1</v>
      </c>
    </row>
    <row r="295" spans="1:7" x14ac:dyDescent="0.25">
      <c r="A295" t="s">
        <v>48</v>
      </c>
      <c r="B295" t="s">
        <v>43</v>
      </c>
      <c r="C2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5" t="s">
        <v>38</v>
      </c>
      <c r="E295" t="s">
        <v>227</v>
      </c>
      <c r="F2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5">
        <f>ScenarioStat1[[#This Row],[team-1-win]]+ScenarioStat1[[#This Row],[team-2-win]]</f>
        <v>1</v>
      </c>
    </row>
    <row r="296" spans="1:7" x14ac:dyDescent="0.25">
      <c r="A296" t="s">
        <v>48</v>
      </c>
      <c r="B296" t="s">
        <v>45</v>
      </c>
      <c r="C2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6" t="s">
        <v>33</v>
      </c>
      <c r="E296" t="s">
        <v>43</v>
      </c>
      <c r="F2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6">
        <f>ScenarioStat1[[#This Row],[team-1-win]]+ScenarioStat1[[#This Row],[team-2-win]]</f>
        <v>1</v>
      </c>
    </row>
    <row r="297" spans="1:7" x14ac:dyDescent="0.25">
      <c r="A297" t="s">
        <v>48</v>
      </c>
      <c r="B297" t="s">
        <v>45</v>
      </c>
      <c r="C2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7" t="s">
        <v>33</v>
      </c>
      <c r="E297" t="s">
        <v>63</v>
      </c>
      <c r="F2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7">
        <f>ScenarioStat1[[#This Row],[team-1-win]]+ScenarioStat1[[#This Row],[team-2-win]]</f>
        <v>1</v>
      </c>
    </row>
    <row r="298" spans="1:7" x14ac:dyDescent="0.25">
      <c r="A298" t="s">
        <v>48</v>
      </c>
      <c r="B298" t="s">
        <v>45</v>
      </c>
      <c r="C2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8" t="s">
        <v>33</v>
      </c>
      <c r="E298" t="s">
        <v>38</v>
      </c>
      <c r="F2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8">
        <f>ScenarioStat1[[#This Row],[team-1-win]]+ScenarioStat1[[#This Row],[team-2-win]]</f>
        <v>1</v>
      </c>
    </row>
    <row r="299" spans="1:7" x14ac:dyDescent="0.25">
      <c r="A299" t="s">
        <v>48</v>
      </c>
      <c r="B299" t="s">
        <v>45</v>
      </c>
      <c r="C2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9" t="s">
        <v>33</v>
      </c>
      <c r="E299" t="s">
        <v>227</v>
      </c>
      <c r="F2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9">
        <f>ScenarioStat1[[#This Row],[team-1-win]]+ScenarioStat1[[#This Row],[team-2-win]]</f>
        <v>1</v>
      </c>
    </row>
    <row r="300" spans="1:7" x14ac:dyDescent="0.25">
      <c r="A300" t="s">
        <v>48</v>
      </c>
      <c r="B300" t="s">
        <v>45</v>
      </c>
      <c r="C3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0" t="s">
        <v>43</v>
      </c>
      <c r="E300" t="s">
        <v>63</v>
      </c>
      <c r="F3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0">
        <f>ScenarioStat1[[#This Row],[team-1-win]]+ScenarioStat1[[#This Row],[team-2-win]]</f>
        <v>1</v>
      </c>
    </row>
    <row r="301" spans="1:7" x14ac:dyDescent="0.25">
      <c r="A301" t="s">
        <v>48</v>
      </c>
      <c r="B301" t="s">
        <v>45</v>
      </c>
      <c r="C3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1" t="s">
        <v>43</v>
      </c>
      <c r="E301" t="s">
        <v>38</v>
      </c>
      <c r="F3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1">
        <f>ScenarioStat1[[#This Row],[team-1-win]]+ScenarioStat1[[#This Row],[team-2-win]]</f>
        <v>1</v>
      </c>
    </row>
    <row r="302" spans="1:7" x14ac:dyDescent="0.25">
      <c r="A302" t="s">
        <v>48</v>
      </c>
      <c r="B302" t="s">
        <v>45</v>
      </c>
      <c r="C3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2" t="s">
        <v>43</v>
      </c>
      <c r="E302" t="s">
        <v>227</v>
      </c>
      <c r="F3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2">
        <f>ScenarioStat1[[#This Row],[team-1-win]]+ScenarioStat1[[#This Row],[team-2-win]]</f>
        <v>1</v>
      </c>
    </row>
    <row r="303" spans="1:7" x14ac:dyDescent="0.25">
      <c r="A303" t="s">
        <v>48</v>
      </c>
      <c r="B303" t="s">
        <v>45</v>
      </c>
      <c r="C3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3" t="s">
        <v>63</v>
      </c>
      <c r="E303" t="s">
        <v>38</v>
      </c>
      <c r="F3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3">
        <f>ScenarioStat1[[#This Row],[team-1-win]]+ScenarioStat1[[#This Row],[team-2-win]]</f>
        <v>1</v>
      </c>
    </row>
    <row r="304" spans="1:7" x14ac:dyDescent="0.25">
      <c r="A304" t="s">
        <v>48</v>
      </c>
      <c r="B304" t="s">
        <v>45</v>
      </c>
      <c r="C3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4" t="s">
        <v>63</v>
      </c>
      <c r="E304" t="s">
        <v>227</v>
      </c>
      <c r="F3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4">
        <f>ScenarioStat1[[#This Row],[team-1-win]]+ScenarioStat1[[#This Row],[team-2-win]]</f>
        <v>1</v>
      </c>
    </row>
    <row r="305" spans="1:7" x14ac:dyDescent="0.25">
      <c r="A305" t="s">
        <v>48</v>
      </c>
      <c r="B305" t="s">
        <v>45</v>
      </c>
      <c r="C3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5" t="s">
        <v>38</v>
      </c>
      <c r="E305" t="s">
        <v>227</v>
      </c>
      <c r="F3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5">
        <f>ScenarioStat1[[#This Row],[team-1-win]]+ScenarioStat1[[#This Row],[team-2-win]]</f>
        <v>1</v>
      </c>
    </row>
    <row r="306" spans="1:7" x14ac:dyDescent="0.25">
      <c r="A306" t="s">
        <v>48</v>
      </c>
      <c r="B306" t="s">
        <v>63</v>
      </c>
      <c r="C3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6" t="s">
        <v>33</v>
      </c>
      <c r="E306" t="s">
        <v>43</v>
      </c>
      <c r="F3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6">
        <f>ScenarioStat1[[#This Row],[team-1-win]]+ScenarioStat1[[#This Row],[team-2-win]]</f>
        <v>1</v>
      </c>
    </row>
    <row r="307" spans="1:7" x14ac:dyDescent="0.25">
      <c r="A307" t="s">
        <v>48</v>
      </c>
      <c r="B307" t="s">
        <v>63</v>
      </c>
      <c r="C3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7" t="s">
        <v>33</v>
      </c>
      <c r="E307" t="s">
        <v>45</v>
      </c>
      <c r="F3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7">
        <f>ScenarioStat1[[#This Row],[team-1-win]]+ScenarioStat1[[#This Row],[team-2-win]]</f>
        <v>1</v>
      </c>
    </row>
    <row r="308" spans="1:7" x14ac:dyDescent="0.25">
      <c r="A308" t="s">
        <v>48</v>
      </c>
      <c r="B308" t="s">
        <v>63</v>
      </c>
      <c r="C3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8" t="s">
        <v>33</v>
      </c>
      <c r="E308" t="s">
        <v>38</v>
      </c>
      <c r="F3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8">
        <f>ScenarioStat1[[#This Row],[team-1-win]]+ScenarioStat1[[#This Row],[team-2-win]]</f>
        <v>1</v>
      </c>
    </row>
    <row r="309" spans="1:7" x14ac:dyDescent="0.25">
      <c r="A309" t="s">
        <v>48</v>
      </c>
      <c r="B309" t="s">
        <v>63</v>
      </c>
      <c r="C3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9" t="s">
        <v>33</v>
      </c>
      <c r="E309" t="s">
        <v>227</v>
      </c>
      <c r="F3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9">
        <f>ScenarioStat1[[#This Row],[team-1-win]]+ScenarioStat1[[#This Row],[team-2-win]]</f>
        <v>1</v>
      </c>
    </row>
    <row r="310" spans="1:7" x14ac:dyDescent="0.25">
      <c r="A310" t="s">
        <v>48</v>
      </c>
      <c r="B310" t="s">
        <v>63</v>
      </c>
      <c r="C3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0" t="s">
        <v>43</v>
      </c>
      <c r="E310" t="s">
        <v>45</v>
      </c>
      <c r="F3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0">
        <f>ScenarioStat1[[#This Row],[team-1-win]]+ScenarioStat1[[#This Row],[team-2-win]]</f>
        <v>1</v>
      </c>
    </row>
    <row r="311" spans="1:7" x14ac:dyDescent="0.25">
      <c r="A311" t="s">
        <v>48</v>
      </c>
      <c r="B311" t="s">
        <v>63</v>
      </c>
      <c r="C3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1" t="s">
        <v>43</v>
      </c>
      <c r="E311" t="s">
        <v>38</v>
      </c>
      <c r="F3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1">
        <f>ScenarioStat1[[#This Row],[team-1-win]]+ScenarioStat1[[#This Row],[team-2-win]]</f>
        <v>1</v>
      </c>
    </row>
    <row r="312" spans="1:7" x14ac:dyDescent="0.25">
      <c r="A312" t="s">
        <v>48</v>
      </c>
      <c r="B312" t="s">
        <v>63</v>
      </c>
      <c r="C3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2" t="s">
        <v>43</v>
      </c>
      <c r="E312" t="s">
        <v>227</v>
      </c>
      <c r="F3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2">
        <f>ScenarioStat1[[#This Row],[team-1-win]]+ScenarioStat1[[#This Row],[team-2-win]]</f>
        <v>1</v>
      </c>
    </row>
    <row r="313" spans="1:7" x14ac:dyDescent="0.25">
      <c r="A313" t="s">
        <v>48</v>
      </c>
      <c r="B313" t="s">
        <v>63</v>
      </c>
      <c r="C3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3" t="s">
        <v>45</v>
      </c>
      <c r="E313" t="s">
        <v>38</v>
      </c>
      <c r="F3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3">
        <f>ScenarioStat1[[#This Row],[team-1-win]]+ScenarioStat1[[#This Row],[team-2-win]]</f>
        <v>1</v>
      </c>
    </row>
    <row r="314" spans="1:7" x14ac:dyDescent="0.25">
      <c r="A314" t="s">
        <v>48</v>
      </c>
      <c r="B314" t="s">
        <v>63</v>
      </c>
      <c r="C3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4" t="s">
        <v>45</v>
      </c>
      <c r="E314" t="s">
        <v>227</v>
      </c>
      <c r="F3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4">
        <f>ScenarioStat1[[#This Row],[team-1-win]]+ScenarioStat1[[#This Row],[team-2-win]]</f>
        <v>1</v>
      </c>
    </row>
    <row r="315" spans="1:7" x14ac:dyDescent="0.25">
      <c r="A315" t="s">
        <v>48</v>
      </c>
      <c r="B315" t="s">
        <v>63</v>
      </c>
      <c r="C3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5" t="s">
        <v>38</v>
      </c>
      <c r="E315" t="s">
        <v>227</v>
      </c>
      <c r="F3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5">
        <f>ScenarioStat1[[#This Row],[team-1-win]]+ScenarioStat1[[#This Row],[team-2-win]]</f>
        <v>1</v>
      </c>
    </row>
    <row r="316" spans="1:7" x14ac:dyDescent="0.25">
      <c r="A316" t="s">
        <v>48</v>
      </c>
      <c r="B316" t="s">
        <v>38</v>
      </c>
      <c r="C3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6" t="s">
        <v>33</v>
      </c>
      <c r="E316" t="s">
        <v>43</v>
      </c>
      <c r="F3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6">
        <f>ScenarioStat1[[#This Row],[team-1-win]]+ScenarioStat1[[#This Row],[team-2-win]]</f>
        <v>1</v>
      </c>
    </row>
    <row r="317" spans="1:7" x14ac:dyDescent="0.25">
      <c r="A317" t="s">
        <v>48</v>
      </c>
      <c r="B317" t="s">
        <v>38</v>
      </c>
      <c r="C3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7" t="s">
        <v>33</v>
      </c>
      <c r="E317" t="s">
        <v>45</v>
      </c>
      <c r="F3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7">
        <f>ScenarioStat1[[#This Row],[team-1-win]]+ScenarioStat1[[#This Row],[team-2-win]]</f>
        <v>1</v>
      </c>
    </row>
    <row r="318" spans="1:7" x14ac:dyDescent="0.25">
      <c r="A318" t="s">
        <v>48</v>
      </c>
      <c r="B318" t="s">
        <v>38</v>
      </c>
      <c r="C3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8" t="s">
        <v>33</v>
      </c>
      <c r="E318" t="s">
        <v>63</v>
      </c>
      <c r="F3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8">
        <f>ScenarioStat1[[#This Row],[team-1-win]]+ScenarioStat1[[#This Row],[team-2-win]]</f>
        <v>1</v>
      </c>
    </row>
    <row r="319" spans="1:7" x14ac:dyDescent="0.25">
      <c r="A319" t="s">
        <v>48</v>
      </c>
      <c r="B319" t="s">
        <v>38</v>
      </c>
      <c r="C3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9" t="s">
        <v>33</v>
      </c>
      <c r="E319" t="s">
        <v>227</v>
      </c>
      <c r="F3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9">
        <f>ScenarioStat1[[#This Row],[team-1-win]]+ScenarioStat1[[#This Row],[team-2-win]]</f>
        <v>1</v>
      </c>
    </row>
    <row r="320" spans="1:7" x14ac:dyDescent="0.25">
      <c r="A320" t="s">
        <v>48</v>
      </c>
      <c r="B320" t="s">
        <v>38</v>
      </c>
      <c r="C3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0" t="s">
        <v>43</v>
      </c>
      <c r="E320" t="s">
        <v>45</v>
      </c>
      <c r="F3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0">
        <f>ScenarioStat1[[#This Row],[team-1-win]]+ScenarioStat1[[#This Row],[team-2-win]]</f>
        <v>1</v>
      </c>
    </row>
    <row r="321" spans="1:7" x14ac:dyDescent="0.25">
      <c r="A321" t="s">
        <v>48</v>
      </c>
      <c r="B321" t="s">
        <v>38</v>
      </c>
      <c r="C3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1" t="s">
        <v>43</v>
      </c>
      <c r="E321" t="s">
        <v>63</v>
      </c>
      <c r="F3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1">
        <f>ScenarioStat1[[#This Row],[team-1-win]]+ScenarioStat1[[#This Row],[team-2-win]]</f>
        <v>1</v>
      </c>
    </row>
    <row r="322" spans="1:7" x14ac:dyDescent="0.25">
      <c r="A322" t="s">
        <v>48</v>
      </c>
      <c r="B322" t="s">
        <v>38</v>
      </c>
      <c r="C3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2" t="s">
        <v>43</v>
      </c>
      <c r="E322" t="s">
        <v>227</v>
      </c>
      <c r="F3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2">
        <f>ScenarioStat1[[#This Row],[team-1-win]]+ScenarioStat1[[#This Row],[team-2-win]]</f>
        <v>1</v>
      </c>
    </row>
    <row r="323" spans="1:7" x14ac:dyDescent="0.25">
      <c r="A323" t="s">
        <v>48</v>
      </c>
      <c r="B323" t="s">
        <v>38</v>
      </c>
      <c r="C32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3" t="s">
        <v>45</v>
      </c>
      <c r="E323" t="s">
        <v>63</v>
      </c>
      <c r="F3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3">
        <f>ScenarioStat1[[#This Row],[team-1-win]]+ScenarioStat1[[#This Row],[team-2-win]]</f>
        <v>1</v>
      </c>
    </row>
    <row r="324" spans="1:7" x14ac:dyDescent="0.25">
      <c r="A324" t="s">
        <v>48</v>
      </c>
      <c r="B324" t="s">
        <v>38</v>
      </c>
      <c r="C3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4" t="s">
        <v>45</v>
      </c>
      <c r="E324" t="s">
        <v>227</v>
      </c>
      <c r="F3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4">
        <f>ScenarioStat1[[#This Row],[team-1-win]]+ScenarioStat1[[#This Row],[team-2-win]]</f>
        <v>1</v>
      </c>
    </row>
    <row r="325" spans="1:7" x14ac:dyDescent="0.25">
      <c r="A325" t="s">
        <v>48</v>
      </c>
      <c r="B325" t="s">
        <v>38</v>
      </c>
      <c r="C3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5" t="s">
        <v>63</v>
      </c>
      <c r="E325" t="s">
        <v>227</v>
      </c>
      <c r="F3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5">
        <f>ScenarioStat1[[#This Row],[team-1-win]]+ScenarioStat1[[#This Row],[team-2-win]]</f>
        <v>1</v>
      </c>
    </row>
    <row r="326" spans="1:7" x14ac:dyDescent="0.25">
      <c r="A326" t="s">
        <v>48</v>
      </c>
      <c r="B326" t="s">
        <v>227</v>
      </c>
      <c r="C3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6" t="s">
        <v>33</v>
      </c>
      <c r="E326" t="s">
        <v>43</v>
      </c>
      <c r="F3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6">
        <f>ScenarioStat1[[#This Row],[team-1-win]]+ScenarioStat1[[#This Row],[team-2-win]]</f>
        <v>1</v>
      </c>
    </row>
    <row r="327" spans="1:7" x14ac:dyDescent="0.25">
      <c r="A327" t="s">
        <v>48</v>
      </c>
      <c r="B327" t="s">
        <v>227</v>
      </c>
      <c r="C3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7" t="s">
        <v>33</v>
      </c>
      <c r="E327" t="s">
        <v>45</v>
      </c>
      <c r="F3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7">
        <f>ScenarioStat1[[#This Row],[team-1-win]]+ScenarioStat1[[#This Row],[team-2-win]]</f>
        <v>1</v>
      </c>
    </row>
    <row r="328" spans="1:7" x14ac:dyDescent="0.25">
      <c r="A328" t="s">
        <v>48</v>
      </c>
      <c r="B328" t="s">
        <v>227</v>
      </c>
      <c r="C3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8" t="s">
        <v>33</v>
      </c>
      <c r="E328" t="s">
        <v>63</v>
      </c>
      <c r="F3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8">
        <f>ScenarioStat1[[#This Row],[team-1-win]]+ScenarioStat1[[#This Row],[team-2-win]]</f>
        <v>1</v>
      </c>
    </row>
    <row r="329" spans="1:7" x14ac:dyDescent="0.25">
      <c r="A329" t="s">
        <v>48</v>
      </c>
      <c r="B329" t="s">
        <v>227</v>
      </c>
      <c r="C3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9" t="s">
        <v>33</v>
      </c>
      <c r="E329" t="s">
        <v>38</v>
      </c>
      <c r="F3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9">
        <f>ScenarioStat1[[#This Row],[team-1-win]]+ScenarioStat1[[#This Row],[team-2-win]]</f>
        <v>1</v>
      </c>
    </row>
    <row r="330" spans="1:7" x14ac:dyDescent="0.25">
      <c r="A330" t="s">
        <v>48</v>
      </c>
      <c r="B330" t="s">
        <v>227</v>
      </c>
      <c r="C3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0" t="s">
        <v>43</v>
      </c>
      <c r="E330" t="s">
        <v>45</v>
      </c>
      <c r="F3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0">
        <f>ScenarioStat1[[#This Row],[team-1-win]]+ScenarioStat1[[#This Row],[team-2-win]]</f>
        <v>1</v>
      </c>
    </row>
    <row r="331" spans="1:7" x14ac:dyDescent="0.25">
      <c r="A331" t="s">
        <v>48</v>
      </c>
      <c r="B331" t="s">
        <v>227</v>
      </c>
      <c r="C3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1" t="s">
        <v>43</v>
      </c>
      <c r="E331" t="s">
        <v>63</v>
      </c>
      <c r="F3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1">
        <f>ScenarioStat1[[#This Row],[team-1-win]]+ScenarioStat1[[#This Row],[team-2-win]]</f>
        <v>1</v>
      </c>
    </row>
    <row r="332" spans="1:7" x14ac:dyDescent="0.25">
      <c r="A332" t="s">
        <v>48</v>
      </c>
      <c r="B332" t="s">
        <v>227</v>
      </c>
      <c r="C3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2" t="s">
        <v>43</v>
      </c>
      <c r="E332" t="s">
        <v>38</v>
      </c>
      <c r="F3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2">
        <f>ScenarioStat1[[#This Row],[team-1-win]]+ScenarioStat1[[#This Row],[team-2-win]]</f>
        <v>1</v>
      </c>
    </row>
    <row r="333" spans="1:7" x14ac:dyDescent="0.25">
      <c r="A333" t="s">
        <v>48</v>
      </c>
      <c r="B333" t="s">
        <v>227</v>
      </c>
      <c r="C3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3" t="s">
        <v>45</v>
      </c>
      <c r="E333" t="s">
        <v>63</v>
      </c>
      <c r="F3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3">
        <f>ScenarioStat1[[#This Row],[team-1-win]]+ScenarioStat1[[#This Row],[team-2-win]]</f>
        <v>1</v>
      </c>
    </row>
    <row r="334" spans="1:7" x14ac:dyDescent="0.25">
      <c r="A334" t="s">
        <v>48</v>
      </c>
      <c r="B334" t="s">
        <v>227</v>
      </c>
      <c r="C3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4" t="s">
        <v>45</v>
      </c>
      <c r="E334" t="s">
        <v>38</v>
      </c>
      <c r="F33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4">
        <f>ScenarioStat1[[#This Row],[team-1-win]]+ScenarioStat1[[#This Row],[team-2-win]]</f>
        <v>1</v>
      </c>
    </row>
    <row r="335" spans="1:7" x14ac:dyDescent="0.25">
      <c r="A335" t="s">
        <v>48</v>
      </c>
      <c r="B335" t="s">
        <v>227</v>
      </c>
      <c r="C3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5" t="s">
        <v>63</v>
      </c>
      <c r="E335" t="s">
        <v>38</v>
      </c>
      <c r="F3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5">
        <f>ScenarioStat1[[#This Row],[team-1-win]]+ScenarioStat1[[#This Row],[team-2-win]]</f>
        <v>1</v>
      </c>
    </row>
    <row r="336" spans="1:7" x14ac:dyDescent="0.25">
      <c r="A336" t="s">
        <v>33</v>
      </c>
      <c r="B336" t="s">
        <v>43</v>
      </c>
      <c r="C3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6" t="s">
        <v>45</v>
      </c>
      <c r="E336" t="s">
        <v>63</v>
      </c>
      <c r="F3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6">
        <f>ScenarioStat1[[#This Row],[team-1-win]]+ScenarioStat1[[#This Row],[team-2-win]]</f>
        <v>1</v>
      </c>
    </row>
    <row r="337" spans="1:7" x14ac:dyDescent="0.25">
      <c r="A337" t="s">
        <v>33</v>
      </c>
      <c r="B337" t="s">
        <v>43</v>
      </c>
      <c r="C3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7" t="s">
        <v>45</v>
      </c>
      <c r="E337" t="s">
        <v>38</v>
      </c>
      <c r="F3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7">
        <f>ScenarioStat1[[#This Row],[team-1-win]]+ScenarioStat1[[#This Row],[team-2-win]]</f>
        <v>1</v>
      </c>
    </row>
    <row r="338" spans="1:7" x14ac:dyDescent="0.25">
      <c r="A338" t="s">
        <v>33</v>
      </c>
      <c r="B338" t="s">
        <v>43</v>
      </c>
      <c r="C3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8" t="s">
        <v>45</v>
      </c>
      <c r="E338" t="s">
        <v>227</v>
      </c>
      <c r="F3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38">
        <f>ScenarioStat1[[#This Row],[team-1-win]]+ScenarioStat1[[#This Row],[team-2-win]]</f>
        <v>1</v>
      </c>
    </row>
    <row r="339" spans="1:7" x14ac:dyDescent="0.25">
      <c r="A339" t="s">
        <v>33</v>
      </c>
      <c r="B339" t="s">
        <v>43</v>
      </c>
      <c r="C3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9" t="s">
        <v>63</v>
      </c>
      <c r="E339" t="s">
        <v>38</v>
      </c>
      <c r="F3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9">
        <f>ScenarioStat1[[#This Row],[team-1-win]]+ScenarioStat1[[#This Row],[team-2-win]]</f>
        <v>1</v>
      </c>
    </row>
    <row r="340" spans="1:7" x14ac:dyDescent="0.25">
      <c r="A340" t="s">
        <v>33</v>
      </c>
      <c r="B340" t="s">
        <v>43</v>
      </c>
      <c r="C3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0" t="s">
        <v>63</v>
      </c>
      <c r="E340" t="s">
        <v>227</v>
      </c>
      <c r="F3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0">
        <f>ScenarioStat1[[#This Row],[team-1-win]]+ScenarioStat1[[#This Row],[team-2-win]]</f>
        <v>1</v>
      </c>
    </row>
    <row r="341" spans="1:7" x14ac:dyDescent="0.25">
      <c r="A341" t="s">
        <v>33</v>
      </c>
      <c r="B341" t="s">
        <v>43</v>
      </c>
      <c r="C3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1" t="s">
        <v>38</v>
      </c>
      <c r="E341" t="s">
        <v>227</v>
      </c>
      <c r="F3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1">
        <f>ScenarioStat1[[#This Row],[team-1-win]]+ScenarioStat1[[#This Row],[team-2-win]]</f>
        <v>1</v>
      </c>
    </row>
    <row r="342" spans="1:7" x14ac:dyDescent="0.25">
      <c r="A342" t="s">
        <v>33</v>
      </c>
      <c r="B342" t="s">
        <v>45</v>
      </c>
      <c r="C34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2" t="s">
        <v>43</v>
      </c>
      <c r="E342" t="s">
        <v>63</v>
      </c>
      <c r="F3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2">
        <f>ScenarioStat1[[#This Row],[team-1-win]]+ScenarioStat1[[#This Row],[team-2-win]]</f>
        <v>1</v>
      </c>
    </row>
    <row r="343" spans="1:7" x14ac:dyDescent="0.25">
      <c r="A343" t="s">
        <v>33</v>
      </c>
      <c r="B343" t="s">
        <v>45</v>
      </c>
      <c r="C3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3" t="s">
        <v>43</v>
      </c>
      <c r="E343" t="s">
        <v>38</v>
      </c>
      <c r="F3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3">
        <f>ScenarioStat1[[#This Row],[team-1-win]]+ScenarioStat1[[#This Row],[team-2-win]]</f>
        <v>1</v>
      </c>
    </row>
    <row r="344" spans="1:7" x14ac:dyDescent="0.25">
      <c r="A344" t="s">
        <v>33</v>
      </c>
      <c r="B344" t="s">
        <v>45</v>
      </c>
      <c r="C3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4" t="s">
        <v>43</v>
      </c>
      <c r="E344" t="s">
        <v>227</v>
      </c>
      <c r="F3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4">
        <f>ScenarioStat1[[#This Row],[team-1-win]]+ScenarioStat1[[#This Row],[team-2-win]]</f>
        <v>1</v>
      </c>
    </row>
    <row r="345" spans="1:7" x14ac:dyDescent="0.25">
      <c r="A345" t="s">
        <v>33</v>
      </c>
      <c r="B345" t="s">
        <v>45</v>
      </c>
      <c r="C3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5" t="s">
        <v>63</v>
      </c>
      <c r="E345" t="s">
        <v>38</v>
      </c>
      <c r="F3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5">
        <f>ScenarioStat1[[#This Row],[team-1-win]]+ScenarioStat1[[#This Row],[team-2-win]]</f>
        <v>1</v>
      </c>
    </row>
    <row r="346" spans="1:7" x14ac:dyDescent="0.25">
      <c r="A346" t="s">
        <v>33</v>
      </c>
      <c r="B346" t="s">
        <v>45</v>
      </c>
      <c r="C3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6" t="s">
        <v>63</v>
      </c>
      <c r="E346" t="s">
        <v>227</v>
      </c>
      <c r="F3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6">
        <f>ScenarioStat1[[#This Row],[team-1-win]]+ScenarioStat1[[#This Row],[team-2-win]]</f>
        <v>1</v>
      </c>
    </row>
    <row r="347" spans="1:7" x14ac:dyDescent="0.25">
      <c r="A347" t="s">
        <v>33</v>
      </c>
      <c r="B347" t="s">
        <v>45</v>
      </c>
      <c r="C3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7" t="s">
        <v>38</v>
      </c>
      <c r="E347" t="s">
        <v>227</v>
      </c>
      <c r="F3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7">
        <f>ScenarioStat1[[#This Row],[team-1-win]]+ScenarioStat1[[#This Row],[team-2-win]]</f>
        <v>1</v>
      </c>
    </row>
    <row r="348" spans="1:7" x14ac:dyDescent="0.25">
      <c r="A348" t="s">
        <v>33</v>
      </c>
      <c r="B348" t="s">
        <v>63</v>
      </c>
      <c r="C3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8" t="s">
        <v>43</v>
      </c>
      <c r="E348" t="s">
        <v>45</v>
      </c>
      <c r="F3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8">
        <f>ScenarioStat1[[#This Row],[team-1-win]]+ScenarioStat1[[#This Row],[team-2-win]]</f>
        <v>1</v>
      </c>
    </row>
    <row r="349" spans="1:7" x14ac:dyDescent="0.25">
      <c r="A349" t="s">
        <v>33</v>
      </c>
      <c r="B349" t="s">
        <v>63</v>
      </c>
      <c r="C3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9" t="s">
        <v>43</v>
      </c>
      <c r="E349" t="s">
        <v>38</v>
      </c>
      <c r="F3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49">
        <f>ScenarioStat1[[#This Row],[team-1-win]]+ScenarioStat1[[#This Row],[team-2-win]]</f>
        <v>1</v>
      </c>
    </row>
    <row r="350" spans="1:7" x14ac:dyDescent="0.25">
      <c r="A350" t="s">
        <v>33</v>
      </c>
      <c r="B350" t="s">
        <v>63</v>
      </c>
      <c r="C3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0" t="s">
        <v>43</v>
      </c>
      <c r="E350" t="s">
        <v>227</v>
      </c>
      <c r="F3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0">
        <f>ScenarioStat1[[#This Row],[team-1-win]]+ScenarioStat1[[#This Row],[team-2-win]]</f>
        <v>1</v>
      </c>
    </row>
    <row r="351" spans="1:7" x14ac:dyDescent="0.25">
      <c r="A351" t="s">
        <v>33</v>
      </c>
      <c r="B351" t="s">
        <v>63</v>
      </c>
      <c r="C3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1" t="s">
        <v>45</v>
      </c>
      <c r="E351" t="s">
        <v>38</v>
      </c>
      <c r="F3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1">
        <f>ScenarioStat1[[#This Row],[team-1-win]]+ScenarioStat1[[#This Row],[team-2-win]]</f>
        <v>1</v>
      </c>
    </row>
    <row r="352" spans="1:7" x14ac:dyDescent="0.25">
      <c r="A352" t="s">
        <v>33</v>
      </c>
      <c r="B352" t="s">
        <v>63</v>
      </c>
      <c r="C3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2" t="s">
        <v>45</v>
      </c>
      <c r="E352" t="s">
        <v>227</v>
      </c>
      <c r="F3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2">
        <f>ScenarioStat1[[#This Row],[team-1-win]]+ScenarioStat1[[#This Row],[team-2-win]]</f>
        <v>1</v>
      </c>
    </row>
    <row r="353" spans="1:7" x14ac:dyDescent="0.25">
      <c r="A353" t="s">
        <v>33</v>
      </c>
      <c r="B353" t="s">
        <v>63</v>
      </c>
      <c r="C3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3" t="s">
        <v>38</v>
      </c>
      <c r="E353" t="s">
        <v>227</v>
      </c>
      <c r="F3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3">
        <f>ScenarioStat1[[#This Row],[team-1-win]]+ScenarioStat1[[#This Row],[team-2-win]]</f>
        <v>1</v>
      </c>
    </row>
    <row r="354" spans="1:7" x14ac:dyDescent="0.25">
      <c r="A354" t="s">
        <v>33</v>
      </c>
      <c r="B354" t="s">
        <v>38</v>
      </c>
      <c r="C3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4" t="s">
        <v>43</v>
      </c>
      <c r="E354" t="s">
        <v>45</v>
      </c>
      <c r="F3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4">
        <f>ScenarioStat1[[#This Row],[team-1-win]]+ScenarioStat1[[#This Row],[team-2-win]]</f>
        <v>1</v>
      </c>
    </row>
    <row r="355" spans="1:7" x14ac:dyDescent="0.25">
      <c r="A355" t="s">
        <v>33</v>
      </c>
      <c r="B355" t="s">
        <v>38</v>
      </c>
      <c r="C3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5" t="s">
        <v>43</v>
      </c>
      <c r="E355" t="s">
        <v>63</v>
      </c>
      <c r="F3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5">
        <f>ScenarioStat1[[#This Row],[team-1-win]]+ScenarioStat1[[#This Row],[team-2-win]]</f>
        <v>1</v>
      </c>
    </row>
    <row r="356" spans="1:7" x14ac:dyDescent="0.25">
      <c r="A356" t="s">
        <v>33</v>
      </c>
      <c r="B356" t="s">
        <v>38</v>
      </c>
      <c r="C3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6" t="s">
        <v>43</v>
      </c>
      <c r="E356" t="s">
        <v>227</v>
      </c>
      <c r="F3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6">
        <f>ScenarioStat1[[#This Row],[team-1-win]]+ScenarioStat1[[#This Row],[team-2-win]]</f>
        <v>1</v>
      </c>
    </row>
    <row r="357" spans="1:7" x14ac:dyDescent="0.25">
      <c r="A357" t="s">
        <v>33</v>
      </c>
      <c r="B357" t="s">
        <v>38</v>
      </c>
      <c r="C3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7" t="s">
        <v>45</v>
      </c>
      <c r="E357" t="s">
        <v>63</v>
      </c>
      <c r="F3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7">
        <f>ScenarioStat1[[#This Row],[team-1-win]]+ScenarioStat1[[#This Row],[team-2-win]]</f>
        <v>1</v>
      </c>
    </row>
    <row r="358" spans="1:7" x14ac:dyDescent="0.25">
      <c r="A358" t="s">
        <v>33</v>
      </c>
      <c r="B358" t="s">
        <v>38</v>
      </c>
      <c r="C3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8" t="s">
        <v>45</v>
      </c>
      <c r="E358" t="s">
        <v>227</v>
      </c>
      <c r="F3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8">
        <f>ScenarioStat1[[#This Row],[team-1-win]]+ScenarioStat1[[#This Row],[team-2-win]]</f>
        <v>1</v>
      </c>
    </row>
    <row r="359" spans="1:7" x14ac:dyDescent="0.25">
      <c r="A359" t="s">
        <v>33</v>
      </c>
      <c r="B359" t="s">
        <v>38</v>
      </c>
      <c r="C3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9" t="s">
        <v>63</v>
      </c>
      <c r="E359" t="s">
        <v>227</v>
      </c>
      <c r="F3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9">
        <f>ScenarioStat1[[#This Row],[team-1-win]]+ScenarioStat1[[#This Row],[team-2-win]]</f>
        <v>1</v>
      </c>
    </row>
    <row r="360" spans="1:7" x14ac:dyDescent="0.25">
      <c r="A360" t="s">
        <v>33</v>
      </c>
      <c r="B360" t="s">
        <v>227</v>
      </c>
      <c r="C3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0" t="s">
        <v>43</v>
      </c>
      <c r="E360" t="s">
        <v>45</v>
      </c>
      <c r="F3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0">
        <f>ScenarioStat1[[#This Row],[team-1-win]]+ScenarioStat1[[#This Row],[team-2-win]]</f>
        <v>1</v>
      </c>
    </row>
    <row r="361" spans="1:7" x14ac:dyDescent="0.25">
      <c r="A361" t="s">
        <v>33</v>
      </c>
      <c r="B361" t="s">
        <v>227</v>
      </c>
      <c r="C3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1" t="s">
        <v>43</v>
      </c>
      <c r="E361" t="s">
        <v>63</v>
      </c>
      <c r="F3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1">
        <f>ScenarioStat1[[#This Row],[team-1-win]]+ScenarioStat1[[#This Row],[team-2-win]]</f>
        <v>1</v>
      </c>
    </row>
    <row r="362" spans="1:7" x14ac:dyDescent="0.25">
      <c r="A362" t="s">
        <v>33</v>
      </c>
      <c r="B362" t="s">
        <v>227</v>
      </c>
      <c r="C3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2" t="s">
        <v>43</v>
      </c>
      <c r="E362" t="s">
        <v>38</v>
      </c>
      <c r="F3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2">
        <f>ScenarioStat1[[#This Row],[team-1-win]]+ScenarioStat1[[#This Row],[team-2-win]]</f>
        <v>1</v>
      </c>
    </row>
    <row r="363" spans="1:7" x14ac:dyDescent="0.25">
      <c r="A363" t="s">
        <v>33</v>
      </c>
      <c r="B363" t="s">
        <v>227</v>
      </c>
      <c r="C3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3" t="s">
        <v>45</v>
      </c>
      <c r="E363" t="s">
        <v>63</v>
      </c>
      <c r="F3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3">
        <f>ScenarioStat1[[#This Row],[team-1-win]]+ScenarioStat1[[#This Row],[team-2-win]]</f>
        <v>1</v>
      </c>
    </row>
    <row r="364" spans="1:7" x14ac:dyDescent="0.25">
      <c r="A364" t="s">
        <v>33</v>
      </c>
      <c r="B364" t="s">
        <v>227</v>
      </c>
      <c r="C3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4" t="s">
        <v>45</v>
      </c>
      <c r="E364" t="s">
        <v>38</v>
      </c>
      <c r="F3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4">
        <f>ScenarioStat1[[#This Row],[team-1-win]]+ScenarioStat1[[#This Row],[team-2-win]]</f>
        <v>1</v>
      </c>
    </row>
    <row r="365" spans="1:7" x14ac:dyDescent="0.25">
      <c r="A365" t="s">
        <v>33</v>
      </c>
      <c r="B365" t="s">
        <v>227</v>
      </c>
      <c r="C3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5" t="s">
        <v>63</v>
      </c>
      <c r="E365" t="s">
        <v>38</v>
      </c>
      <c r="F3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5">
        <f>ScenarioStat1[[#This Row],[team-1-win]]+ScenarioStat1[[#This Row],[team-2-win]]</f>
        <v>1</v>
      </c>
    </row>
    <row r="366" spans="1:7" x14ac:dyDescent="0.25">
      <c r="A366" t="s">
        <v>43</v>
      </c>
      <c r="B366" t="s">
        <v>45</v>
      </c>
      <c r="C3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6" t="s">
        <v>63</v>
      </c>
      <c r="E366" t="s">
        <v>38</v>
      </c>
      <c r="F3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6">
        <f>ScenarioStat1[[#This Row],[team-1-win]]+ScenarioStat1[[#This Row],[team-2-win]]</f>
        <v>1</v>
      </c>
    </row>
    <row r="367" spans="1:7" x14ac:dyDescent="0.25">
      <c r="A367" t="s">
        <v>43</v>
      </c>
      <c r="B367" t="s">
        <v>45</v>
      </c>
      <c r="C3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7" t="s">
        <v>63</v>
      </c>
      <c r="E367" t="s">
        <v>227</v>
      </c>
      <c r="F3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7">
        <f>ScenarioStat1[[#This Row],[team-1-win]]+ScenarioStat1[[#This Row],[team-2-win]]</f>
        <v>1</v>
      </c>
    </row>
    <row r="368" spans="1:7" x14ac:dyDescent="0.25">
      <c r="A368" t="s">
        <v>43</v>
      </c>
      <c r="B368" t="s">
        <v>45</v>
      </c>
      <c r="C3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8" t="s">
        <v>38</v>
      </c>
      <c r="E368" t="s">
        <v>227</v>
      </c>
      <c r="F3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8">
        <f>ScenarioStat1[[#This Row],[team-1-win]]+ScenarioStat1[[#This Row],[team-2-win]]</f>
        <v>1</v>
      </c>
    </row>
    <row r="369" spans="1:7" x14ac:dyDescent="0.25">
      <c r="A369" t="s">
        <v>43</v>
      </c>
      <c r="B369" t="s">
        <v>63</v>
      </c>
      <c r="C3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9" t="s">
        <v>45</v>
      </c>
      <c r="E369" t="s">
        <v>38</v>
      </c>
      <c r="F3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9">
        <f>ScenarioStat1[[#This Row],[team-1-win]]+ScenarioStat1[[#This Row],[team-2-win]]</f>
        <v>1</v>
      </c>
    </row>
    <row r="370" spans="1:7" x14ac:dyDescent="0.25">
      <c r="A370" t="s">
        <v>43</v>
      </c>
      <c r="B370" t="s">
        <v>63</v>
      </c>
      <c r="C3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0" t="s">
        <v>45</v>
      </c>
      <c r="E370" t="s">
        <v>227</v>
      </c>
      <c r="F3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0">
        <f>ScenarioStat1[[#This Row],[team-1-win]]+ScenarioStat1[[#This Row],[team-2-win]]</f>
        <v>1</v>
      </c>
    </row>
    <row r="371" spans="1:7" x14ac:dyDescent="0.25">
      <c r="A371" t="s">
        <v>43</v>
      </c>
      <c r="B371" t="s">
        <v>63</v>
      </c>
      <c r="C3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1" t="s">
        <v>38</v>
      </c>
      <c r="E371" t="s">
        <v>227</v>
      </c>
      <c r="F3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1">
        <f>ScenarioStat1[[#This Row],[team-1-win]]+ScenarioStat1[[#This Row],[team-2-win]]</f>
        <v>1</v>
      </c>
    </row>
    <row r="372" spans="1:7" x14ac:dyDescent="0.25">
      <c r="A372" t="s">
        <v>43</v>
      </c>
      <c r="B372" t="s">
        <v>38</v>
      </c>
      <c r="C3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2" t="s">
        <v>45</v>
      </c>
      <c r="E372" t="s">
        <v>63</v>
      </c>
      <c r="F3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2">
        <f>ScenarioStat1[[#This Row],[team-1-win]]+ScenarioStat1[[#This Row],[team-2-win]]</f>
        <v>1</v>
      </c>
    </row>
    <row r="373" spans="1:7" x14ac:dyDescent="0.25">
      <c r="A373" t="s">
        <v>43</v>
      </c>
      <c r="B373" t="s">
        <v>38</v>
      </c>
      <c r="C3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3" t="s">
        <v>45</v>
      </c>
      <c r="E373" t="s">
        <v>227</v>
      </c>
      <c r="F3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3">
        <f>ScenarioStat1[[#This Row],[team-1-win]]+ScenarioStat1[[#This Row],[team-2-win]]</f>
        <v>1</v>
      </c>
    </row>
    <row r="374" spans="1:7" x14ac:dyDescent="0.25">
      <c r="A374" t="s">
        <v>43</v>
      </c>
      <c r="B374" t="s">
        <v>38</v>
      </c>
      <c r="C3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4" t="s">
        <v>63</v>
      </c>
      <c r="E374" t="s">
        <v>227</v>
      </c>
      <c r="F3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4">
        <f>ScenarioStat1[[#This Row],[team-1-win]]+ScenarioStat1[[#This Row],[team-2-win]]</f>
        <v>1</v>
      </c>
    </row>
    <row r="375" spans="1:7" x14ac:dyDescent="0.25">
      <c r="A375" t="s">
        <v>43</v>
      </c>
      <c r="B375" t="s">
        <v>227</v>
      </c>
      <c r="C3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5" t="s">
        <v>45</v>
      </c>
      <c r="E375" t="s">
        <v>63</v>
      </c>
      <c r="F3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5">
        <f>ScenarioStat1[[#This Row],[team-1-win]]+ScenarioStat1[[#This Row],[team-2-win]]</f>
        <v>1</v>
      </c>
    </row>
    <row r="376" spans="1:7" x14ac:dyDescent="0.25">
      <c r="A376" t="s">
        <v>43</v>
      </c>
      <c r="B376" t="s">
        <v>227</v>
      </c>
      <c r="C3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6" t="s">
        <v>45</v>
      </c>
      <c r="E376" t="s">
        <v>38</v>
      </c>
      <c r="F3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6">
        <f>ScenarioStat1[[#This Row],[team-1-win]]+ScenarioStat1[[#This Row],[team-2-win]]</f>
        <v>1</v>
      </c>
    </row>
    <row r="377" spans="1:7" x14ac:dyDescent="0.25">
      <c r="A377" t="s">
        <v>43</v>
      </c>
      <c r="B377" t="s">
        <v>227</v>
      </c>
      <c r="C3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7" t="s">
        <v>63</v>
      </c>
      <c r="E377" t="s">
        <v>38</v>
      </c>
      <c r="F3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7">
        <f>ScenarioStat1[[#This Row],[team-1-win]]+ScenarioStat1[[#This Row],[team-2-win]]</f>
        <v>1</v>
      </c>
    </row>
    <row r="378" spans="1:7" x14ac:dyDescent="0.25">
      <c r="A378" t="s">
        <v>45</v>
      </c>
      <c r="B378" t="s">
        <v>63</v>
      </c>
      <c r="C3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8" t="s">
        <v>38</v>
      </c>
      <c r="E378" t="s">
        <v>227</v>
      </c>
      <c r="F3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8">
        <f>ScenarioStat1[[#This Row],[team-1-win]]+ScenarioStat1[[#This Row],[team-2-win]]</f>
        <v>1</v>
      </c>
    </row>
    <row r="379" spans="1:7" x14ac:dyDescent="0.25">
      <c r="A379" t="s">
        <v>45</v>
      </c>
      <c r="B379" t="s">
        <v>38</v>
      </c>
      <c r="C3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9" t="s">
        <v>63</v>
      </c>
      <c r="E379" t="s">
        <v>227</v>
      </c>
      <c r="F3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9">
        <f>ScenarioStat1[[#This Row],[team-1-win]]+ScenarioStat1[[#This Row],[team-2-win]]</f>
        <v>1</v>
      </c>
    </row>
    <row r="380" spans="1:7" x14ac:dyDescent="0.25">
      <c r="A380" t="s">
        <v>45</v>
      </c>
      <c r="B380" t="s">
        <v>227</v>
      </c>
      <c r="C3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0" t="s">
        <v>63</v>
      </c>
      <c r="E380" t="s">
        <v>38</v>
      </c>
      <c r="F3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80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73"/>
  <sheetViews>
    <sheetView workbookViewId="0">
      <selection activeCell="W9" sqref="W9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1001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83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57</v>
      </c>
      <c r="P2" t="s">
        <v>122</v>
      </c>
      <c r="Q2" t="s">
        <v>123</v>
      </c>
      <c r="R2" t="s">
        <v>124</v>
      </c>
      <c r="S2">
        <v>0</v>
      </c>
      <c r="T2">
        <v>31</v>
      </c>
    </row>
    <row r="3" spans="1:20" x14ac:dyDescent="0.25">
      <c r="A3" t="s">
        <v>1037</v>
      </c>
      <c r="B3">
        <v>0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97</v>
      </c>
      <c r="J3" t="s">
        <v>115</v>
      </c>
      <c r="K3" t="s">
        <v>56</v>
      </c>
      <c r="L3">
        <v>3</v>
      </c>
      <c r="N3">
        <v>3</v>
      </c>
      <c r="O3" t="s">
        <v>57</v>
      </c>
      <c r="P3" t="s">
        <v>122</v>
      </c>
      <c r="Q3" t="s">
        <v>123</v>
      </c>
      <c r="R3" t="s">
        <v>124</v>
      </c>
      <c r="S3">
        <v>0</v>
      </c>
      <c r="T3">
        <v>25</v>
      </c>
    </row>
    <row r="4" spans="1:20" x14ac:dyDescent="0.25">
      <c r="A4" t="s">
        <v>1002</v>
      </c>
      <c r="B4">
        <v>1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114</v>
      </c>
      <c r="J4" t="s">
        <v>98</v>
      </c>
      <c r="K4" t="s">
        <v>48</v>
      </c>
      <c r="L4">
        <v>3</v>
      </c>
      <c r="N4">
        <v>3</v>
      </c>
      <c r="O4" t="s">
        <v>49</v>
      </c>
      <c r="P4" t="s">
        <v>84</v>
      </c>
      <c r="Q4" t="s">
        <v>90</v>
      </c>
      <c r="R4" t="s">
        <v>52</v>
      </c>
      <c r="S4">
        <v>0</v>
      </c>
      <c r="T4">
        <v>25</v>
      </c>
    </row>
    <row r="5" spans="1:20" x14ac:dyDescent="0.25">
      <c r="A5" t="s">
        <v>1038</v>
      </c>
      <c r="B5">
        <v>1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105</v>
      </c>
      <c r="J5" t="s">
        <v>98</v>
      </c>
      <c r="K5" t="s">
        <v>48</v>
      </c>
      <c r="L5">
        <v>3</v>
      </c>
      <c r="N5">
        <v>3</v>
      </c>
      <c r="O5" t="s">
        <v>49</v>
      </c>
      <c r="P5" t="s">
        <v>84</v>
      </c>
      <c r="Q5" t="s">
        <v>90</v>
      </c>
      <c r="R5" t="s">
        <v>52</v>
      </c>
      <c r="S5">
        <v>0</v>
      </c>
      <c r="T5">
        <v>31</v>
      </c>
    </row>
    <row r="6" spans="1:20" x14ac:dyDescent="0.25">
      <c r="A6" t="s">
        <v>1003</v>
      </c>
      <c r="B6">
        <v>2</v>
      </c>
      <c r="C6" t="s">
        <v>53</v>
      </c>
      <c r="D6">
        <v>2</v>
      </c>
      <c r="E6">
        <v>1</v>
      </c>
      <c r="F6">
        <v>2</v>
      </c>
      <c r="G6" t="s">
        <v>111</v>
      </c>
      <c r="H6" t="s">
        <v>83</v>
      </c>
      <c r="K6" t="s">
        <v>33</v>
      </c>
      <c r="L6">
        <v>2</v>
      </c>
      <c r="N6">
        <v>3</v>
      </c>
      <c r="O6" t="s">
        <v>34</v>
      </c>
      <c r="S6">
        <v>0</v>
      </c>
      <c r="T6">
        <v>8</v>
      </c>
    </row>
    <row r="7" spans="1:20" x14ac:dyDescent="0.25">
      <c r="A7" s="36" t="s">
        <v>1039</v>
      </c>
      <c r="B7">
        <v>2</v>
      </c>
      <c r="C7" t="s">
        <v>33</v>
      </c>
      <c r="D7">
        <v>3</v>
      </c>
      <c r="F7">
        <v>1</v>
      </c>
      <c r="G7" t="s">
        <v>34</v>
      </c>
      <c r="H7" t="s">
        <v>130</v>
      </c>
      <c r="I7" t="s">
        <v>132</v>
      </c>
      <c r="J7" t="s">
        <v>133</v>
      </c>
      <c r="K7" t="s">
        <v>53</v>
      </c>
      <c r="L7">
        <v>1</v>
      </c>
      <c r="M7">
        <v>2</v>
      </c>
      <c r="N7">
        <v>3</v>
      </c>
      <c r="O7" t="s">
        <v>112</v>
      </c>
      <c r="P7" t="s">
        <v>55</v>
      </c>
      <c r="Q7" t="s">
        <v>97</v>
      </c>
      <c r="S7">
        <v>0</v>
      </c>
      <c r="T7">
        <v>13</v>
      </c>
    </row>
    <row r="8" spans="1:20" x14ac:dyDescent="0.25">
      <c r="A8" t="s">
        <v>1004</v>
      </c>
      <c r="B8">
        <v>3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83</v>
      </c>
      <c r="I8" t="s">
        <v>97</v>
      </c>
      <c r="J8" t="s">
        <v>98</v>
      </c>
      <c r="K8" t="s">
        <v>43</v>
      </c>
      <c r="L8">
        <v>3</v>
      </c>
      <c r="N8">
        <v>3</v>
      </c>
      <c r="O8" t="s">
        <v>135</v>
      </c>
      <c r="P8" t="s">
        <v>74</v>
      </c>
      <c r="Q8" t="s">
        <v>75</v>
      </c>
      <c r="R8" t="s">
        <v>138</v>
      </c>
      <c r="S8">
        <v>0</v>
      </c>
      <c r="T8">
        <v>20</v>
      </c>
    </row>
    <row r="9" spans="1:20" x14ac:dyDescent="0.25">
      <c r="A9" t="s">
        <v>1040</v>
      </c>
      <c r="B9">
        <v>3</v>
      </c>
      <c r="C9" t="s">
        <v>53</v>
      </c>
      <c r="D9">
        <v>3</v>
      </c>
      <c r="E9">
        <v>3</v>
      </c>
      <c r="F9">
        <v>3</v>
      </c>
      <c r="G9" t="s">
        <v>112</v>
      </c>
      <c r="H9" t="s">
        <v>83</v>
      </c>
      <c r="I9" t="s">
        <v>97</v>
      </c>
      <c r="J9" t="s">
        <v>98</v>
      </c>
      <c r="K9" t="s">
        <v>43</v>
      </c>
      <c r="L9">
        <v>3</v>
      </c>
      <c r="N9">
        <v>3</v>
      </c>
      <c r="O9" t="s">
        <v>135</v>
      </c>
      <c r="P9" t="s">
        <v>74</v>
      </c>
      <c r="Q9" t="s">
        <v>137</v>
      </c>
      <c r="R9" t="s">
        <v>139</v>
      </c>
      <c r="S9">
        <v>0</v>
      </c>
      <c r="T9">
        <v>28</v>
      </c>
    </row>
    <row r="10" spans="1:20" x14ac:dyDescent="0.25">
      <c r="A10" t="s">
        <v>1005</v>
      </c>
      <c r="B10">
        <v>4</v>
      </c>
      <c r="C10" t="s">
        <v>53</v>
      </c>
      <c r="D10">
        <v>2</v>
      </c>
      <c r="E10">
        <v>3</v>
      </c>
      <c r="F10">
        <v>3</v>
      </c>
      <c r="G10" t="s">
        <v>112</v>
      </c>
      <c r="H10" t="s">
        <v>55</v>
      </c>
      <c r="I10" t="s">
        <v>114</v>
      </c>
      <c r="J10" t="s">
        <v>98</v>
      </c>
      <c r="K10" t="s">
        <v>45</v>
      </c>
      <c r="L10">
        <v>3</v>
      </c>
      <c r="N10">
        <v>3</v>
      </c>
      <c r="O10" t="s">
        <v>86</v>
      </c>
      <c r="P10" t="s">
        <v>76</v>
      </c>
      <c r="Q10" t="s">
        <v>93</v>
      </c>
      <c r="R10" t="s">
        <v>94</v>
      </c>
      <c r="S10">
        <v>0</v>
      </c>
      <c r="T10">
        <v>18</v>
      </c>
    </row>
    <row r="11" spans="1:20" x14ac:dyDescent="0.25">
      <c r="A11" t="s">
        <v>1041</v>
      </c>
      <c r="B11">
        <v>4</v>
      </c>
      <c r="C11" t="s">
        <v>53</v>
      </c>
      <c r="D11">
        <v>2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98</v>
      </c>
      <c r="K11" t="s">
        <v>45</v>
      </c>
      <c r="L11">
        <v>3</v>
      </c>
      <c r="N11">
        <v>3</v>
      </c>
      <c r="O11" t="s">
        <v>86</v>
      </c>
      <c r="P11" t="s">
        <v>141</v>
      </c>
      <c r="Q11" t="s">
        <v>93</v>
      </c>
      <c r="R11" t="s">
        <v>94</v>
      </c>
      <c r="S11">
        <v>0</v>
      </c>
      <c r="T11">
        <v>18</v>
      </c>
    </row>
    <row r="12" spans="1:20" x14ac:dyDescent="0.25">
      <c r="A12" t="s">
        <v>1006</v>
      </c>
      <c r="B12">
        <v>5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114</v>
      </c>
      <c r="J12" t="s">
        <v>115</v>
      </c>
      <c r="K12" t="s">
        <v>63</v>
      </c>
      <c r="L12">
        <v>3</v>
      </c>
      <c r="N12">
        <v>3</v>
      </c>
      <c r="O12" t="s">
        <v>103</v>
      </c>
      <c r="P12" t="s">
        <v>91</v>
      </c>
      <c r="Q12" t="s">
        <v>148</v>
      </c>
      <c r="R12" t="s">
        <v>151</v>
      </c>
      <c r="S12">
        <v>0</v>
      </c>
      <c r="T12">
        <v>27</v>
      </c>
    </row>
    <row r="13" spans="1:20" x14ac:dyDescent="0.25">
      <c r="A13" t="s">
        <v>1042</v>
      </c>
      <c r="B13">
        <v>5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55</v>
      </c>
      <c r="I13" t="s">
        <v>114</v>
      </c>
      <c r="J13" t="s">
        <v>98</v>
      </c>
      <c r="K13" t="s">
        <v>63</v>
      </c>
      <c r="L13">
        <v>3</v>
      </c>
      <c r="N13">
        <v>3</v>
      </c>
      <c r="O13" t="s">
        <v>103</v>
      </c>
      <c r="P13" t="s">
        <v>91</v>
      </c>
      <c r="Q13" t="s">
        <v>148</v>
      </c>
      <c r="R13" t="s">
        <v>151</v>
      </c>
      <c r="S13">
        <v>0</v>
      </c>
      <c r="T13">
        <v>25</v>
      </c>
    </row>
    <row r="14" spans="1:20" x14ac:dyDescent="0.25">
      <c r="A14" t="s">
        <v>1007</v>
      </c>
      <c r="B14">
        <v>6</v>
      </c>
      <c r="C14" t="s">
        <v>53</v>
      </c>
      <c r="D14">
        <v>2</v>
      </c>
      <c r="E14">
        <v>3</v>
      </c>
      <c r="F14">
        <v>2</v>
      </c>
      <c r="G14" t="s">
        <v>112</v>
      </c>
      <c r="H14" t="s">
        <v>55</v>
      </c>
      <c r="K14" t="s">
        <v>38</v>
      </c>
      <c r="L14">
        <v>3</v>
      </c>
      <c r="M14">
        <v>2</v>
      </c>
      <c r="N14">
        <v>1</v>
      </c>
      <c r="O14" t="s">
        <v>152</v>
      </c>
      <c r="P14" t="s">
        <v>40</v>
      </c>
      <c r="Q14" t="s">
        <v>41</v>
      </c>
      <c r="S14">
        <v>0</v>
      </c>
      <c r="T14">
        <v>12</v>
      </c>
    </row>
    <row r="15" spans="1:20" x14ac:dyDescent="0.25">
      <c r="A15" t="s">
        <v>1043</v>
      </c>
      <c r="B15">
        <v>6</v>
      </c>
      <c r="C15" t="s">
        <v>53</v>
      </c>
      <c r="D15">
        <v>2</v>
      </c>
      <c r="E15">
        <v>2</v>
      </c>
      <c r="F15">
        <v>1</v>
      </c>
      <c r="G15" t="s">
        <v>112</v>
      </c>
      <c r="H15" t="s">
        <v>55</v>
      </c>
      <c r="I15" t="s">
        <v>105</v>
      </c>
      <c r="J15" t="s">
        <v>98</v>
      </c>
      <c r="K15" t="s">
        <v>38</v>
      </c>
      <c r="L15">
        <v>2</v>
      </c>
      <c r="M15">
        <v>1</v>
      </c>
      <c r="N15">
        <v>2</v>
      </c>
      <c r="O15" t="s">
        <v>39</v>
      </c>
      <c r="P15" t="s">
        <v>40</v>
      </c>
      <c r="Q15" t="s">
        <v>154</v>
      </c>
      <c r="R15" t="s">
        <v>42</v>
      </c>
      <c r="S15">
        <v>0</v>
      </c>
      <c r="T15">
        <v>14</v>
      </c>
    </row>
    <row r="16" spans="1:20" x14ac:dyDescent="0.25">
      <c r="A16" t="s">
        <v>1008</v>
      </c>
      <c r="B16">
        <v>7</v>
      </c>
      <c r="C16" t="s">
        <v>227</v>
      </c>
      <c r="D16">
        <v>3</v>
      </c>
      <c r="E16">
        <v>1</v>
      </c>
      <c r="F16">
        <v>3</v>
      </c>
      <c r="G16" t="s">
        <v>228</v>
      </c>
      <c r="H16" t="s">
        <v>231</v>
      </c>
      <c r="I16" t="s">
        <v>236</v>
      </c>
      <c r="J16" t="s">
        <v>238</v>
      </c>
      <c r="K16" t="s">
        <v>53</v>
      </c>
      <c r="L16">
        <v>3</v>
      </c>
      <c r="M16">
        <v>1</v>
      </c>
      <c r="N16">
        <v>2</v>
      </c>
      <c r="O16" t="s">
        <v>112</v>
      </c>
      <c r="P16" t="s">
        <v>83</v>
      </c>
      <c r="Q16" t="s">
        <v>97</v>
      </c>
      <c r="R16" t="s">
        <v>98</v>
      </c>
      <c r="S16">
        <v>0</v>
      </c>
      <c r="T16">
        <v>15</v>
      </c>
    </row>
    <row r="17" spans="1:20" x14ac:dyDescent="0.25">
      <c r="A17" t="s">
        <v>1044</v>
      </c>
      <c r="B17">
        <v>7</v>
      </c>
      <c r="C17" t="s">
        <v>227</v>
      </c>
      <c r="D17">
        <v>3</v>
      </c>
      <c r="E17">
        <v>1</v>
      </c>
      <c r="F17">
        <v>2</v>
      </c>
      <c r="G17" t="s">
        <v>228</v>
      </c>
      <c r="H17" t="s">
        <v>231</v>
      </c>
      <c r="I17" t="s">
        <v>236</v>
      </c>
      <c r="J17" t="s">
        <v>238</v>
      </c>
      <c r="K17" t="s">
        <v>53</v>
      </c>
      <c r="L17">
        <v>3</v>
      </c>
      <c r="M17">
        <v>1</v>
      </c>
      <c r="N17">
        <v>2</v>
      </c>
      <c r="O17" t="s">
        <v>112</v>
      </c>
      <c r="P17" t="s">
        <v>83</v>
      </c>
      <c r="Q17" t="s">
        <v>97</v>
      </c>
      <c r="R17" t="s">
        <v>98</v>
      </c>
      <c r="S17">
        <v>0</v>
      </c>
      <c r="T17">
        <v>15</v>
      </c>
    </row>
    <row r="18" spans="1:20" x14ac:dyDescent="0.25">
      <c r="A18" t="s">
        <v>1009</v>
      </c>
      <c r="B18">
        <v>8</v>
      </c>
      <c r="C18" t="s">
        <v>56</v>
      </c>
      <c r="D18">
        <v>3</v>
      </c>
      <c r="F18">
        <v>1</v>
      </c>
      <c r="G18" t="s">
        <v>120</v>
      </c>
      <c r="H18" t="s">
        <v>122</v>
      </c>
      <c r="I18" t="s">
        <v>123</v>
      </c>
      <c r="K18" t="s">
        <v>48</v>
      </c>
      <c r="L18">
        <v>3</v>
      </c>
      <c r="N18">
        <v>1</v>
      </c>
      <c r="O18" t="s">
        <v>49</v>
      </c>
      <c r="P18" t="s">
        <v>84</v>
      </c>
      <c r="Q18" t="s">
        <v>90</v>
      </c>
      <c r="R18" t="s">
        <v>128</v>
      </c>
      <c r="S18">
        <v>0</v>
      </c>
      <c r="T18">
        <v>12</v>
      </c>
    </row>
    <row r="19" spans="1:20" x14ac:dyDescent="0.25">
      <c r="A19" t="s">
        <v>1045</v>
      </c>
      <c r="B19">
        <v>8</v>
      </c>
      <c r="C19" t="s">
        <v>48</v>
      </c>
      <c r="D19">
        <v>3</v>
      </c>
      <c r="F19">
        <v>2</v>
      </c>
      <c r="G19" t="s">
        <v>49</v>
      </c>
      <c r="H19" t="s">
        <v>84</v>
      </c>
      <c r="I19" t="s">
        <v>90</v>
      </c>
      <c r="J19" t="s">
        <v>128</v>
      </c>
      <c r="K19" t="s">
        <v>56</v>
      </c>
      <c r="L19">
        <v>3</v>
      </c>
      <c r="N19">
        <v>2</v>
      </c>
      <c r="O19" t="s">
        <v>120</v>
      </c>
      <c r="P19" t="s">
        <v>69</v>
      </c>
      <c r="Q19" t="s">
        <v>123</v>
      </c>
      <c r="R19" t="s">
        <v>88</v>
      </c>
      <c r="S19">
        <v>0</v>
      </c>
      <c r="T19">
        <v>15</v>
      </c>
    </row>
    <row r="20" spans="1:20" x14ac:dyDescent="0.25">
      <c r="A20" t="s">
        <v>1010</v>
      </c>
      <c r="B20">
        <v>9</v>
      </c>
      <c r="C20" t="s">
        <v>33</v>
      </c>
      <c r="D20">
        <v>1</v>
      </c>
      <c r="F20">
        <v>3</v>
      </c>
      <c r="G20" t="s">
        <v>34</v>
      </c>
      <c r="K20" t="s">
        <v>56</v>
      </c>
      <c r="L20">
        <v>3</v>
      </c>
      <c r="N20">
        <v>1</v>
      </c>
      <c r="O20" t="s">
        <v>68</v>
      </c>
      <c r="S20">
        <v>0</v>
      </c>
      <c r="T20">
        <v>7</v>
      </c>
    </row>
    <row r="21" spans="1:20" x14ac:dyDescent="0.25">
      <c r="A21" t="s">
        <v>1046</v>
      </c>
      <c r="B21">
        <v>9</v>
      </c>
      <c r="C21" t="s">
        <v>56</v>
      </c>
      <c r="D21">
        <v>3</v>
      </c>
      <c r="F21">
        <v>1</v>
      </c>
      <c r="G21" t="s">
        <v>120</v>
      </c>
      <c r="K21" t="s">
        <v>33</v>
      </c>
      <c r="L21">
        <v>1</v>
      </c>
      <c r="N21">
        <v>2</v>
      </c>
      <c r="O21" t="s">
        <v>65</v>
      </c>
      <c r="P21" t="s">
        <v>130</v>
      </c>
      <c r="S21">
        <v>0</v>
      </c>
      <c r="T21">
        <v>6</v>
      </c>
    </row>
    <row r="22" spans="1:20" x14ac:dyDescent="0.25">
      <c r="A22" t="s">
        <v>1011</v>
      </c>
      <c r="B22">
        <v>10</v>
      </c>
      <c r="C22" t="s">
        <v>43</v>
      </c>
      <c r="D22">
        <v>2</v>
      </c>
      <c r="F22">
        <v>1</v>
      </c>
      <c r="G22" t="s">
        <v>135</v>
      </c>
      <c r="H22" t="s">
        <v>74</v>
      </c>
      <c r="I22" t="s">
        <v>137</v>
      </c>
      <c r="K22" t="s">
        <v>56</v>
      </c>
      <c r="L22">
        <v>2</v>
      </c>
      <c r="N22">
        <v>2</v>
      </c>
      <c r="O22" t="s">
        <v>120</v>
      </c>
      <c r="S22">
        <v>0</v>
      </c>
      <c r="T22">
        <v>9</v>
      </c>
    </row>
    <row r="23" spans="1:20" x14ac:dyDescent="0.25">
      <c r="A23" t="s">
        <v>1047</v>
      </c>
      <c r="B23">
        <v>10</v>
      </c>
      <c r="C23" t="s">
        <v>43</v>
      </c>
      <c r="D23">
        <v>2</v>
      </c>
      <c r="F23">
        <v>1</v>
      </c>
      <c r="G23" t="s">
        <v>135</v>
      </c>
      <c r="H23" t="s">
        <v>136</v>
      </c>
      <c r="I23" t="s">
        <v>137</v>
      </c>
      <c r="K23" t="s">
        <v>56</v>
      </c>
      <c r="L23">
        <v>2</v>
      </c>
      <c r="N23">
        <v>1</v>
      </c>
      <c r="O23" t="s">
        <v>120</v>
      </c>
      <c r="P23" t="s">
        <v>122</v>
      </c>
      <c r="S23">
        <v>0</v>
      </c>
      <c r="T23">
        <v>7</v>
      </c>
    </row>
    <row r="24" spans="1:20" x14ac:dyDescent="0.25">
      <c r="A24" t="s">
        <v>1012</v>
      </c>
      <c r="B24">
        <v>11</v>
      </c>
      <c r="C24" t="s">
        <v>45</v>
      </c>
      <c r="D24">
        <v>3</v>
      </c>
      <c r="F24">
        <v>2</v>
      </c>
      <c r="G24" t="s">
        <v>140</v>
      </c>
      <c r="K24" t="s">
        <v>56</v>
      </c>
      <c r="L24">
        <v>3</v>
      </c>
      <c r="N24">
        <v>1</v>
      </c>
      <c r="O24" t="s">
        <v>68</v>
      </c>
      <c r="P24" t="s">
        <v>69</v>
      </c>
      <c r="S24">
        <v>0</v>
      </c>
      <c r="T24">
        <v>9</v>
      </c>
    </row>
    <row r="25" spans="1:20" x14ac:dyDescent="0.25">
      <c r="A25" t="s">
        <v>1048</v>
      </c>
      <c r="B25">
        <v>11</v>
      </c>
      <c r="C25" t="s">
        <v>45</v>
      </c>
      <c r="D25">
        <v>3</v>
      </c>
      <c r="F25">
        <v>2</v>
      </c>
      <c r="G25" t="s">
        <v>140</v>
      </c>
      <c r="K25" t="s">
        <v>56</v>
      </c>
      <c r="L25">
        <v>3</v>
      </c>
      <c r="N25">
        <v>2</v>
      </c>
      <c r="O25" t="s">
        <v>68</v>
      </c>
      <c r="S25">
        <v>0</v>
      </c>
      <c r="T25">
        <v>9</v>
      </c>
    </row>
    <row r="26" spans="1:20" x14ac:dyDescent="0.25">
      <c r="A26" t="s">
        <v>1013</v>
      </c>
      <c r="B26">
        <v>12</v>
      </c>
      <c r="C26" t="s">
        <v>63</v>
      </c>
      <c r="D26">
        <v>1</v>
      </c>
      <c r="F26">
        <v>2</v>
      </c>
      <c r="G26" t="s">
        <v>103</v>
      </c>
      <c r="H26" t="s">
        <v>146</v>
      </c>
      <c r="I26" t="s">
        <v>104</v>
      </c>
      <c r="J26" t="s">
        <v>149</v>
      </c>
      <c r="K26" t="s">
        <v>56</v>
      </c>
      <c r="L26">
        <v>3</v>
      </c>
      <c r="N26">
        <v>1</v>
      </c>
      <c r="O26" t="s">
        <v>57</v>
      </c>
      <c r="P26" t="s">
        <v>122</v>
      </c>
      <c r="Q26" t="s">
        <v>85</v>
      </c>
      <c r="S26">
        <v>0</v>
      </c>
      <c r="T26">
        <v>12</v>
      </c>
    </row>
    <row r="27" spans="1:20" x14ac:dyDescent="0.25">
      <c r="A27" t="s">
        <v>1049</v>
      </c>
      <c r="B27">
        <v>12</v>
      </c>
      <c r="C27" t="s">
        <v>63</v>
      </c>
      <c r="D27">
        <v>1</v>
      </c>
      <c r="F27">
        <v>1</v>
      </c>
      <c r="G27" t="s">
        <v>103</v>
      </c>
      <c r="H27" t="s">
        <v>146</v>
      </c>
      <c r="I27" t="s">
        <v>104</v>
      </c>
      <c r="J27" t="s">
        <v>149</v>
      </c>
      <c r="K27" t="s">
        <v>56</v>
      </c>
      <c r="L27">
        <v>3</v>
      </c>
      <c r="N27">
        <v>1</v>
      </c>
      <c r="O27" t="s">
        <v>57</v>
      </c>
      <c r="P27" t="s">
        <v>122</v>
      </c>
      <c r="S27">
        <v>0</v>
      </c>
      <c r="T27">
        <v>10</v>
      </c>
    </row>
    <row r="28" spans="1:20" x14ac:dyDescent="0.25">
      <c r="A28" t="s">
        <v>1014</v>
      </c>
      <c r="B28">
        <v>13</v>
      </c>
      <c r="C28" t="s">
        <v>56</v>
      </c>
      <c r="D28">
        <v>1</v>
      </c>
      <c r="F28">
        <v>1</v>
      </c>
      <c r="G28" t="s">
        <v>57</v>
      </c>
      <c r="H28" t="s">
        <v>122</v>
      </c>
      <c r="I28" t="s">
        <v>85</v>
      </c>
      <c r="J28" t="s">
        <v>125</v>
      </c>
      <c r="K28" t="s">
        <v>38</v>
      </c>
      <c r="L28">
        <v>1</v>
      </c>
      <c r="M28">
        <v>1</v>
      </c>
      <c r="N28">
        <v>2</v>
      </c>
      <c r="O28" t="s">
        <v>39</v>
      </c>
      <c r="P28" t="s">
        <v>96</v>
      </c>
      <c r="Q28" t="s">
        <v>153</v>
      </c>
      <c r="S28">
        <v>0</v>
      </c>
      <c r="T28">
        <v>8</v>
      </c>
    </row>
    <row r="29" spans="1:20" x14ac:dyDescent="0.25">
      <c r="A29" t="s">
        <v>1050</v>
      </c>
      <c r="B29">
        <v>13</v>
      </c>
      <c r="C29" t="s">
        <v>38</v>
      </c>
      <c r="D29">
        <v>3</v>
      </c>
      <c r="E29">
        <v>3</v>
      </c>
      <c r="F29">
        <v>3</v>
      </c>
      <c r="G29" t="s">
        <v>39</v>
      </c>
      <c r="H29" t="s">
        <v>96</v>
      </c>
      <c r="I29" t="s">
        <v>153</v>
      </c>
      <c r="J29" t="s">
        <v>156</v>
      </c>
      <c r="K29" t="s">
        <v>56</v>
      </c>
      <c r="L29">
        <v>3</v>
      </c>
      <c r="N29">
        <v>3</v>
      </c>
      <c r="O29" t="s">
        <v>57</v>
      </c>
      <c r="P29" t="s">
        <v>122</v>
      </c>
      <c r="Q29" t="s">
        <v>85</v>
      </c>
      <c r="R29" t="s">
        <v>125</v>
      </c>
      <c r="S29">
        <v>0</v>
      </c>
      <c r="T29">
        <v>29</v>
      </c>
    </row>
    <row r="30" spans="1:20" x14ac:dyDescent="0.25">
      <c r="A30" t="s">
        <v>1015</v>
      </c>
      <c r="B30">
        <v>14</v>
      </c>
      <c r="C30" t="s">
        <v>227</v>
      </c>
      <c r="D30">
        <v>3</v>
      </c>
      <c r="E30">
        <v>2</v>
      </c>
      <c r="F30">
        <v>3</v>
      </c>
      <c r="G30" t="s">
        <v>228</v>
      </c>
      <c r="K30" t="s">
        <v>56</v>
      </c>
      <c r="L30">
        <v>3</v>
      </c>
      <c r="N30">
        <v>1</v>
      </c>
      <c r="O30" t="s">
        <v>57</v>
      </c>
      <c r="P30" t="s">
        <v>122</v>
      </c>
      <c r="Q30" t="s">
        <v>87</v>
      </c>
      <c r="S30">
        <v>0</v>
      </c>
      <c r="T30">
        <v>11</v>
      </c>
    </row>
    <row r="31" spans="1:20" x14ac:dyDescent="0.25">
      <c r="A31" t="s">
        <v>1051</v>
      </c>
      <c r="B31">
        <v>14</v>
      </c>
      <c r="C31" t="s">
        <v>56</v>
      </c>
      <c r="D31">
        <v>3</v>
      </c>
      <c r="F31">
        <v>1</v>
      </c>
      <c r="G31" t="s">
        <v>57</v>
      </c>
      <c r="H31" t="s">
        <v>122</v>
      </c>
      <c r="K31" t="s">
        <v>227</v>
      </c>
      <c r="L31">
        <v>2</v>
      </c>
      <c r="M31">
        <v>1</v>
      </c>
      <c r="N31">
        <v>3</v>
      </c>
      <c r="O31" t="s">
        <v>228</v>
      </c>
      <c r="S31">
        <v>0</v>
      </c>
      <c r="T31">
        <v>8</v>
      </c>
    </row>
    <row r="32" spans="1:20" x14ac:dyDescent="0.25">
      <c r="A32" t="s">
        <v>1016</v>
      </c>
      <c r="B32">
        <v>15</v>
      </c>
      <c r="C32" t="s">
        <v>48</v>
      </c>
      <c r="D32">
        <v>2</v>
      </c>
      <c r="F32">
        <v>1</v>
      </c>
      <c r="G32" t="s">
        <v>89</v>
      </c>
      <c r="H32" t="s">
        <v>71</v>
      </c>
      <c r="K32" t="s">
        <v>33</v>
      </c>
      <c r="L32">
        <v>2</v>
      </c>
      <c r="N32">
        <v>2</v>
      </c>
      <c r="O32" t="s">
        <v>34</v>
      </c>
      <c r="S32">
        <v>0</v>
      </c>
      <c r="T32">
        <v>6</v>
      </c>
    </row>
    <row r="33" spans="1:20" x14ac:dyDescent="0.25">
      <c r="A33" t="s">
        <v>1052</v>
      </c>
      <c r="B33">
        <v>15</v>
      </c>
      <c r="C33" t="s">
        <v>33</v>
      </c>
      <c r="D33">
        <v>2</v>
      </c>
      <c r="F33">
        <v>3</v>
      </c>
      <c r="G33" t="s">
        <v>34</v>
      </c>
      <c r="K33" t="s">
        <v>48</v>
      </c>
      <c r="L33">
        <v>2</v>
      </c>
      <c r="N33">
        <v>1</v>
      </c>
      <c r="O33" t="s">
        <v>89</v>
      </c>
      <c r="P33" t="s">
        <v>50</v>
      </c>
      <c r="S33">
        <v>0</v>
      </c>
      <c r="T33">
        <v>7</v>
      </c>
    </row>
    <row r="34" spans="1:20" x14ac:dyDescent="0.25">
      <c r="A34" t="s">
        <v>1017</v>
      </c>
      <c r="B34">
        <v>16</v>
      </c>
      <c r="C34" t="s">
        <v>48</v>
      </c>
      <c r="D34">
        <v>3</v>
      </c>
      <c r="F34">
        <v>3</v>
      </c>
      <c r="G34" t="s">
        <v>126</v>
      </c>
      <c r="H34" t="s">
        <v>84</v>
      </c>
      <c r="I34" t="s">
        <v>90</v>
      </c>
      <c r="J34" t="s">
        <v>128</v>
      </c>
      <c r="K34" t="s">
        <v>43</v>
      </c>
      <c r="L34">
        <v>3</v>
      </c>
      <c r="N34">
        <v>3</v>
      </c>
      <c r="O34" t="s">
        <v>135</v>
      </c>
      <c r="P34" t="s">
        <v>74</v>
      </c>
      <c r="Q34" t="s">
        <v>137</v>
      </c>
      <c r="R34" t="s">
        <v>139</v>
      </c>
      <c r="S34">
        <v>0</v>
      </c>
      <c r="T34">
        <v>18</v>
      </c>
    </row>
    <row r="35" spans="1:20" x14ac:dyDescent="0.25">
      <c r="A35" t="s">
        <v>1053</v>
      </c>
      <c r="B35">
        <v>16</v>
      </c>
      <c r="C35" t="s">
        <v>48</v>
      </c>
      <c r="D35">
        <v>3</v>
      </c>
      <c r="F35">
        <v>3</v>
      </c>
      <c r="G35" t="s">
        <v>126</v>
      </c>
      <c r="H35" t="s">
        <v>84</v>
      </c>
      <c r="I35" t="s">
        <v>90</v>
      </c>
      <c r="J35" t="s">
        <v>128</v>
      </c>
      <c r="K35" t="s">
        <v>43</v>
      </c>
      <c r="L35">
        <v>3</v>
      </c>
      <c r="N35">
        <v>3</v>
      </c>
      <c r="O35" t="s">
        <v>135</v>
      </c>
      <c r="P35" t="s">
        <v>74</v>
      </c>
      <c r="Q35" t="s">
        <v>137</v>
      </c>
      <c r="R35" t="s">
        <v>138</v>
      </c>
      <c r="S35">
        <v>0</v>
      </c>
      <c r="T35">
        <v>22</v>
      </c>
    </row>
    <row r="36" spans="1:20" x14ac:dyDescent="0.25">
      <c r="A36" t="s">
        <v>1018</v>
      </c>
      <c r="B36">
        <v>17</v>
      </c>
      <c r="C36" t="s">
        <v>48</v>
      </c>
      <c r="D36">
        <v>3</v>
      </c>
      <c r="F36">
        <v>3</v>
      </c>
      <c r="G36" t="s">
        <v>126</v>
      </c>
      <c r="H36" t="s">
        <v>84</v>
      </c>
      <c r="I36" t="s">
        <v>90</v>
      </c>
      <c r="J36" t="s">
        <v>128</v>
      </c>
      <c r="K36" t="s">
        <v>45</v>
      </c>
      <c r="L36">
        <v>3</v>
      </c>
      <c r="N36">
        <v>3</v>
      </c>
      <c r="O36" t="s">
        <v>86</v>
      </c>
      <c r="P36" t="s">
        <v>141</v>
      </c>
      <c r="Q36" t="s">
        <v>93</v>
      </c>
      <c r="R36" t="s">
        <v>143</v>
      </c>
      <c r="S36">
        <v>0</v>
      </c>
      <c r="T36">
        <v>18</v>
      </c>
    </row>
    <row r="37" spans="1:20" x14ac:dyDescent="0.25">
      <c r="A37" t="s">
        <v>1054</v>
      </c>
      <c r="B37">
        <v>17</v>
      </c>
      <c r="C37" t="s">
        <v>48</v>
      </c>
      <c r="D37">
        <v>2</v>
      </c>
      <c r="F37">
        <v>3</v>
      </c>
      <c r="G37" t="s">
        <v>126</v>
      </c>
      <c r="H37" t="s">
        <v>84</v>
      </c>
      <c r="I37" t="s">
        <v>90</v>
      </c>
      <c r="J37" t="s">
        <v>128</v>
      </c>
      <c r="K37" t="s">
        <v>45</v>
      </c>
      <c r="L37">
        <v>3</v>
      </c>
      <c r="N37">
        <v>2</v>
      </c>
      <c r="O37" t="s">
        <v>86</v>
      </c>
      <c r="P37" t="s">
        <v>141</v>
      </c>
      <c r="Q37" t="s">
        <v>93</v>
      </c>
      <c r="R37" t="s">
        <v>143</v>
      </c>
      <c r="S37">
        <v>0</v>
      </c>
      <c r="T37">
        <v>14</v>
      </c>
    </row>
    <row r="38" spans="1:20" x14ac:dyDescent="0.25">
      <c r="A38" t="s">
        <v>1019</v>
      </c>
      <c r="B38">
        <v>18</v>
      </c>
      <c r="C38" t="s">
        <v>48</v>
      </c>
      <c r="D38">
        <v>3</v>
      </c>
      <c r="F38">
        <v>2</v>
      </c>
      <c r="G38" t="s">
        <v>49</v>
      </c>
      <c r="H38" t="s">
        <v>84</v>
      </c>
      <c r="I38" t="s">
        <v>127</v>
      </c>
      <c r="J38" t="s">
        <v>52</v>
      </c>
      <c r="K38" t="s">
        <v>63</v>
      </c>
      <c r="L38">
        <v>1</v>
      </c>
      <c r="N38">
        <v>3</v>
      </c>
      <c r="O38" t="s">
        <v>145</v>
      </c>
      <c r="P38" t="s">
        <v>91</v>
      </c>
      <c r="Q38" t="s">
        <v>148</v>
      </c>
      <c r="R38" t="s">
        <v>151</v>
      </c>
      <c r="S38">
        <v>0</v>
      </c>
      <c r="T38">
        <v>13</v>
      </c>
    </row>
    <row r="39" spans="1:20" x14ac:dyDescent="0.25">
      <c r="A39" t="s">
        <v>1055</v>
      </c>
      <c r="B39">
        <v>18</v>
      </c>
      <c r="C39" t="s">
        <v>48</v>
      </c>
      <c r="D39">
        <v>3</v>
      </c>
      <c r="F39">
        <v>1</v>
      </c>
      <c r="G39" t="s">
        <v>49</v>
      </c>
      <c r="H39" t="s">
        <v>84</v>
      </c>
      <c r="I39" t="s">
        <v>127</v>
      </c>
      <c r="K39" t="s">
        <v>63</v>
      </c>
      <c r="L39">
        <v>1</v>
      </c>
      <c r="N39">
        <v>1</v>
      </c>
      <c r="O39" t="s">
        <v>103</v>
      </c>
      <c r="P39" t="s">
        <v>91</v>
      </c>
      <c r="Q39" t="s">
        <v>148</v>
      </c>
      <c r="R39" t="s">
        <v>151</v>
      </c>
      <c r="S39">
        <v>0</v>
      </c>
      <c r="T39">
        <v>9</v>
      </c>
    </row>
    <row r="40" spans="1:20" x14ac:dyDescent="0.25">
      <c r="A40" t="s">
        <v>1020</v>
      </c>
      <c r="B40">
        <v>19</v>
      </c>
      <c r="C40" t="s">
        <v>48</v>
      </c>
      <c r="D40">
        <v>2</v>
      </c>
      <c r="F40">
        <v>1</v>
      </c>
      <c r="G40" t="s">
        <v>49</v>
      </c>
      <c r="H40" t="s">
        <v>84</v>
      </c>
      <c r="I40" t="s">
        <v>127</v>
      </c>
      <c r="K40" t="s">
        <v>38</v>
      </c>
      <c r="L40">
        <v>1</v>
      </c>
      <c r="M40">
        <v>1</v>
      </c>
      <c r="N40">
        <v>2</v>
      </c>
      <c r="O40" t="s">
        <v>39</v>
      </c>
      <c r="P40" t="s">
        <v>40</v>
      </c>
      <c r="Q40" t="s">
        <v>41</v>
      </c>
      <c r="S40">
        <v>0</v>
      </c>
      <c r="T40">
        <v>8</v>
      </c>
    </row>
    <row r="41" spans="1:20" x14ac:dyDescent="0.25">
      <c r="A41" t="s">
        <v>1056</v>
      </c>
      <c r="B41">
        <v>19</v>
      </c>
      <c r="C41" t="s">
        <v>48</v>
      </c>
      <c r="D41">
        <v>2</v>
      </c>
      <c r="F41">
        <v>1</v>
      </c>
      <c r="G41" t="s">
        <v>49</v>
      </c>
      <c r="H41" t="s">
        <v>84</v>
      </c>
      <c r="I41" t="s">
        <v>127</v>
      </c>
      <c r="K41" t="s">
        <v>38</v>
      </c>
      <c r="L41">
        <v>1</v>
      </c>
      <c r="M41">
        <v>1</v>
      </c>
      <c r="N41">
        <v>2</v>
      </c>
      <c r="O41" t="s">
        <v>39</v>
      </c>
      <c r="P41" t="s">
        <v>40</v>
      </c>
      <c r="Q41" t="s">
        <v>153</v>
      </c>
      <c r="S41">
        <v>0</v>
      </c>
      <c r="T41">
        <v>8</v>
      </c>
    </row>
    <row r="42" spans="1:20" x14ac:dyDescent="0.25">
      <c r="A42" t="s">
        <v>1021</v>
      </c>
      <c r="B42">
        <v>20</v>
      </c>
      <c r="C42" t="s">
        <v>48</v>
      </c>
      <c r="D42">
        <v>3</v>
      </c>
      <c r="F42">
        <v>1</v>
      </c>
      <c r="G42" t="s">
        <v>89</v>
      </c>
      <c r="H42" t="s">
        <v>71</v>
      </c>
      <c r="I42" t="s">
        <v>127</v>
      </c>
      <c r="K42" t="s">
        <v>227</v>
      </c>
      <c r="L42">
        <v>1</v>
      </c>
      <c r="M42">
        <v>1</v>
      </c>
      <c r="N42">
        <v>3</v>
      </c>
      <c r="O42" t="s">
        <v>229</v>
      </c>
      <c r="P42" t="s">
        <v>231</v>
      </c>
      <c r="Q42" t="s">
        <v>235</v>
      </c>
      <c r="S42">
        <v>0</v>
      </c>
      <c r="T42">
        <v>10</v>
      </c>
    </row>
    <row r="43" spans="1:20" x14ac:dyDescent="0.25">
      <c r="A43" t="s">
        <v>1057</v>
      </c>
      <c r="B43">
        <v>20</v>
      </c>
      <c r="C43" t="s">
        <v>48</v>
      </c>
      <c r="D43">
        <v>3</v>
      </c>
      <c r="F43">
        <v>1</v>
      </c>
      <c r="G43" t="s">
        <v>89</v>
      </c>
      <c r="H43" t="s">
        <v>71</v>
      </c>
      <c r="I43" t="s">
        <v>127</v>
      </c>
      <c r="K43" t="s">
        <v>227</v>
      </c>
      <c r="L43">
        <v>1</v>
      </c>
      <c r="M43">
        <v>1</v>
      </c>
      <c r="N43">
        <v>3</v>
      </c>
      <c r="O43" t="s">
        <v>229</v>
      </c>
      <c r="P43" t="s">
        <v>231</v>
      </c>
      <c r="Q43" t="s">
        <v>235</v>
      </c>
      <c r="S43">
        <v>0</v>
      </c>
      <c r="T43">
        <v>12</v>
      </c>
    </row>
    <row r="44" spans="1:20" x14ac:dyDescent="0.25">
      <c r="A44" t="s">
        <v>1022</v>
      </c>
      <c r="B44">
        <v>21</v>
      </c>
      <c r="C44" t="s">
        <v>43</v>
      </c>
      <c r="D44">
        <v>3</v>
      </c>
      <c r="F44">
        <v>1</v>
      </c>
      <c r="G44" t="s">
        <v>135</v>
      </c>
      <c r="K44" t="s">
        <v>33</v>
      </c>
      <c r="L44">
        <v>2</v>
      </c>
      <c r="N44">
        <v>2</v>
      </c>
      <c r="O44" t="s">
        <v>34</v>
      </c>
      <c r="S44">
        <v>0</v>
      </c>
      <c r="T44">
        <v>6</v>
      </c>
    </row>
    <row r="45" spans="1:20" x14ac:dyDescent="0.25">
      <c r="A45" t="s">
        <v>1058</v>
      </c>
      <c r="B45">
        <v>21</v>
      </c>
      <c r="C45" t="s">
        <v>43</v>
      </c>
      <c r="D45">
        <v>3</v>
      </c>
      <c r="F45">
        <v>1</v>
      </c>
      <c r="G45" t="s">
        <v>135</v>
      </c>
      <c r="K45" t="s">
        <v>33</v>
      </c>
      <c r="L45">
        <v>2</v>
      </c>
      <c r="N45">
        <v>2</v>
      </c>
      <c r="O45" t="s">
        <v>34</v>
      </c>
      <c r="S45">
        <v>0</v>
      </c>
      <c r="T45">
        <v>6</v>
      </c>
    </row>
    <row r="46" spans="1:20" x14ac:dyDescent="0.25">
      <c r="A46" t="s">
        <v>1023</v>
      </c>
      <c r="B46">
        <v>22</v>
      </c>
      <c r="C46" t="s">
        <v>45</v>
      </c>
      <c r="D46">
        <v>3</v>
      </c>
      <c r="F46">
        <v>1</v>
      </c>
      <c r="G46" t="s">
        <v>140</v>
      </c>
      <c r="K46" t="s">
        <v>33</v>
      </c>
      <c r="L46">
        <v>2</v>
      </c>
      <c r="N46">
        <v>3</v>
      </c>
      <c r="O46" t="s">
        <v>34</v>
      </c>
      <c r="S46">
        <v>0</v>
      </c>
      <c r="T46">
        <v>8</v>
      </c>
    </row>
    <row r="47" spans="1:20" x14ac:dyDescent="0.25">
      <c r="A47" t="s">
        <v>1059</v>
      </c>
      <c r="B47">
        <v>22</v>
      </c>
      <c r="C47" t="s">
        <v>45</v>
      </c>
      <c r="D47">
        <v>3</v>
      </c>
      <c r="F47">
        <v>1</v>
      </c>
      <c r="G47" t="s">
        <v>140</v>
      </c>
      <c r="K47" t="s">
        <v>33</v>
      </c>
      <c r="L47">
        <v>2</v>
      </c>
      <c r="N47">
        <v>3</v>
      </c>
      <c r="O47" t="s">
        <v>34</v>
      </c>
      <c r="S47">
        <v>0</v>
      </c>
      <c r="T47">
        <v>8</v>
      </c>
    </row>
    <row r="48" spans="1:20" x14ac:dyDescent="0.25">
      <c r="A48" t="s">
        <v>1024</v>
      </c>
      <c r="B48">
        <v>23</v>
      </c>
      <c r="C48" t="s">
        <v>33</v>
      </c>
      <c r="D48">
        <v>2</v>
      </c>
      <c r="F48">
        <v>1</v>
      </c>
      <c r="G48" t="s">
        <v>34</v>
      </c>
      <c r="H48" t="s">
        <v>66</v>
      </c>
      <c r="I48" t="s">
        <v>36</v>
      </c>
      <c r="K48" t="s">
        <v>63</v>
      </c>
      <c r="L48">
        <v>1</v>
      </c>
      <c r="N48">
        <v>1</v>
      </c>
      <c r="O48" t="s">
        <v>145</v>
      </c>
      <c r="P48" t="s">
        <v>91</v>
      </c>
      <c r="Q48" t="s">
        <v>104</v>
      </c>
      <c r="S48">
        <v>0</v>
      </c>
      <c r="T48">
        <v>7</v>
      </c>
    </row>
    <row r="49" spans="1:20" x14ac:dyDescent="0.25">
      <c r="A49" t="s">
        <v>1060</v>
      </c>
      <c r="B49">
        <v>23</v>
      </c>
      <c r="C49" t="s">
        <v>33</v>
      </c>
      <c r="D49">
        <v>2</v>
      </c>
      <c r="F49">
        <v>1</v>
      </c>
      <c r="G49" t="s">
        <v>34</v>
      </c>
      <c r="H49" t="s">
        <v>66</v>
      </c>
      <c r="I49" t="s">
        <v>132</v>
      </c>
      <c r="K49" t="s">
        <v>63</v>
      </c>
      <c r="L49">
        <v>1</v>
      </c>
      <c r="N49">
        <v>1</v>
      </c>
      <c r="O49" t="s">
        <v>145</v>
      </c>
      <c r="P49" t="s">
        <v>91</v>
      </c>
      <c r="Q49" t="s">
        <v>104</v>
      </c>
      <c r="S49">
        <v>0</v>
      </c>
      <c r="T49">
        <v>7</v>
      </c>
    </row>
    <row r="50" spans="1:20" x14ac:dyDescent="0.25">
      <c r="A50" t="s">
        <v>1025</v>
      </c>
      <c r="B50">
        <v>24</v>
      </c>
      <c r="C50" t="s">
        <v>33</v>
      </c>
      <c r="D50">
        <v>2</v>
      </c>
      <c r="F50">
        <v>1</v>
      </c>
      <c r="G50" t="s">
        <v>65</v>
      </c>
      <c r="H50" t="s">
        <v>66</v>
      </c>
      <c r="K50" t="s">
        <v>38</v>
      </c>
      <c r="L50">
        <v>1</v>
      </c>
      <c r="M50">
        <v>1</v>
      </c>
      <c r="N50">
        <v>2</v>
      </c>
      <c r="O50" t="s">
        <v>39</v>
      </c>
      <c r="P50" t="s">
        <v>40</v>
      </c>
      <c r="S50">
        <v>0</v>
      </c>
      <c r="T50">
        <v>6</v>
      </c>
    </row>
    <row r="51" spans="1:20" x14ac:dyDescent="0.25">
      <c r="A51" t="s">
        <v>1061</v>
      </c>
      <c r="B51">
        <v>24</v>
      </c>
      <c r="C51" t="s">
        <v>38</v>
      </c>
      <c r="D51">
        <v>3</v>
      </c>
      <c r="E51">
        <v>2</v>
      </c>
      <c r="F51">
        <v>3</v>
      </c>
      <c r="G51" t="s">
        <v>39</v>
      </c>
      <c r="H51" t="s">
        <v>40</v>
      </c>
      <c r="I51" t="s">
        <v>153</v>
      </c>
      <c r="J51" t="s">
        <v>156</v>
      </c>
      <c r="K51" t="s">
        <v>33</v>
      </c>
      <c r="L51">
        <v>3</v>
      </c>
      <c r="N51">
        <v>3</v>
      </c>
      <c r="O51" t="s">
        <v>65</v>
      </c>
      <c r="P51" t="s">
        <v>66</v>
      </c>
      <c r="Q51" t="s">
        <v>131</v>
      </c>
      <c r="R51" t="s">
        <v>133</v>
      </c>
      <c r="S51">
        <v>0</v>
      </c>
      <c r="T51">
        <v>17</v>
      </c>
    </row>
    <row r="52" spans="1:20" x14ac:dyDescent="0.25">
      <c r="A52" t="s">
        <v>1026</v>
      </c>
      <c r="B52">
        <v>25</v>
      </c>
      <c r="C52" t="s">
        <v>227</v>
      </c>
      <c r="D52">
        <v>2</v>
      </c>
      <c r="E52">
        <v>1</v>
      </c>
      <c r="F52">
        <v>1</v>
      </c>
      <c r="G52" t="s">
        <v>228</v>
      </c>
      <c r="H52" t="s">
        <v>231</v>
      </c>
      <c r="K52" t="s">
        <v>33</v>
      </c>
      <c r="L52">
        <v>2</v>
      </c>
      <c r="N52">
        <v>2</v>
      </c>
      <c r="O52" t="s">
        <v>34</v>
      </c>
      <c r="S52">
        <v>0</v>
      </c>
      <c r="T52">
        <v>6</v>
      </c>
    </row>
    <row r="53" spans="1:20" x14ac:dyDescent="0.25">
      <c r="A53" t="s">
        <v>1062</v>
      </c>
      <c r="B53">
        <v>25</v>
      </c>
      <c r="C53" t="s">
        <v>227</v>
      </c>
      <c r="D53">
        <v>2</v>
      </c>
      <c r="E53">
        <v>1</v>
      </c>
      <c r="F53">
        <v>1</v>
      </c>
      <c r="G53" t="s">
        <v>228</v>
      </c>
      <c r="H53" t="s">
        <v>231</v>
      </c>
      <c r="K53" t="s">
        <v>33</v>
      </c>
      <c r="L53">
        <v>2</v>
      </c>
      <c r="N53">
        <v>2</v>
      </c>
      <c r="O53" t="s">
        <v>34</v>
      </c>
      <c r="S53">
        <v>0</v>
      </c>
      <c r="T53">
        <v>6</v>
      </c>
    </row>
    <row r="54" spans="1:20" x14ac:dyDescent="0.25">
      <c r="A54" t="s">
        <v>1027</v>
      </c>
      <c r="B54">
        <v>26</v>
      </c>
      <c r="C54" t="s">
        <v>45</v>
      </c>
      <c r="D54">
        <v>3</v>
      </c>
      <c r="F54">
        <v>1</v>
      </c>
      <c r="G54" t="s">
        <v>140</v>
      </c>
      <c r="H54" t="s">
        <v>141</v>
      </c>
      <c r="K54" t="s">
        <v>43</v>
      </c>
      <c r="L54">
        <v>1</v>
      </c>
      <c r="N54">
        <v>1</v>
      </c>
      <c r="O54" t="s">
        <v>135</v>
      </c>
      <c r="P54" t="s">
        <v>136</v>
      </c>
      <c r="Q54" t="s">
        <v>137</v>
      </c>
      <c r="S54">
        <v>0</v>
      </c>
      <c r="T54">
        <v>7</v>
      </c>
    </row>
    <row r="55" spans="1:20" x14ac:dyDescent="0.25">
      <c r="A55" t="s">
        <v>1063</v>
      </c>
      <c r="B55">
        <v>26</v>
      </c>
      <c r="C55" t="s">
        <v>45</v>
      </c>
      <c r="D55">
        <v>3</v>
      </c>
      <c r="F55">
        <v>1</v>
      </c>
      <c r="G55" t="s">
        <v>140</v>
      </c>
      <c r="K55" t="s">
        <v>43</v>
      </c>
      <c r="L55">
        <v>1</v>
      </c>
      <c r="N55">
        <v>1</v>
      </c>
      <c r="O55" t="s">
        <v>135</v>
      </c>
      <c r="P55" t="s">
        <v>136</v>
      </c>
      <c r="Q55" t="s">
        <v>137</v>
      </c>
      <c r="R55" t="s">
        <v>138</v>
      </c>
      <c r="S55">
        <v>0</v>
      </c>
      <c r="T55">
        <v>9</v>
      </c>
    </row>
    <row r="56" spans="1:20" x14ac:dyDescent="0.25">
      <c r="A56" t="s">
        <v>1028</v>
      </c>
      <c r="B56">
        <v>27</v>
      </c>
      <c r="C56" t="s">
        <v>43</v>
      </c>
      <c r="D56">
        <v>3</v>
      </c>
      <c r="F56">
        <v>1</v>
      </c>
      <c r="G56" t="s">
        <v>135</v>
      </c>
      <c r="H56" t="s">
        <v>99</v>
      </c>
      <c r="I56" t="s">
        <v>137</v>
      </c>
      <c r="K56" t="s">
        <v>63</v>
      </c>
      <c r="L56">
        <v>1</v>
      </c>
      <c r="N56">
        <v>2</v>
      </c>
      <c r="O56" t="s">
        <v>145</v>
      </c>
      <c r="P56" t="s">
        <v>146</v>
      </c>
      <c r="Q56" t="s">
        <v>148</v>
      </c>
      <c r="S56">
        <v>0</v>
      </c>
      <c r="T56">
        <v>11</v>
      </c>
    </row>
    <row r="57" spans="1:20" x14ac:dyDescent="0.25">
      <c r="A57" t="s">
        <v>1064</v>
      </c>
      <c r="B57">
        <v>27</v>
      </c>
      <c r="C57" t="s">
        <v>43</v>
      </c>
      <c r="D57">
        <v>3</v>
      </c>
      <c r="F57">
        <v>2</v>
      </c>
      <c r="G57" t="s">
        <v>135</v>
      </c>
      <c r="H57" t="s">
        <v>136</v>
      </c>
      <c r="I57" t="s">
        <v>137</v>
      </c>
      <c r="K57" t="s">
        <v>63</v>
      </c>
      <c r="L57">
        <v>1</v>
      </c>
      <c r="N57">
        <v>2</v>
      </c>
      <c r="O57" t="s">
        <v>145</v>
      </c>
      <c r="P57" t="s">
        <v>146</v>
      </c>
      <c r="Q57" t="s">
        <v>104</v>
      </c>
      <c r="S57">
        <v>0</v>
      </c>
      <c r="T57">
        <v>11</v>
      </c>
    </row>
    <row r="58" spans="1:20" x14ac:dyDescent="0.25">
      <c r="A58" t="s">
        <v>1029</v>
      </c>
      <c r="B58">
        <v>28</v>
      </c>
      <c r="C58" t="s">
        <v>38</v>
      </c>
      <c r="D58">
        <v>2</v>
      </c>
      <c r="E58">
        <v>1</v>
      </c>
      <c r="F58">
        <v>2</v>
      </c>
      <c r="G58" t="s">
        <v>39</v>
      </c>
      <c r="H58" t="s">
        <v>70</v>
      </c>
      <c r="K58" t="s">
        <v>43</v>
      </c>
      <c r="L58">
        <v>2</v>
      </c>
      <c r="N58">
        <v>1</v>
      </c>
      <c r="O58" t="s">
        <v>135</v>
      </c>
      <c r="P58" t="s">
        <v>74</v>
      </c>
      <c r="Q58" t="s">
        <v>137</v>
      </c>
      <c r="S58">
        <v>0</v>
      </c>
      <c r="T58">
        <v>11</v>
      </c>
    </row>
    <row r="59" spans="1:20" x14ac:dyDescent="0.25">
      <c r="A59" t="s">
        <v>1065</v>
      </c>
      <c r="B59">
        <v>28</v>
      </c>
      <c r="C59" t="s">
        <v>38</v>
      </c>
      <c r="D59">
        <v>1</v>
      </c>
      <c r="E59">
        <v>1</v>
      </c>
      <c r="F59">
        <v>2</v>
      </c>
      <c r="G59" t="s">
        <v>39</v>
      </c>
      <c r="H59" t="s">
        <v>70</v>
      </c>
      <c r="I59" t="s">
        <v>41</v>
      </c>
      <c r="K59" t="s">
        <v>43</v>
      </c>
      <c r="L59">
        <v>2</v>
      </c>
      <c r="N59">
        <v>1</v>
      </c>
      <c r="O59" t="s">
        <v>135</v>
      </c>
      <c r="P59" t="s">
        <v>74</v>
      </c>
      <c r="S59">
        <v>0</v>
      </c>
      <c r="T59">
        <v>7</v>
      </c>
    </row>
    <row r="60" spans="1:20" x14ac:dyDescent="0.25">
      <c r="A60" t="s">
        <v>1030</v>
      </c>
      <c r="B60">
        <v>29</v>
      </c>
      <c r="C60" t="s">
        <v>43</v>
      </c>
      <c r="D60">
        <v>3</v>
      </c>
      <c r="F60">
        <v>3</v>
      </c>
      <c r="G60" t="s">
        <v>135</v>
      </c>
      <c r="K60" t="s">
        <v>227</v>
      </c>
      <c r="L60">
        <v>1</v>
      </c>
      <c r="M60">
        <v>3</v>
      </c>
      <c r="N60">
        <v>3</v>
      </c>
      <c r="O60" t="s">
        <v>229</v>
      </c>
      <c r="P60" t="s">
        <v>233</v>
      </c>
      <c r="S60">
        <v>0</v>
      </c>
      <c r="T60">
        <v>12</v>
      </c>
    </row>
    <row r="61" spans="1:20" x14ac:dyDescent="0.25">
      <c r="A61" t="s">
        <v>1066</v>
      </c>
      <c r="B61">
        <v>29</v>
      </c>
      <c r="C61" t="s">
        <v>43</v>
      </c>
      <c r="D61">
        <v>3</v>
      </c>
      <c r="F61">
        <v>1</v>
      </c>
      <c r="G61" t="s">
        <v>135</v>
      </c>
      <c r="H61" t="s">
        <v>99</v>
      </c>
      <c r="I61" t="s">
        <v>75</v>
      </c>
      <c r="K61" t="s">
        <v>227</v>
      </c>
      <c r="L61">
        <v>1</v>
      </c>
      <c r="M61">
        <v>2</v>
      </c>
      <c r="N61">
        <v>3</v>
      </c>
      <c r="O61" t="s">
        <v>229</v>
      </c>
      <c r="P61" t="s">
        <v>231</v>
      </c>
      <c r="S61">
        <v>0</v>
      </c>
      <c r="T61">
        <v>10</v>
      </c>
    </row>
    <row r="62" spans="1:20" x14ac:dyDescent="0.25">
      <c r="A62" t="s">
        <v>1031</v>
      </c>
      <c r="B62">
        <v>30</v>
      </c>
      <c r="C62" t="s">
        <v>63</v>
      </c>
      <c r="D62">
        <v>2</v>
      </c>
      <c r="F62">
        <v>3</v>
      </c>
      <c r="G62" t="s">
        <v>145</v>
      </c>
      <c r="H62" t="s">
        <v>146</v>
      </c>
      <c r="I62" t="s">
        <v>104</v>
      </c>
      <c r="K62" t="s">
        <v>45</v>
      </c>
      <c r="L62">
        <v>3</v>
      </c>
      <c r="N62">
        <v>1</v>
      </c>
      <c r="O62" t="s">
        <v>86</v>
      </c>
      <c r="P62" t="s">
        <v>141</v>
      </c>
      <c r="Q62" t="s">
        <v>93</v>
      </c>
      <c r="R62" t="s">
        <v>143</v>
      </c>
      <c r="S62">
        <v>0</v>
      </c>
      <c r="T62">
        <v>12</v>
      </c>
    </row>
    <row r="63" spans="1:20" x14ac:dyDescent="0.25">
      <c r="A63" t="s">
        <v>1067</v>
      </c>
      <c r="B63">
        <v>30</v>
      </c>
      <c r="C63" t="s">
        <v>63</v>
      </c>
      <c r="D63">
        <v>1</v>
      </c>
      <c r="F63">
        <v>3</v>
      </c>
      <c r="G63" t="s">
        <v>145</v>
      </c>
      <c r="H63" t="s">
        <v>146</v>
      </c>
      <c r="I63" t="s">
        <v>104</v>
      </c>
      <c r="K63" t="s">
        <v>45</v>
      </c>
      <c r="L63">
        <v>3</v>
      </c>
      <c r="N63">
        <v>1</v>
      </c>
      <c r="O63" t="s">
        <v>86</v>
      </c>
      <c r="P63" t="s">
        <v>141</v>
      </c>
      <c r="Q63" t="s">
        <v>93</v>
      </c>
      <c r="R63" t="s">
        <v>143</v>
      </c>
      <c r="S63">
        <v>0</v>
      </c>
      <c r="T63">
        <v>12</v>
      </c>
    </row>
    <row r="64" spans="1:20" x14ac:dyDescent="0.25">
      <c r="A64" t="s">
        <v>1032</v>
      </c>
      <c r="B64">
        <v>31</v>
      </c>
      <c r="C64" t="s">
        <v>38</v>
      </c>
      <c r="D64">
        <v>1</v>
      </c>
      <c r="E64">
        <v>1</v>
      </c>
      <c r="F64">
        <v>2</v>
      </c>
      <c r="G64" t="s">
        <v>39</v>
      </c>
      <c r="H64" t="s">
        <v>96</v>
      </c>
      <c r="I64" t="s">
        <v>41</v>
      </c>
      <c r="K64" t="s">
        <v>45</v>
      </c>
      <c r="L64">
        <v>3</v>
      </c>
      <c r="N64">
        <v>1</v>
      </c>
      <c r="O64" t="s">
        <v>140</v>
      </c>
      <c r="S64">
        <v>0</v>
      </c>
      <c r="T64">
        <v>7</v>
      </c>
    </row>
    <row r="65" spans="1:20" x14ac:dyDescent="0.25">
      <c r="A65" t="s">
        <v>1068</v>
      </c>
      <c r="B65">
        <v>31</v>
      </c>
      <c r="C65" t="s">
        <v>38</v>
      </c>
      <c r="D65">
        <v>1</v>
      </c>
      <c r="E65">
        <v>1</v>
      </c>
      <c r="F65">
        <v>2</v>
      </c>
      <c r="G65" t="s">
        <v>39</v>
      </c>
      <c r="H65" t="s">
        <v>96</v>
      </c>
      <c r="I65" t="s">
        <v>153</v>
      </c>
      <c r="J65" t="s">
        <v>155</v>
      </c>
      <c r="K65" t="s">
        <v>45</v>
      </c>
      <c r="L65">
        <v>3</v>
      </c>
      <c r="N65">
        <v>1</v>
      </c>
      <c r="O65" t="s">
        <v>140</v>
      </c>
      <c r="P65" t="s">
        <v>141</v>
      </c>
      <c r="S65">
        <v>0</v>
      </c>
      <c r="T65">
        <v>9</v>
      </c>
    </row>
    <row r="66" spans="1:20" x14ac:dyDescent="0.25">
      <c r="A66" t="s">
        <v>1033</v>
      </c>
      <c r="B66">
        <v>32</v>
      </c>
      <c r="C66" t="s">
        <v>227</v>
      </c>
      <c r="D66">
        <v>2</v>
      </c>
      <c r="E66">
        <v>1</v>
      </c>
      <c r="F66">
        <v>3</v>
      </c>
      <c r="G66" t="s">
        <v>229</v>
      </c>
      <c r="H66" t="s">
        <v>231</v>
      </c>
      <c r="I66" t="s">
        <v>236</v>
      </c>
      <c r="K66" t="s">
        <v>45</v>
      </c>
      <c r="L66">
        <v>3</v>
      </c>
      <c r="N66">
        <v>1</v>
      </c>
      <c r="O66" t="s">
        <v>86</v>
      </c>
      <c r="P66" t="s">
        <v>141</v>
      </c>
      <c r="Q66" t="s">
        <v>93</v>
      </c>
      <c r="S66">
        <v>0</v>
      </c>
      <c r="T66">
        <v>11</v>
      </c>
    </row>
    <row r="67" spans="1:20" x14ac:dyDescent="0.25">
      <c r="A67" t="s">
        <v>1069</v>
      </c>
      <c r="B67">
        <v>32</v>
      </c>
      <c r="C67" t="s">
        <v>227</v>
      </c>
      <c r="D67">
        <v>2</v>
      </c>
      <c r="E67">
        <v>1</v>
      </c>
      <c r="F67">
        <v>3</v>
      </c>
      <c r="G67" t="s">
        <v>229</v>
      </c>
      <c r="H67" t="s">
        <v>231</v>
      </c>
      <c r="K67" t="s">
        <v>45</v>
      </c>
      <c r="L67">
        <v>3</v>
      </c>
      <c r="N67">
        <v>1</v>
      </c>
      <c r="O67" t="s">
        <v>86</v>
      </c>
      <c r="P67" t="s">
        <v>141</v>
      </c>
      <c r="S67">
        <v>0</v>
      </c>
      <c r="T67">
        <v>9</v>
      </c>
    </row>
    <row r="68" spans="1:20" x14ac:dyDescent="0.25">
      <c r="A68" t="s">
        <v>1034</v>
      </c>
      <c r="B68">
        <v>33</v>
      </c>
      <c r="C68" t="s">
        <v>63</v>
      </c>
      <c r="D68">
        <v>2</v>
      </c>
      <c r="F68">
        <v>1</v>
      </c>
      <c r="G68" t="s">
        <v>103</v>
      </c>
      <c r="H68" t="s">
        <v>91</v>
      </c>
      <c r="I68" t="s">
        <v>147</v>
      </c>
      <c r="J68" t="s">
        <v>151</v>
      </c>
      <c r="K68" t="s">
        <v>38</v>
      </c>
      <c r="L68">
        <v>2</v>
      </c>
      <c r="M68">
        <v>1</v>
      </c>
      <c r="N68">
        <v>3</v>
      </c>
      <c r="O68" t="s">
        <v>39</v>
      </c>
      <c r="P68" t="s">
        <v>96</v>
      </c>
      <c r="S68">
        <v>0</v>
      </c>
      <c r="T68">
        <v>10</v>
      </c>
    </row>
    <row r="69" spans="1:20" x14ac:dyDescent="0.25">
      <c r="A69" t="s">
        <v>1070</v>
      </c>
      <c r="B69">
        <v>33</v>
      </c>
      <c r="C69" t="s">
        <v>63</v>
      </c>
      <c r="D69">
        <v>3</v>
      </c>
      <c r="F69">
        <v>3</v>
      </c>
      <c r="G69" t="s">
        <v>103</v>
      </c>
      <c r="H69" t="s">
        <v>91</v>
      </c>
      <c r="I69" t="s">
        <v>147</v>
      </c>
      <c r="J69" t="s">
        <v>151</v>
      </c>
      <c r="K69" t="s">
        <v>38</v>
      </c>
      <c r="L69">
        <v>3</v>
      </c>
      <c r="M69">
        <v>2</v>
      </c>
      <c r="N69">
        <v>3</v>
      </c>
      <c r="O69" t="s">
        <v>39</v>
      </c>
      <c r="P69" t="s">
        <v>96</v>
      </c>
      <c r="Q69" t="s">
        <v>154</v>
      </c>
      <c r="R69" t="s">
        <v>42</v>
      </c>
      <c r="S69">
        <v>0</v>
      </c>
      <c r="T69">
        <v>18</v>
      </c>
    </row>
    <row r="70" spans="1:20" x14ac:dyDescent="0.25">
      <c r="A70" t="s">
        <v>1035</v>
      </c>
      <c r="B70">
        <v>34</v>
      </c>
      <c r="C70" t="s">
        <v>63</v>
      </c>
      <c r="D70">
        <v>3</v>
      </c>
      <c r="F70">
        <v>1</v>
      </c>
      <c r="G70" t="s">
        <v>103</v>
      </c>
      <c r="H70" t="s">
        <v>91</v>
      </c>
      <c r="I70" t="s">
        <v>148</v>
      </c>
      <c r="J70" t="s">
        <v>151</v>
      </c>
      <c r="K70" t="s">
        <v>227</v>
      </c>
      <c r="L70">
        <v>2</v>
      </c>
      <c r="M70">
        <v>2</v>
      </c>
      <c r="N70">
        <v>1</v>
      </c>
      <c r="O70" t="s">
        <v>228</v>
      </c>
      <c r="P70" t="s">
        <v>233</v>
      </c>
      <c r="Q70" t="s">
        <v>235</v>
      </c>
      <c r="R70" t="s">
        <v>238</v>
      </c>
      <c r="S70">
        <v>0</v>
      </c>
      <c r="T70">
        <v>12</v>
      </c>
    </row>
    <row r="71" spans="1:20" x14ac:dyDescent="0.25">
      <c r="A71" t="s">
        <v>1071</v>
      </c>
      <c r="B71">
        <v>34</v>
      </c>
      <c r="C71" t="s">
        <v>63</v>
      </c>
      <c r="D71">
        <v>2</v>
      </c>
      <c r="F71">
        <v>3</v>
      </c>
      <c r="G71" t="s">
        <v>103</v>
      </c>
      <c r="H71" t="s">
        <v>95</v>
      </c>
      <c r="I71" t="s">
        <v>148</v>
      </c>
      <c r="J71" t="s">
        <v>151</v>
      </c>
      <c r="K71" t="s">
        <v>227</v>
      </c>
      <c r="L71">
        <v>1</v>
      </c>
      <c r="M71">
        <v>3</v>
      </c>
      <c r="N71">
        <v>3</v>
      </c>
      <c r="O71" t="s">
        <v>229</v>
      </c>
      <c r="P71" t="s">
        <v>233</v>
      </c>
      <c r="Q71" t="s">
        <v>235</v>
      </c>
      <c r="R71" t="s">
        <v>238</v>
      </c>
      <c r="S71">
        <v>0</v>
      </c>
      <c r="T71">
        <v>16</v>
      </c>
    </row>
    <row r="72" spans="1:20" x14ac:dyDescent="0.25">
      <c r="A72" t="s">
        <v>1036</v>
      </c>
      <c r="B72">
        <v>35</v>
      </c>
      <c r="C72" t="s">
        <v>38</v>
      </c>
      <c r="D72">
        <v>3</v>
      </c>
      <c r="E72">
        <v>2</v>
      </c>
      <c r="F72">
        <v>2</v>
      </c>
      <c r="G72" t="s">
        <v>39</v>
      </c>
      <c r="H72" t="s">
        <v>70</v>
      </c>
      <c r="I72" t="s">
        <v>153</v>
      </c>
      <c r="J72" t="s">
        <v>42</v>
      </c>
      <c r="K72" t="s">
        <v>227</v>
      </c>
      <c r="L72">
        <v>3</v>
      </c>
      <c r="M72">
        <v>1</v>
      </c>
      <c r="N72">
        <v>2</v>
      </c>
      <c r="O72" t="s">
        <v>228</v>
      </c>
      <c r="P72" t="s">
        <v>231</v>
      </c>
      <c r="Q72" t="s">
        <v>235</v>
      </c>
      <c r="R72" t="s">
        <v>237</v>
      </c>
      <c r="S72">
        <v>0</v>
      </c>
      <c r="T72">
        <v>15</v>
      </c>
    </row>
    <row r="73" spans="1:20" x14ac:dyDescent="0.25">
      <c r="A73" t="s">
        <v>1072</v>
      </c>
      <c r="B73">
        <v>35</v>
      </c>
      <c r="C73" t="s">
        <v>38</v>
      </c>
      <c r="D73">
        <v>3</v>
      </c>
      <c r="E73">
        <v>3</v>
      </c>
      <c r="F73">
        <v>3</v>
      </c>
      <c r="G73" t="s">
        <v>39</v>
      </c>
      <c r="H73" t="s">
        <v>70</v>
      </c>
      <c r="I73" t="s">
        <v>153</v>
      </c>
      <c r="J73" t="s">
        <v>42</v>
      </c>
      <c r="K73" t="s">
        <v>227</v>
      </c>
      <c r="L73">
        <v>3</v>
      </c>
      <c r="M73">
        <v>3</v>
      </c>
      <c r="N73">
        <v>3</v>
      </c>
      <c r="O73" t="s">
        <v>228</v>
      </c>
      <c r="P73" t="s">
        <v>231</v>
      </c>
      <c r="Q73" t="s">
        <v>235</v>
      </c>
      <c r="R73" t="s">
        <v>238</v>
      </c>
      <c r="S73">
        <v>0</v>
      </c>
      <c r="T73">
        <v>29</v>
      </c>
    </row>
  </sheetData>
  <phoneticPr fontId="3" type="noConversion"/>
  <conditionalFormatting sqref="B1:B1048576">
    <cfRule type="duplicateValues" dxfId="2020" priority="2"/>
  </conditionalFormatting>
  <conditionalFormatting sqref="A2:B73">
    <cfRule type="duplicateValues" dxfId="2019" priority="287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8"/>
  <sheetViews>
    <sheetView workbookViewId="0">
      <selection activeCell="I18" sqref="I18"/>
    </sheetView>
  </sheetViews>
  <sheetFormatPr defaultRowHeight="15" x14ac:dyDescent="0.25"/>
  <cols>
    <col min="1" max="1" width="11.42578125" bestFit="1" customWidth="1"/>
    <col min="2" max="2" width="13.5703125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2</v>
      </c>
      <c r="C3" t="s">
        <v>56</v>
      </c>
      <c r="D3">
        <f>COUNTIFS(Scenario2[winner1],ScenarioStat2[[#This Row],[hero-2]],Scenario2[loser1],ScenarioStat2[[#This Row],[hero-1]])</f>
        <v>0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16</v>
      </c>
      <c r="I3">
        <f>SUMIFS(ScenarioStat2[team-1-win],ScenarioStat2[hero-1],ScenarioTeams2[[#This Row],[hero]])+SUMIFS(ScenarioStat2[team-2-win],ScenarioStat2[hero-2],ScenarioTeams2[[#This Row],[hero]])</f>
        <v>13</v>
      </c>
      <c r="J3" s="3">
        <f>IF(ScenarioTeams2[[#This Row],[battles]],ScenarioTeams2[[#This Row],[wins]]/ScenarioTeams2[[#This Row],[battles]],0)</f>
        <v>0.8125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16</v>
      </c>
      <c r="I4">
        <f>SUMIFS(ScenarioStat2[team-1-win],ScenarioStat2[hero-1],ScenarioTeams2[[#This Row],[hero]])+SUMIFS(ScenarioStat2[team-2-win],ScenarioStat2[hero-2],ScenarioTeams2[[#This Row],[hero]])</f>
        <v>4</v>
      </c>
      <c r="J4" s="3">
        <f>IF(ScenarioTeams2[[#This Row],[battles]],ScenarioTeams2[[#This Row],[wins]]/ScenarioTeams2[[#This Row],[battles]],0)</f>
        <v>0.25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16</v>
      </c>
      <c r="I5">
        <f>SUMIFS(ScenarioStat2[team-1-win],ScenarioStat2[hero-1],ScenarioTeams2[[#This Row],[hero]])+SUMIFS(ScenarioStat2[team-2-win],ScenarioStat2[hero-2],ScenarioTeams2[[#This Row],[hero]])</f>
        <v>12</v>
      </c>
      <c r="J5" s="3">
        <f>IF(ScenarioTeams2[[#This Row],[battles]],ScenarioTeams2[[#This Row],[wins]]/ScenarioTeams2[[#This Row],[battles]],0)</f>
        <v>0.75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16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0.375</v>
      </c>
      <c r="K6" s="3"/>
      <c r="L6" s="5" t="s">
        <v>108</v>
      </c>
      <c r="M6" s="31">
        <f>AVERAGE(Scenario2[turns])</f>
        <v>13.013888888888889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16</v>
      </c>
      <c r="I7">
        <f>SUMIFS(ScenarioStat2[team-1-win],ScenarioStat2[hero-1],ScenarioTeams2[[#This Row],[hero]])+SUMIFS(ScenarioStat2[team-2-win],ScenarioStat2[hero-2],ScenarioTeams2[[#This Row],[hero]])</f>
        <v>8</v>
      </c>
      <c r="J7" s="3">
        <f>IF(ScenarioTeams2[[#This Row],[battles]],ScenarioTeams2[[#This Row],[wins]]/ScenarioTeams2[[#This Row],[battles]],0)</f>
        <v>0.5</v>
      </c>
      <c r="K7" s="3"/>
      <c r="L7" s="5" t="s">
        <v>160</v>
      </c>
      <c r="M7" s="31">
        <f>MAX(Scenario2[turns])</f>
        <v>31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2</v>
      </c>
      <c r="C8" t="s">
        <v>63</v>
      </c>
      <c r="D8">
        <f>COUNTIFS(Scenario2[winner1],ScenarioStat2[[#This Row],[hero-2]],Scenario2[loser1],ScenarioStat2[[#This Row],[hero-1]])</f>
        <v>0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16</v>
      </c>
      <c r="I8">
        <f>SUMIFS(ScenarioStat2[team-1-win],ScenarioStat2[hero-1],ScenarioTeams2[[#This Row],[hero]])+SUMIFS(ScenarioStat2[team-2-win],ScenarioStat2[hero-2],ScenarioTeams2[[#This Row],[hero]])</f>
        <v>6</v>
      </c>
      <c r="J8" s="3">
        <f>IF(ScenarioTeams2[[#This Row],[battles]],ScenarioTeams2[[#This Row],[wins]]/ScenarioTeams2[[#This Row],[battles]],0)</f>
        <v>0.375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16</v>
      </c>
      <c r="I9">
        <f>SUMIFS(ScenarioStat2[team-1-win],ScenarioStat2[hero-1],ScenarioTeams2[[#This Row],[hero]])+SUMIFS(ScenarioStat2[team-2-win],ScenarioStat2[hero-2],ScenarioTeams2[[#This Row],[hero]])</f>
        <v>8</v>
      </c>
      <c r="J9" s="3">
        <f>IF(ScenarioTeams2[[#This Row],[battles]],ScenarioTeams2[[#This Row],[wins]]/ScenarioTeams2[[#This Row],[battles]],0)</f>
        <v>0.5</v>
      </c>
      <c r="K9" s="3"/>
      <c r="L9" s="4" t="s">
        <v>185</v>
      </c>
      <c r="M9" s="30">
        <f>120000*$M$6/1000/60</f>
        <v>26.027777777777779</v>
      </c>
    </row>
    <row r="10" spans="1:13" ht="15.75" thickBot="1" x14ac:dyDescent="0.3">
      <c r="A10" t="s">
        <v>53</v>
      </c>
      <c r="B10">
        <f>COUNTIFS(Scenario2[winner1],ScenarioStat2[[#This Row],[hero-1]],Scenario2[loser1],ScenarioStat2[[#This Row],[hero-2]])</f>
        <v>0</v>
      </c>
      <c r="C10" t="s">
        <v>227</v>
      </c>
      <c r="D10">
        <f>COUNTIFS(Scenario2[winner1],ScenarioStat2[[#This Row],[hero-2]],Scenario2[loser1],ScenarioStat2[[#This Row],[hero-1]])</f>
        <v>2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16</v>
      </c>
      <c r="I10">
        <f>SUMIFS(ScenarioStat2[team-1-win],ScenarioStat2[hero-1],ScenarioTeams2[[#This Row],[hero]])+SUMIFS(ScenarioStat2[team-2-win],ScenarioStat2[hero-2],ScenarioTeams2[[#This Row],[hero]])</f>
        <v>8</v>
      </c>
      <c r="J10" s="3">
        <f>IF(ScenarioTeams2[[#This Row],[battles]],ScenarioTeams2[[#This Row],[wins]]/ScenarioTeams2[[#This Row],[battles]],0)</f>
        <v>0.5</v>
      </c>
      <c r="K10" s="3"/>
      <c r="L10" s="5" t="s">
        <v>186</v>
      </c>
      <c r="M10" s="6">
        <f>M9*COUNTA(ScenarioStat2[hero-1])/60/24*2</f>
        <v>1.3013888888888889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48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  <c r="G11" t="s">
        <v>227</v>
      </c>
      <c r="H11">
        <f>SUMIFS(ScenarioStat2[battles],ScenarioStat2[hero-1],ScenarioTeams2[[#This Row],[hero]])+SUMIFS(ScenarioStat2[battles],ScenarioStat2[hero-2],ScenarioTeams2[[#This Row],[hero]])</f>
        <v>16</v>
      </c>
      <c r="I11">
        <f>SUMIFS(ScenarioStat2[team-1-win],ScenarioStat2[hero-1],ScenarioTeams2[[#This Row],[hero]])+SUMIFS(ScenarioStat2[team-2-win],ScenarioStat2[hero-2],ScenarioTeams2[[#This Row],[hero]])</f>
        <v>7</v>
      </c>
      <c r="J11" s="3">
        <f>IF(ScenarioTeams2[[#This Row],[battles]],ScenarioTeams2[[#This Row],[wins]]/ScenarioTeams2[[#This Row],[battles]],0)</f>
        <v>0.4375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33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0</v>
      </c>
      <c r="C13" t="s">
        <v>43</v>
      </c>
      <c r="D13">
        <f>COUNTIFS(Scenario2[winner1],ScenarioStat2[[#This Row],[hero-2]],Scenario2[loser1],ScenarioStat2[[#This Row],[hero-1]])</f>
        <v>2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45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0</v>
      </c>
      <c r="C15" t="s">
        <v>63</v>
      </c>
      <c r="D15">
        <f>COUNTIFS(Scenario2[winner1],ScenarioStat2[[#This Row],[hero-2]],Scenario2[loser1],ScenarioStat2[[#This Row],[hero-1]])</f>
        <v>2</v>
      </c>
      <c r="E15">
        <f>ScenarioStat2[[#This Row],[team-1-win]]+ScenarioStat2[[#This Row],[team-2-win]]</f>
        <v>2</v>
      </c>
    </row>
    <row r="16" spans="1:13" x14ac:dyDescent="0.25">
      <c r="A16" t="s">
        <v>56</v>
      </c>
      <c r="B16">
        <f>COUNTIFS(Scenario2[winner1],ScenarioStat2[[#This Row],[hero-1]],Scenario2[loser1],ScenarioStat2[[#This Row],[hero-2]])</f>
        <v>1</v>
      </c>
      <c r="C16" t="s">
        <v>38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56</v>
      </c>
      <c r="B17">
        <f>COUNTIFS(Scenario2[winner1],ScenarioStat2[[#This Row],[hero-1]],Scenario2[loser1],ScenarioStat2[[#This Row],[hero-2]])</f>
        <v>1</v>
      </c>
      <c r="C17" t="s">
        <v>227</v>
      </c>
      <c r="D17">
        <f>COUNTIFS(Scenario2[winner1],ScenarioStat2[[#This Row],[hero-2]],Scenario2[loser1],ScenarioStat2[[#This Row],[hero-1]])</f>
        <v>1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1</v>
      </c>
      <c r="C18" t="s">
        <v>33</v>
      </c>
      <c r="D18">
        <f>COUNTIFS(Scenario2[winner1],ScenarioStat2[[#This Row],[hero-2]],Scenario2[loser1],ScenarioStat2[[#This Row],[hero-1]])</f>
        <v>1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2</v>
      </c>
      <c r="C19" t="s">
        <v>43</v>
      </c>
      <c r="D19">
        <f>COUNTIFS(Scenario2[winner1],ScenarioStat2[[#This Row],[hero-2]],Scenario2[loser1],ScenarioStat2[[#This Row],[hero-1]])</f>
        <v>0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45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48</v>
      </c>
      <c r="B21">
        <f>COUNTIFS(Scenario2[winner1],ScenarioStat2[[#This Row],[hero-1]],Scenario2[loser1],ScenarioStat2[[#This Row],[hero-2]])</f>
        <v>2</v>
      </c>
      <c r="C21" t="s">
        <v>63</v>
      </c>
      <c r="D21">
        <f>COUNTIFS(Scenario2[winner1],ScenarioStat2[[#This Row],[hero-2]],Scenario2[loser1],ScenarioStat2[[#This Row],[hero-1]])</f>
        <v>0</v>
      </c>
      <c r="E21">
        <f>ScenarioStat2[[#This Row],[team-1-win]]+ScenarioStat2[[#This Row],[team-2-win]]</f>
        <v>2</v>
      </c>
    </row>
    <row r="22" spans="1:5" x14ac:dyDescent="0.25">
      <c r="A22" t="s">
        <v>48</v>
      </c>
      <c r="B22">
        <f>COUNTIFS(Scenario2[winner1],ScenarioStat2[[#This Row],[hero-1]],Scenario2[loser1],ScenarioStat2[[#This Row],[hero-2]])</f>
        <v>2</v>
      </c>
      <c r="C22" t="s">
        <v>38</v>
      </c>
      <c r="D22">
        <f>COUNTIFS(Scenario2[winner1],ScenarioStat2[[#This Row],[hero-2]],Scenario2[loser1],ScenarioStat2[[#This Row],[hero-1]])</f>
        <v>0</v>
      </c>
      <c r="E22">
        <f>ScenarioStat2[[#This Row],[team-1-win]]+ScenarioStat2[[#This Row],[team-2-win]]</f>
        <v>2</v>
      </c>
    </row>
    <row r="23" spans="1:5" x14ac:dyDescent="0.25">
      <c r="A23" t="s">
        <v>48</v>
      </c>
      <c r="B23">
        <f>COUNTIFS(Scenario2[winner1],ScenarioStat2[[#This Row],[hero-1]],Scenario2[loser1],ScenarioStat2[[#This Row],[hero-2]])</f>
        <v>2</v>
      </c>
      <c r="C23" t="s">
        <v>227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0</v>
      </c>
      <c r="C24" t="s">
        <v>43</v>
      </c>
      <c r="D24">
        <f>COUNTIFS(Scenario2[winner1],ScenarioStat2[[#This Row],[hero-2]],Scenario2[loser1],ScenarioStat2[[#This Row],[hero-1]])</f>
        <v>2</v>
      </c>
      <c r="E24">
        <f>ScenarioStat2[[#This Row],[team-1-win]]+ScenarioStat2[[#This Row],[team-2-win]]</f>
        <v>2</v>
      </c>
    </row>
    <row r="25" spans="1:5" x14ac:dyDescent="0.25">
      <c r="A25" t="s">
        <v>33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33</v>
      </c>
      <c r="B26">
        <f>COUNTIFS(Scenario2[winner1],ScenarioStat2[[#This Row],[hero-1]],Scenario2[loser1],ScenarioStat2[[#This Row],[hero-2]])</f>
        <v>2</v>
      </c>
      <c r="C26" t="s">
        <v>63</v>
      </c>
      <c r="D26">
        <f>COUNTIFS(Scenario2[winner1],ScenarioStat2[[#This Row],[hero-2]],Scenario2[loser1],ScenarioStat2[[#This Row],[hero-1]])</f>
        <v>0</v>
      </c>
      <c r="E26">
        <f>ScenarioStat2[[#This Row],[team-1-win]]+ScenarioStat2[[#This Row],[team-2-win]]</f>
        <v>2</v>
      </c>
    </row>
    <row r="27" spans="1:5" x14ac:dyDescent="0.25">
      <c r="A27" t="s">
        <v>33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33</v>
      </c>
      <c r="B28">
        <f>COUNTIFS(Scenario2[winner1],ScenarioStat2[[#This Row],[hero-1]],Scenario2[loser1],ScenarioStat2[[#This Row],[hero-2]])</f>
        <v>0</v>
      </c>
      <c r="C28" t="s">
        <v>227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43</v>
      </c>
      <c r="B29">
        <f>COUNTIFS(Scenario2[winner1],ScenarioStat2[[#This Row],[hero-1]],Scenario2[loser1],ScenarioStat2[[#This Row],[hero-2]])</f>
        <v>0</v>
      </c>
      <c r="C29" t="s">
        <v>45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43</v>
      </c>
      <c r="B30">
        <f>COUNTIFS(Scenario2[winner1],ScenarioStat2[[#This Row],[hero-1]],Scenario2[loser1],ScenarioStat2[[#This Row],[hero-2]])</f>
        <v>2</v>
      </c>
      <c r="C30" t="s">
        <v>63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  <row r="31" spans="1:5" x14ac:dyDescent="0.25">
      <c r="A31" t="s">
        <v>43</v>
      </c>
      <c r="B31">
        <f>COUNTIFS(Scenario2[winner1],ScenarioStat2[[#This Row],[hero-1]],Scenario2[loser1],ScenarioStat2[[#This Row],[hero-2]])</f>
        <v>0</v>
      </c>
      <c r="C31" t="s">
        <v>38</v>
      </c>
      <c r="D31">
        <f>COUNTIFS(Scenario2[winner1],ScenarioStat2[[#This Row],[hero-2]],Scenario2[loser1],ScenarioStat2[[#This Row],[hero-1]])</f>
        <v>2</v>
      </c>
      <c r="E31">
        <f>ScenarioStat2[[#This Row],[team-1-win]]+ScenarioStat2[[#This Row],[team-2-win]]</f>
        <v>2</v>
      </c>
    </row>
    <row r="32" spans="1:5" x14ac:dyDescent="0.25">
      <c r="A32" t="s">
        <v>43</v>
      </c>
      <c r="B32">
        <f>COUNTIFS(Scenario2[winner1],ScenarioStat2[[#This Row],[hero-1]],Scenario2[loser1],ScenarioStat2[[#This Row],[hero-2]])</f>
        <v>2</v>
      </c>
      <c r="C32" t="s">
        <v>227</v>
      </c>
      <c r="D32">
        <f>COUNTIFS(Scenario2[winner1],ScenarioStat2[[#This Row],[hero-2]],Scenario2[loser1],ScenarioStat2[[#This Row],[hero-1]])</f>
        <v>0</v>
      </c>
      <c r="E32">
        <f>ScenarioStat2[[#This Row],[team-1-win]]+ScenarioStat2[[#This Row],[team-2-win]]</f>
        <v>2</v>
      </c>
    </row>
    <row r="33" spans="1:5" x14ac:dyDescent="0.25">
      <c r="A33" t="s">
        <v>45</v>
      </c>
      <c r="B33">
        <f>COUNTIFS(Scenario2[winner1],ScenarioStat2[[#This Row],[hero-1]],Scenario2[loser1],ScenarioStat2[[#This Row],[hero-2]])</f>
        <v>0</v>
      </c>
      <c r="C33" t="s">
        <v>63</v>
      </c>
      <c r="D33">
        <f>COUNTIFS(Scenario2[winner1],ScenarioStat2[[#This Row],[hero-2]],Scenario2[loser1],ScenarioStat2[[#This Row],[hero-1]])</f>
        <v>2</v>
      </c>
      <c r="E33">
        <f>ScenarioStat2[[#This Row],[team-1-win]]+ScenarioStat2[[#This Row],[team-2-win]]</f>
        <v>2</v>
      </c>
    </row>
    <row r="34" spans="1:5" x14ac:dyDescent="0.25">
      <c r="A34" t="s">
        <v>45</v>
      </c>
      <c r="B34">
        <f>COUNTIFS(Scenario2[winner1],ScenarioStat2[[#This Row],[hero-1]],Scenario2[loser1],ScenarioStat2[[#This Row],[hero-2]])</f>
        <v>0</v>
      </c>
      <c r="C34" t="s">
        <v>38</v>
      </c>
      <c r="D34">
        <f>COUNTIFS(Scenario2[winner1],ScenarioStat2[[#This Row],[hero-2]],Scenario2[loser1],ScenarioStat2[[#This Row],[hero-1]])</f>
        <v>2</v>
      </c>
      <c r="E34">
        <f>ScenarioStat2[[#This Row],[team-1-win]]+ScenarioStat2[[#This Row],[team-2-win]]</f>
        <v>2</v>
      </c>
    </row>
    <row r="35" spans="1:5" x14ac:dyDescent="0.25">
      <c r="A35" t="s">
        <v>45</v>
      </c>
      <c r="B35">
        <f>COUNTIFS(Scenario2[winner1],ScenarioStat2[[#This Row],[hero-1]],Scenario2[loser1],ScenarioStat2[[#This Row],[hero-2]])</f>
        <v>0</v>
      </c>
      <c r="C35" t="s">
        <v>227</v>
      </c>
      <c r="D35">
        <f>COUNTIFS(Scenario2[winner1],ScenarioStat2[[#This Row],[hero-2]],Scenario2[loser1],ScenarioStat2[[#This Row],[hero-1]])</f>
        <v>2</v>
      </c>
      <c r="E35">
        <f>ScenarioStat2[[#This Row],[team-1-win]]+ScenarioStat2[[#This Row],[team-2-win]]</f>
        <v>2</v>
      </c>
    </row>
    <row r="36" spans="1:5" x14ac:dyDescent="0.25">
      <c r="A36" t="s">
        <v>63</v>
      </c>
      <c r="B36">
        <f>COUNTIFS(Scenario2[winner1],ScenarioStat2[[#This Row],[hero-1]],Scenario2[loser1],ScenarioStat2[[#This Row],[hero-2]])</f>
        <v>2</v>
      </c>
      <c r="C36" t="s">
        <v>38</v>
      </c>
      <c r="D36">
        <f>COUNTIFS(Scenario2[winner1],ScenarioStat2[[#This Row],[hero-2]],Scenario2[loser1],ScenarioStat2[[#This Row],[hero-1]])</f>
        <v>0</v>
      </c>
      <c r="E36">
        <f>ScenarioStat2[[#This Row],[team-1-win]]+ScenarioStat2[[#This Row],[team-2-win]]</f>
        <v>2</v>
      </c>
    </row>
    <row r="37" spans="1:5" x14ac:dyDescent="0.25">
      <c r="A37" t="s">
        <v>63</v>
      </c>
      <c r="B37">
        <f>COUNTIFS(Scenario2[winner1],ScenarioStat2[[#This Row],[hero-1]],Scenario2[loser1],ScenarioStat2[[#This Row],[hero-2]])</f>
        <v>2</v>
      </c>
      <c r="C37" t="s">
        <v>227</v>
      </c>
      <c r="D37">
        <f>COUNTIFS(Scenario2[winner1],ScenarioStat2[[#This Row],[hero-2]],Scenario2[loser1],ScenarioStat2[[#This Row],[hero-1]])</f>
        <v>0</v>
      </c>
      <c r="E37">
        <f>ScenarioStat2[[#This Row],[team-1-win]]+ScenarioStat2[[#This Row],[team-2-win]]</f>
        <v>2</v>
      </c>
    </row>
    <row r="38" spans="1:5" x14ac:dyDescent="0.25">
      <c r="A38" t="s">
        <v>38</v>
      </c>
      <c r="B38">
        <f>COUNTIFS(Scenario2[winner1],ScenarioStat2[[#This Row],[hero-1]],Scenario2[loser1],ScenarioStat2[[#This Row],[hero-2]])</f>
        <v>2</v>
      </c>
      <c r="C38" t="s">
        <v>227</v>
      </c>
      <c r="D38">
        <f>COUNTIFS(Scenario2[winner1],ScenarioStat2[[#This Row],[hero-2]],Scenario2[loser1],ScenarioStat2[[#This Row],[hero-1]])</f>
        <v>0</v>
      </c>
      <c r="E38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1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85"/>
  <sheetViews>
    <sheetView workbookViewId="0">
      <selection activeCell="AE36" sqref="AE36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1073</v>
      </c>
      <c r="B2">
        <v>0</v>
      </c>
      <c r="C2" t="s">
        <v>56</v>
      </c>
      <c r="D2">
        <v>3</v>
      </c>
      <c r="F2">
        <v>3</v>
      </c>
      <c r="G2" t="s">
        <v>68</v>
      </c>
      <c r="H2" t="s">
        <v>69</v>
      </c>
      <c r="I2" t="s">
        <v>85</v>
      </c>
      <c r="J2" t="s">
        <v>125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83</v>
      </c>
      <c r="Q2" t="s">
        <v>97</v>
      </c>
      <c r="R2" t="s">
        <v>115</v>
      </c>
      <c r="S2" t="s">
        <v>48</v>
      </c>
      <c r="T2">
        <v>3</v>
      </c>
      <c r="V2">
        <v>3</v>
      </c>
      <c r="W2" t="s">
        <v>126</v>
      </c>
      <c r="X2" t="s">
        <v>84</v>
      </c>
      <c r="Y2" t="s">
        <v>90</v>
      </c>
      <c r="Z2" t="s">
        <v>128</v>
      </c>
      <c r="AA2">
        <v>0</v>
      </c>
      <c r="AB2">
        <v>53</v>
      </c>
    </row>
    <row r="3" spans="1:28" x14ac:dyDescent="0.25">
      <c r="A3" t="s">
        <v>1074</v>
      </c>
      <c r="B3">
        <v>1</v>
      </c>
      <c r="C3" t="s">
        <v>33</v>
      </c>
      <c r="D3">
        <v>3</v>
      </c>
      <c r="F3">
        <v>2</v>
      </c>
      <c r="G3" t="s">
        <v>34</v>
      </c>
      <c r="H3" t="s">
        <v>130</v>
      </c>
      <c r="I3" t="s">
        <v>132</v>
      </c>
      <c r="J3" t="s">
        <v>133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3</v>
      </c>
      <c r="V3">
        <v>2</v>
      </c>
      <c r="W3" t="s">
        <v>120</v>
      </c>
      <c r="X3" t="s">
        <v>69</v>
      </c>
      <c r="Y3" t="s">
        <v>87</v>
      </c>
      <c r="AA3">
        <v>0</v>
      </c>
      <c r="AB3">
        <v>17</v>
      </c>
    </row>
    <row r="4" spans="1:28" x14ac:dyDescent="0.25">
      <c r="A4" s="36" t="s">
        <v>1075</v>
      </c>
      <c r="B4">
        <v>2</v>
      </c>
      <c r="C4" t="s">
        <v>56</v>
      </c>
      <c r="D4">
        <v>3</v>
      </c>
      <c r="F4">
        <v>1</v>
      </c>
      <c r="G4" t="s">
        <v>120</v>
      </c>
      <c r="H4" t="s">
        <v>69</v>
      </c>
      <c r="K4" t="s">
        <v>53</v>
      </c>
      <c r="L4">
        <v>1</v>
      </c>
      <c r="M4">
        <v>3</v>
      </c>
      <c r="N4">
        <v>2</v>
      </c>
      <c r="O4" t="s">
        <v>112</v>
      </c>
      <c r="S4" t="s">
        <v>43</v>
      </c>
      <c r="T4">
        <v>3</v>
      </c>
      <c r="V4">
        <v>1</v>
      </c>
      <c r="W4" t="s">
        <v>135</v>
      </c>
      <c r="X4" t="s">
        <v>136</v>
      </c>
      <c r="Y4" t="s">
        <v>137</v>
      </c>
      <c r="AA4">
        <v>0</v>
      </c>
      <c r="AB4">
        <v>14</v>
      </c>
    </row>
    <row r="5" spans="1:28" x14ac:dyDescent="0.25">
      <c r="A5" t="s">
        <v>1076</v>
      </c>
      <c r="B5">
        <v>3</v>
      </c>
      <c r="C5" t="s">
        <v>56</v>
      </c>
      <c r="D5">
        <v>3</v>
      </c>
      <c r="F5">
        <v>1</v>
      </c>
      <c r="G5" t="s">
        <v>57</v>
      </c>
      <c r="H5" t="s">
        <v>122</v>
      </c>
      <c r="I5" t="s">
        <v>123</v>
      </c>
      <c r="J5" t="s">
        <v>124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83</v>
      </c>
      <c r="Q5" t="s">
        <v>97</v>
      </c>
      <c r="S5" t="s">
        <v>45</v>
      </c>
      <c r="T5">
        <v>2</v>
      </c>
      <c r="V5">
        <v>1</v>
      </c>
      <c r="W5" t="s">
        <v>86</v>
      </c>
      <c r="X5" t="s">
        <v>76</v>
      </c>
      <c r="AA5">
        <v>0</v>
      </c>
      <c r="AB5">
        <v>17</v>
      </c>
    </row>
    <row r="6" spans="1:28" x14ac:dyDescent="0.25">
      <c r="A6" t="s">
        <v>1077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57</v>
      </c>
      <c r="P6" t="s">
        <v>69</v>
      </c>
      <c r="Q6" t="s">
        <v>87</v>
      </c>
      <c r="R6" t="s">
        <v>88</v>
      </c>
      <c r="S6" t="s">
        <v>63</v>
      </c>
      <c r="T6">
        <v>3</v>
      </c>
      <c r="V6">
        <v>3</v>
      </c>
      <c r="W6" t="s">
        <v>103</v>
      </c>
      <c r="X6" t="s">
        <v>91</v>
      </c>
      <c r="Y6" t="s">
        <v>148</v>
      </c>
      <c r="Z6" t="s">
        <v>151</v>
      </c>
      <c r="AA6">
        <v>0</v>
      </c>
      <c r="AB6">
        <v>41</v>
      </c>
    </row>
    <row r="7" spans="1:28" x14ac:dyDescent="0.25">
      <c r="A7" t="s">
        <v>1078</v>
      </c>
      <c r="B7">
        <v>5</v>
      </c>
      <c r="C7" t="s">
        <v>38</v>
      </c>
      <c r="D7">
        <v>3</v>
      </c>
      <c r="E7">
        <v>2</v>
      </c>
      <c r="F7">
        <v>2</v>
      </c>
      <c r="G7" t="s">
        <v>39</v>
      </c>
      <c r="H7" t="s">
        <v>40</v>
      </c>
      <c r="I7" t="s">
        <v>41</v>
      </c>
      <c r="J7" t="s">
        <v>156</v>
      </c>
      <c r="K7" t="s">
        <v>53</v>
      </c>
      <c r="L7">
        <v>2</v>
      </c>
      <c r="M7">
        <v>3</v>
      </c>
      <c r="N7">
        <v>2</v>
      </c>
      <c r="O7" t="s">
        <v>112</v>
      </c>
      <c r="P7" t="s">
        <v>83</v>
      </c>
      <c r="Q7" t="s">
        <v>97</v>
      </c>
      <c r="S7" t="s">
        <v>56</v>
      </c>
      <c r="T7">
        <v>3</v>
      </c>
      <c r="V7">
        <v>3</v>
      </c>
      <c r="W7" t="s">
        <v>57</v>
      </c>
      <c r="X7" t="s">
        <v>122</v>
      </c>
      <c r="Y7" t="s">
        <v>123</v>
      </c>
      <c r="Z7" t="s">
        <v>124</v>
      </c>
      <c r="AA7">
        <v>0</v>
      </c>
      <c r="AB7">
        <v>26</v>
      </c>
    </row>
    <row r="8" spans="1:28" x14ac:dyDescent="0.25">
      <c r="A8" t="s">
        <v>1079</v>
      </c>
      <c r="B8">
        <v>6</v>
      </c>
      <c r="C8" t="s">
        <v>56</v>
      </c>
      <c r="D8">
        <v>3</v>
      </c>
      <c r="F8">
        <v>3</v>
      </c>
      <c r="G8" t="s">
        <v>68</v>
      </c>
      <c r="H8" t="s">
        <v>69</v>
      </c>
      <c r="I8" t="s">
        <v>123</v>
      </c>
      <c r="J8" t="s">
        <v>124</v>
      </c>
      <c r="K8" t="s">
        <v>53</v>
      </c>
      <c r="L8">
        <v>3</v>
      </c>
      <c r="M8">
        <v>3</v>
      </c>
      <c r="N8">
        <v>3</v>
      </c>
      <c r="O8" t="s">
        <v>112</v>
      </c>
      <c r="P8" t="s">
        <v>83</v>
      </c>
      <c r="Q8" t="s">
        <v>97</v>
      </c>
      <c r="R8" t="s">
        <v>98</v>
      </c>
      <c r="S8" t="s">
        <v>227</v>
      </c>
      <c r="T8">
        <v>3</v>
      </c>
      <c r="U8">
        <v>3</v>
      </c>
      <c r="V8">
        <v>3</v>
      </c>
      <c r="W8" t="s">
        <v>228</v>
      </c>
      <c r="X8" t="s">
        <v>231</v>
      </c>
      <c r="Y8" t="s">
        <v>235</v>
      </c>
      <c r="Z8" t="s">
        <v>238</v>
      </c>
      <c r="AA8">
        <v>0</v>
      </c>
      <c r="AB8">
        <v>37</v>
      </c>
    </row>
    <row r="9" spans="1:28" x14ac:dyDescent="0.25">
      <c r="A9" t="s">
        <v>1080</v>
      </c>
      <c r="B9">
        <v>7</v>
      </c>
      <c r="C9" t="s">
        <v>33</v>
      </c>
      <c r="D9">
        <v>3</v>
      </c>
      <c r="F9">
        <v>3</v>
      </c>
      <c r="G9" t="s">
        <v>65</v>
      </c>
      <c r="H9" t="s">
        <v>130</v>
      </c>
      <c r="I9" t="s">
        <v>36</v>
      </c>
      <c r="J9" t="s">
        <v>37</v>
      </c>
      <c r="K9" t="s">
        <v>53</v>
      </c>
      <c r="L9">
        <v>2</v>
      </c>
      <c r="M9">
        <v>3</v>
      </c>
      <c r="N9">
        <v>3</v>
      </c>
      <c r="O9" t="s">
        <v>112</v>
      </c>
      <c r="P9" t="s">
        <v>55</v>
      </c>
      <c r="Q9" t="s">
        <v>97</v>
      </c>
      <c r="S9" t="s">
        <v>48</v>
      </c>
      <c r="T9">
        <v>3</v>
      </c>
      <c r="V9">
        <v>3</v>
      </c>
      <c r="W9" t="s">
        <v>126</v>
      </c>
      <c r="X9" t="s">
        <v>84</v>
      </c>
      <c r="Y9" t="s">
        <v>90</v>
      </c>
      <c r="Z9" t="s">
        <v>128</v>
      </c>
      <c r="AA9">
        <v>0</v>
      </c>
      <c r="AB9">
        <v>37</v>
      </c>
    </row>
    <row r="10" spans="1:28" x14ac:dyDescent="0.25">
      <c r="A10" t="s">
        <v>1081</v>
      </c>
      <c r="B10">
        <v>8</v>
      </c>
      <c r="C10" t="s">
        <v>53</v>
      </c>
      <c r="D10">
        <v>3</v>
      </c>
      <c r="E10">
        <v>3</v>
      </c>
      <c r="F10">
        <v>3</v>
      </c>
      <c r="G10" t="s">
        <v>112</v>
      </c>
      <c r="H10" t="s">
        <v>55</v>
      </c>
      <c r="I10" t="s">
        <v>97</v>
      </c>
      <c r="J10" t="s">
        <v>115</v>
      </c>
      <c r="K10" t="s">
        <v>48</v>
      </c>
      <c r="L10">
        <v>3</v>
      </c>
      <c r="N10">
        <v>3</v>
      </c>
      <c r="O10" t="s">
        <v>126</v>
      </c>
      <c r="P10" t="s">
        <v>84</v>
      </c>
      <c r="Q10" t="s">
        <v>90</v>
      </c>
      <c r="R10" t="s">
        <v>128</v>
      </c>
      <c r="S10" t="s">
        <v>43</v>
      </c>
      <c r="T10">
        <v>3</v>
      </c>
      <c r="V10">
        <v>3</v>
      </c>
      <c r="W10" t="s">
        <v>73</v>
      </c>
      <c r="X10" t="s">
        <v>136</v>
      </c>
      <c r="Y10" t="s">
        <v>75</v>
      </c>
      <c r="Z10" t="s">
        <v>139</v>
      </c>
      <c r="AA10">
        <v>0</v>
      </c>
      <c r="AB10">
        <v>52</v>
      </c>
    </row>
    <row r="11" spans="1:28" x14ac:dyDescent="0.25">
      <c r="A11" t="s">
        <v>1082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98</v>
      </c>
      <c r="K11" t="s">
        <v>48</v>
      </c>
      <c r="L11">
        <v>3</v>
      </c>
      <c r="N11">
        <v>2</v>
      </c>
      <c r="O11" t="s">
        <v>126</v>
      </c>
      <c r="P11" t="s">
        <v>84</v>
      </c>
      <c r="Q11" t="s">
        <v>90</v>
      </c>
      <c r="R11" t="s">
        <v>52</v>
      </c>
      <c r="S11" t="s">
        <v>45</v>
      </c>
      <c r="T11">
        <v>3</v>
      </c>
      <c r="V11">
        <v>3</v>
      </c>
      <c r="W11" t="s">
        <v>47</v>
      </c>
      <c r="X11" t="s">
        <v>92</v>
      </c>
      <c r="Y11" t="s">
        <v>93</v>
      </c>
      <c r="Z11" t="s">
        <v>143</v>
      </c>
      <c r="AA11">
        <v>0</v>
      </c>
      <c r="AB11">
        <v>27</v>
      </c>
    </row>
    <row r="12" spans="1:28" x14ac:dyDescent="0.25">
      <c r="A12" t="s">
        <v>1083</v>
      </c>
      <c r="B12">
        <v>10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97</v>
      </c>
      <c r="J12" t="s">
        <v>98</v>
      </c>
      <c r="K12" t="s">
        <v>48</v>
      </c>
      <c r="L12">
        <v>3</v>
      </c>
      <c r="N12">
        <v>3</v>
      </c>
      <c r="O12" t="s">
        <v>126</v>
      </c>
      <c r="P12" t="s">
        <v>84</v>
      </c>
      <c r="Q12" t="s">
        <v>90</v>
      </c>
      <c r="R12" t="s">
        <v>128</v>
      </c>
      <c r="S12" t="s">
        <v>63</v>
      </c>
      <c r="T12">
        <v>3</v>
      </c>
      <c r="V12">
        <v>3</v>
      </c>
      <c r="W12" t="s">
        <v>103</v>
      </c>
      <c r="X12" t="s">
        <v>91</v>
      </c>
      <c r="Y12" t="s">
        <v>148</v>
      </c>
      <c r="Z12" t="s">
        <v>151</v>
      </c>
      <c r="AA12">
        <v>0</v>
      </c>
      <c r="AB12">
        <v>52</v>
      </c>
    </row>
    <row r="13" spans="1:28" x14ac:dyDescent="0.25">
      <c r="A13" t="s">
        <v>1084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97</v>
      </c>
      <c r="J13" t="s">
        <v>115</v>
      </c>
      <c r="K13" t="s">
        <v>48</v>
      </c>
      <c r="L13">
        <v>3</v>
      </c>
      <c r="N13">
        <v>3</v>
      </c>
      <c r="O13" t="s">
        <v>126</v>
      </c>
      <c r="P13" t="s">
        <v>84</v>
      </c>
      <c r="Q13" t="s">
        <v>90</v>
      </c>
      <c r="R13" t="s">
        <v>128</v>
      </c>
      <c r="S13" t="s">
        <v>38</v>
      </c>
      <c r="T13">
        <v>3</v>
      </c>
      <c r="U13">
        <v>3</v>
      </c>
      <c r="V13">
        <v>3</v>
      </c>
      <c r="W13" t="s">
        <v>39</v>
      </c>
      <c r="X13" t="s">
        <v>96</v>
      </c>
      <c r="Y13" t="s">
        <v>154</v>
      </c>
      <c r="Z13" t="s">
        <v>42</v>
      </c>
      <c r="AA13">
        <v>0</v>
      </c>
      <c r="AB13">
        <v>49</v>
      </c>
    </row>
    <row r="14" spans="1:28" x14ac:dyDescent="0.25">
      <c r="A14" t="s">
        <v>1085</v>
      </c>
      <c r="B14">
        <v>12</v>
      </c>
      <c r="C14" t="s">
        <v>227</v>
      </c>
      <c r="D14">
        <v>3</v>
      </c>
      <c r="E14">
        <v>3</v>
      </c>
      <c r="F14">
        <v>3</v>
      </c>
      <c r="G14" t="s">
        <v>228</v>
      </c>
      <c r="H14" t="s">
        <v>233</v>
      </c>
      <c r="I14" t="s">
        <v>235</v>
      </c>
      <c r="J14" t="s">
        <v>238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83</v>
      </c>
      <c r="Q14" t="s">
        <v>97</v>
      </c>
      <c r="R14" t="s">
        <v>115</v>
      </c>
      <c r="S14" t="s">
        <v>48</v>
      </c>
      <c r="T14">
        <v>3</v>
      </c>
      <c r="V14">
        <v>3</v>
      </c>
      <c r="W14" t="s">
        <v>126</v>
      </c>
      <c r="X14" t="s">
        <v>84</v>
      </c>
      <c r="Y14" t="s">
        <v>90</v>
      </c>
      <c r="Z14" t="s">
        <v>128</v>
      </c>
      <c r="AA14">
        <v>0</v>
      </c>
      <c r="AB14">
        <v>49</v>
      </c>
    </row>
    <row r="15" spans="1:28" x14ac:dyDescent="0.25">
      <c r="A15" t="s">
        <v>1086</v>
      </c>
      <c r="B15">
        <v>13</v>
      </c>
      <c r="C15" t="s">
        <v>33</v>
      </c>
      <c r="D15">
        <v>3</v>
      </c>
      <c r="F15">
        <v>3</v>
      </c>
      <c r="G15" t="s">
        <v>34</v>
      </c>
      <c r="H15" t="s">
        <v>130</v>
      </c>
      <c r="I15" t="s">
        <v>132</v>
      </c>
      <c r="J15" t="s">
        <v>37</v>
      </c>
      <c r="K15" t="s">
        <v>53</v>
      </c>
      <c r="L15">
        <v>2</v>
      </c>
      <c r="M15">
        <v>3</v>
      </c>
      <c r="N15">
        <v>3</v>
      </c>
      <c r="O15" t="s">
        <v>112</v>
      </c>
      <c r="P15" t="s">
        <v>55</v>
      </c>
      <c r="Q15" t="s">
        <v>97</v>
      </c>
      <c r="S15" t="s">
        <v>43</v>
      </c>
      <c r="T15">
        <v>3</v>
      </c>
      <c r="V15">
        <v>2</v>
      </c>
      <c r="W15" t="s">
        <v>135</v>
      </c>
      <c r="X15" t="s">
        <v>99</v>
      </c>
      <c r="AA15">
        <v>0</v>
      </c>
      <c r="AB15">
        <v>22</v>
      </c>
    </row>
    <row r="16" spans="1:28" x14ac:dyDescent="0.25">
      <c r="A16" t="s">
        <v>1087</v>
      </c>
      <c r="B16">
        <v>14</v>
      </c>
      <c r="C16" t="s">
        <v>45</v>
      </c>
      <c r="D16">
        <v>3</v>
      </c>
      <c r="F16">
        <v>3</v>
      </c>
      <c r="G16" t="s">
        <v>86</v>
      </c>
      <c r="H16" t="s">
        <v>141</v>
      </c>
      <c r="I16" t="s">
        <v>142</v>
      </c>
      <c r="J16" t="s">
        <v>144</v>
      </c>
      <c r="K16" t="s">
        <v>53</v>
      </c>
      <c r="L16">
        <v>1</v>
      </c>
      <c r="M16">
        <v>3</v>
      </c>
      <c r="N16">
        <v>3</v>
      </c>
      <c r="O16" t="s">
        <v>112</v>
      </c>
      <c r="P16" t="s">
        <v>83</v>
      </c>
      <c r="Q16" t="s">
        <v>97</v>
      </c>
      <c r="S16" t="s">
        <v>33</v>
      </c>
      <c r="T16">
        <v>3</v>
      </c>
      <c r="V16">
        <v>3</v>
      </c>
      <c r="W16" t="s">
        <v>65</v>
      </c>
      <c r="X16" t="s">
        <v>130</v>
      </c>
      <c r="Y16" t="s">
        <v>36</v>
      </c>
      <c r="Z16" t="s">
        <v>133</v>
      </c>
      <c r="AA16">
        <v>0</v>
      </c>
      <c r="AB16">
        <v>27</v>
      </c>
    </row>
    <row r="17" spans="1:28" x14ac:dyDescent="0.25">
      <c r="A17" t="s">
        <v>1088</v>
      </c>
      <c r="B17">
        <v>15</v>
      </c>
      <c r="C17" t="s">
        <v>33</v>
      </c>
      <c r="D17">
        <v>3</v>
      </c>
      <c r="F17">
        <v>2</v>
      </c>
      <c r="G17" t="s">
        <v>34</v>
      </c>
      <c r="H17" t="s">
        <v>66</v>
      </c>
      <c r="I17" t="s">
        <v>132</v>
      </c>
      <c r="K17" t="s">
        <v>53</v>
      </c>
      <c r="L17">
        <v>1</v>
      </c>
      <c r="M17">
        <v>3</v>
      </c>
      <c r="N17">
        <v>2</v>
      </c>
      <c r="O17" t="s">
        <v>112</v>
      </c>
      <c r="S17" t="s">
        <v>63</v>
      </c>
      <c r="T17">
        <v>2</v>
      </c>
      <c r="V17">
        <v>1</v>
      </c>
      <c r="W17" t="s">
        <v>145</v>
      </c>
      <c r="X17" t="s">
        <v>91</v>
      </c>
      <c r="Y17" t="s">
        <v>148</v>
      </c>
      <c r="Z17" t="s">
        <v>151</v>
      </c>
      <c r="AA17">
        <v>0</v>
      </c>
      <c r="AB17">
        <v>17</v>
      </c>
    </row>
    <row r="18" spans="1:28" x14ac:dyDescent="0.25">
      <c r="A18" t="s">
        <v>1089</v>
      </c>
      <c r="B18">
        <v>16</v>
      </c>
      <c r="C18" t="s">
        <v>33</v>
      </c>
      <c r="D18">
        <v>3</v>
      </c>
      <c r="F18">
        <v>3</v>
      </c>
      <c r="G18" t="s">
        <v>65</v>
      </c>
      <c r="H18" t="s">
        <v>130</v>
      </c>
      <c r="I18" t="s">
        <v>36</v>
      </c>
      <c r="J18" t="s">
        <v>134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55</v>
      </c>
      <c r="Q18" t="s">
        <v>97</v>
      </c>
      <c r="S18" t="s">
        <v>38</v>
      </c>
      <c r="T18">
        <v>1</v>
      </c>
      <c r="U18">
        <v>1</v>
      </c>
      <c r="V18">
        <v>3</v>
      </c>
      <c r="W18" t="s">
        <v>39</v>
      </c>
      <c r="X18" t="s">
        <v>40</v>
      </c>
      <c r="Y18" t="s">
        <v>153</v>
      </c>
      <c r="Z18" t="s">
        <v>156</v>
      </c>
      <c r="AA18">
        <v>0</v>
      </c>
      <c r="AB18">
        <v>25</v>
      </c>
    </row>
    <row r="19" spans="1:28" x14ac:dyDescent="0.25">
      <c r="A19" t="s">
        <v>1090</v>
      </c>
      <c r="B19">
        <v>17</v>
      </c>
      <c r="C19" t="s">
        <v>33</v>
      </c>
      <c r="D19">
        <v>1</v>
      </c>
      <c r="F19">
        <v>3</v>
      </c>
      <c r="G19" t="s">
        <v>34</v>
      </c>
      <c r="H19" t="s">
        <v>130</v>
      </c>
      <c r="I19" t="s">
        <v>132</v>
      </c>
      <c r="J19" t="s">
        <v>134</v>
      </c>
      <c r="K19" t="s">
        <v>53</v>
      </c>
      <c r="L19">
        <v>1</v>
      </c>
      <c r="M19">
        <v>3</v>
      </c>
      <c r="N19">
        <v>1</v>
      </c>
      <c r="O19" t="s">
        <v>112</v>
      </c>
      <c r="P19" t="s">
        <v>83</v>
      </c>
      <c r="S19" t="s">
        <v>227</v>
      </c>
      <c r="T19">
        <v>3</v>
      </c>
      <c r="U19">
        <v>1</v>
      </c>
      <c r="V19">
        <v>3</v>
      </c>
      <c r="W19" t="s">
        <v>228</v>
      </c>
      <c r="X19" t="s">
        <v>231</v>
      </c>
      <c r="AA19">
        <v>0</v>
      </c>
      <c r="AB19">
        <v>17</v>
      </c>
    </row>
    <row r="20" spans="1:28" x14ac:dyDescent="0.25">
      <c r="A20" t="s">
        <v>1091</v>
      </c>
      <c r="B20">
        <v>18</v>
      </c>
      <c r="C20" t="s">
        <v>53</v>
      </c>
      <c r="D20">
        <v>2</v>
      </c>
      <c r="E20">
        <v>3</v>
      </c>
      <c r="F20">
        <v>3</v>
      </c>
      <c r="G20" t="s">
        <v>112</v>
      </c>
      <c r="H20" t="s">
        <v>55</v>
      </c>
      <c r="I20" t="s">
        <v>105</v>
      </c>
      <c r="K20" t="s">
        <v>43</v>
      </c>
      <c r="L20">
        <v>3</v>
      </c>
      <c r="N20">
        <v>3</v>
      </c>
      <c r="O20" t="s">
        <v>135</v>
      </c>
      <c r="P20" t="s">
        <v>74</v>
      </c>
      <c r="Q20" t="s">
        <v>137</v>
      </c>
      <c r="R20" t="s">
        <v>138</v>
      </c>
      <c r="S20" t="s">
        <v>45</v>
      </c>
      <c r="T20">
        <v>2</v>
      </c>
      <c r="V20">
        <v>3</v>
      </c>
      <c r="W20" t="s">
        <v>86</v>
      </c>
      <c r="X20" t="s">
        <v>76</v>
      </c>
      <c r="Y20" t="s">
        <v>102</v>
      </c>
      <c r="AA20">
        <v>0</v>
      </c>
      <c r="AB20">
        <v>22</v>
      </c>
    </row>
    <row r="21" spans="1:28" x14ac:dyDescent="0.25">
      <c r="A21" t="s">
        <v>1092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83</v>
      </c>
      <c r="I21" t="s">
        <v>97</v>
      </c>
      <c r="J21" t="s">
        <v>98</v>
      </c>
      <c r="K21" t="s">
        <v>43</v>
      </c>
      <c r="L21">
        <v>3</v>
      </c>
      <c r="N21">
        <v>3</v>
      </c>
      <c r="O21" t="s">
        <v>135</v>
      </c>
      <c r="P21" t="s">
        <v>74</v>
      </c>
      <c r="Q21" t="s">
        <v>100</v>
      </c>
      <c r="R21" t="s">
        <v>101</v>
      </c>
      <c r="S21" t="s">
        <v>63</v>
      </c>
      <c r="T21">
        <v>3</v>
      </c>
      <c r="V21">
        <v>3</v>
      </c>
      <c r="W21" t="s">
        <v>103</v>
      </c>
      <c r="X21" t="s">
        <v>91</v>
      </c>
      <c r="Y21" t="s">
        <v>148</v>
      </c>
      <c r="Z21" t="s">
        <v>151</v>
      </c>
      <c r="AA21">
        <v>0</v>
      </c>
      <c r="AB21">
        <v>43</v>
      </c>
    </row>
    <row r="22" spans="1:28" x14ac:dyDescent="0.25">
      <c r="A22" t="s">
        <v>1093</v>
      </c>
      <c r="B22">
        <v>20</v>
      </c>
      <c r="C22" t="s">
        <v>43</v>
      </c>
      <c r="D22">
        <v>3</v>
      </c>
      <c r="F22">
        <v>3</v>
      </c>
      <c r="G22" t="s">
        <v>135</v>
      </c>
      <c r="H22" t="s">
        <v>74</v>
      </c>
      <c r="I22" t="s">
        <v>137</v>
      </c>
      <c r="J22" t="s">
        <v>101</v>
      </c>
      <c r="K22" t="s">
        <v>53</v>
      </c>
      <c r="L22">
        <v>2</v>
      </c>
      <c r="M22">
        <v>3</v>
      </c>
      <c r="N22">
        <v>3</v>
      </c>
      <c r="O22" t="s">
        <v>112</v>
      </c>
      <c r="P22" t="s">
        <v>55</v>
      </c>
      <c r="Q22" t="s">
        <v>97</v>
      </c>
      <c r="R22" t="s">
        <v>115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41</v>
      </c>
      <c r="Z22" t="s">
        <v>156</v>
      </c>
      <c r="AA22">
        <v>0</v>
      </c>
      <c r="AB22">
        <v>32</v>
      </c>
    </row>
    <row r="23" spans="1:28" x14ac:dyDescent="0.25">
      <c r="A23" t="s">
        <v>1094</v>
      </c>
      <c r="B23">
        <v>21</v>
      </c>
      <c r="C23" t="s">
        <v>43</v>
      </c>
      <c r="D23">
        <v>3</v>
      </c>
      <c r="F23">
        <v>3</v>
      </c>
      <c r="G23" t="s">
        <v>73</v>
      </c>
      <c r="H23" t="s">
        <v>99</v>
      </c>
      <c r="I23" t="s">
        <v>75</v>
      </c>
      <c r="J23" t="s">
        <v>101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83</v>
      </c>
      <c r="Q23" t="s">
        <v>97</v>
      </c>
      <c r="R23" t="s">
        <v>115</v>
      </c>
      <c r="S23" t="s">
        <v>227</v>
      </c>
      <c r="T23">
        <v>3</v>
      </c>
      <c r="U23">
        <v>3</v>
      </c>
      <c r="V23">
        <v>3</v>
      </c>
      <c r="W23" t="s">
        <v>228</v>
      </c>
      <c r="X23" t="s">
        <v>231</v>
      </c>
      <c r="Y23" t="s">
        <v>235</v>
      </c>
      <c r="Z23" t="s">
        <v>238</v>
      </c>
      <c r="AA23">
        <v>0</v>
      </c>
      <c r="AB23">
        <v>40</v>
      </c>
    </row>
    <row r="24" spans="1:28" x14ac:dyDescent="0.25">
      <c r="A24" t="s">
        <v>1095</v>
      </c>
      <c r="B24">
        <v>22</v>
      </c>
      <c r="C24" t="s">
        <v>53</v>
      </c>
      <c r="D24">
        <v>3</v>
      </c>
      <c r="E24">
        <v>3</v>
      </c>
      <c r="F24">
        <v>3</v>
      </c>
      <c r="G24" t="s">
        <v>112</v>
      </c>
      <c r="H24" t="s">
        <v>55</v>
      </c>
      <c r="I24" t="s">
        <v>97</v>
      </c>
      <c r="J24" t="s">
        <v>98</v>
      </c>
      <c r="K24" t="s">
        <v>45</v>
      </c>
      <c r="L24">
        <v>3</v>
      </c>
      <c r="N24">
        <v>3</v>
      </c>
      <c r="O24" t="s">
        <v>86</v>
      </c>
      <c r="P24" t="s">
        <v>141</v>
      </c>
      <c r="Q24" t="s">
        <v>93</v>
      </c>
      <c r="R24" t="s">
        <v>143</v>
      </c>
      <c r="S24" t="s">
        <v>63</v>
      </c>
      <c r="T24">
        <v>3</v>
      </c>
      <c r="V24">
        <v>3</v>
      </c>
      <c r="W24" t="s">
        <v>103</v>
      </c>
      <c r="X24" t="s">
        <v>91</v>
      </c>
      <c r="Y24" t="s">
        <v>148</v>
      </c>
      <c r="Z24" t="s">
        <v>151</v>
      </c>
      <c r="AA24">
        <v>0</v>
      </c>
      <c r="AB24">
        <v>44</v>
      </c>
    </row>
    <row r="25" spans="1:28" x14ac:dyDescent="0.25">
      <c r="A25" t="s">
        <v>1096</v>
      </c>
      <c r="B25">
        <v>23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83</v>
      </c>
      <c r="I25" t="s">
        <v>97</v>
      </c>
      <c r="J25" t="s">
        <v>115</v>
      </c>
      <c r="K25" t="s">
        <v>45</v>
      </c>
      <c r="L25">
        <v>3</v>
      </c>
      <c r="N25">
        <v>3</v>
      </c>
      <c r="O25" t="s">
        <v>47</v>
      </c>
      <c r="P25" t="s">
        <v>76</v>
      </c>
      <c r="Q25" t="s">
        <v>93</v>
      </c>
      <c r="R25" t="s">
        <v>94</v>
      </c>
      <c r="S25" t="s">
        <v>38</v>
      </c>
      <c r="T25">
        <v>3</v>
      </c>
      <c r="U25">
        <v>3</v>
      </c>
      <c r="V25">
        <v>3</v>
      </c>
      <c r="W25" t="s">
        <v>39</v>
      </c>
      <c r="X25" t="s">
        <v>40</v>
      </c>
      <c r="Y25" t="s">
        <v>153</v>
      </c>
      <c r="Z25" t="s">
        <v>42</v>
      </c>
      <c r="AA25">
        <v>0</v>
      </c>
      <c r="AB25">
        <v>39</v>
      </c>
    </row>
    <row r="26" spans="1:28" x14ac:dyDescent="0.25">
      <c r="A26" t="s">
        <v>1097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83</v>
      </c>
      <c r="I26" t="s">
        <v>97</v>
      </c>
      <c r="J26" t="s">
        <v>98</v>
      </c>
      <c r="K26" t="s">
        <v>45</v>
      </c>
      <c r="L26">
        <v>3</v>
      </c>
      <c r="N26">
        <v>3</v>
      </c>
      <c r="O26" t="s">
        <v>86</v>
      </c>
      <c r="P26" t="s">
        <v>76</v>
      </c>
      <c r="Q26" t="s">
        <v>142</v>
      </c>
      <c r="R26" t="s">
        <v>143</v>
      </c>
      <c r="S26" t="s">
        <v>227</v>
      </c>
      <c r="T26">
        <v>3</v>
      </c>
      <c r="U26">
        <v>3</v>
      </c>
      <c r="V26">
        <v>3</v>
      </c>
      <c r="W26" t="s">
        <v>228</v>
      </c>
      <c r="X26" t="s">
        <v>231</v>
      </c>
      <c r="Y26" t="s">
        <v>235</v>
      </c>
      <c r="Z26" t="s">
        <v>238</v>
      </c>
      <c r="AA26">
        <v>0</v>
      </c>
      <c r="AB26">
        <v>38</v>
      </c>
    </row>
    <row r="27" spans="1:28" x14ac:dyDescent="0.25">
      <c r="A27" t="s">
        <v>1098</v>
      </c>
      <c r="B27">
        <v>25</v>
      </c>
      <c r="C27" t="s">
        <v>53</v>
      </c>
      <c r="D27">
        <v>3</v>
      </c>
      <c r="E27">
        <v>3</v>
      </c>
      <c r="F27">
        <v>3</v>
      </c>
      <c r="G27" t="s">
        <v>112</v>
      </c>
      <c r="H27" t="s">
        <v>83</v>
      </c>
      <c r="I27" t="s">
        <v>97</v>
      </c>
      <c r="J27" t="s">
        <v>98</v>
      </c>
      <c r="K27" t="s">
        <v>63</v>
      </c>
      <c r="L27">
        <v>3</v>
      </c>
      <c r="N27">
        <v>3</v>
      </c>
      <c r="O27" t="s">
        <v>103</v>
      </c>
      <c r="P27" t="s">
        <v>91</v>
      </c>
      <c r="Q27" t="s">
        <v>148</v>
      </c>
      <c r="R27" t="s">
        <v>151</v>
      </c>
      <c r="S27" t="s">
        <v>38</v>
      </c>
      <c r="T27">
        <v>3</v>
      </c>
      <c r="U27">
        <v>3</v>
      </c>
      <c r="V27">
        <v>3</v>
      </c>
      <c r="W27" t="s">
        <v>39</v>
      </c>
      <c r="X27" t="s">
        <v>40</v>
      </c>
      <c r="Y27" t="s">
        <v>153</v>
      </c>
      <c r="Z27" t="s">
        <v>155</v>
      </c>
      <c r="AA27">
        <v>0</v>
      </c>
      <c r="AB27">
        <v>48</v>
      </c>
    </row>
    <row r="28" spans="1:28" x14ac:dyDescent="0.25">
      <c r="A28" t="s">
        <v>1099</v>
      </c>
      <c r="B28">
        <v>26</v>
      </c>
      <c r="C28" t="s">
        <v>63</v>
      </c>
      <c r="D28">
        <v>3</v>
      </c>
      <c r="F28">
        <v>3</v>
      </c>
      <c r="G28" t="s">
        <v>103</v>
      </c>
      <c r="H28" t="s">
        <v>91</v>
      </c>
      <c r="I28" t="s">
        <v>148</v>
      </c>
      <c r="J28" t="s">
        <v>151</v>
      </c>
      <c r="K28" t="s">
        <v>53</v>
      </c>
      <c r="L28">
        <v>3</v>
      </c>
      <c r="M28">
        <v>3</v>
      </c>
      <c r="N28">
        <v>3</v>
      </c>
      <c r="O28" t="s">
        <v>112</v>
      </c>
      <c r="P28" t="s">
        <v>83</v>
      </c>
      <c r="Q28" t="s">
        <v>97</v>
      </c>
      <c r="R28" t="s">
        <v>98</v>
      </c>
      <c r="S28" t="s">
        <v>227</v>
      </c>
      <c r="T28">
        <v>3</v>
      </c>
      <c r="U28">
        <v>3</v>
      </c>
      <c r="V28">
        <v>3</v>
      </c>
      <c r="W28" t="s">
        <v>229</v>
      </c>
      <c r="X28" t="s">
        <v>231</v>
      </c>
      <c r="Y28" t="s">
        <v>235</v>
      </c>
      <c r="Z28" t="s">
        <v>238</v>
      </c>
      <c r="AA28">
        <v>0</v>
      </c>
      <c r="AB28">
        <v>53</v>
      </c>
    </row>
    <row r="29" spans="1:28" x14ac:dyDescent="0.25">
      <c r="A29" t="s">
        <v>1100</v>
      </c>
      <c r="B29">
        <v>27</v>
      </c>
      <c r="C29" t="s">
        <v>227</v>
      </c>
      <c r="D29">
        <v>3</v>
      </c>
      <c r="E29">
        <v>3</v>
      </c>
      <c r="F29">
        <v>3</v>
      </c>
      <c r="G29" t="s">
        <v>228</v>
      </c>
      <c r="H29" t="s">
        <v>231</v>
      </c>
      <c r="I29" t="s">
        <v>235</v>
      </c>
      <c r="J29" t="s">
        <v>238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98</v>
      </c>
      <c r="S29" t="s">
        <v>38</v>
      </c>
      <c r="T29">
        <v>3</v>
      </c>
      <c r="U29">
        <v>3</v>
      </c>
      <c r="V29">
        <v>3</v>
      </c>
      <c r="W29" t="s">
        <v>39</v>
      </c>
      <c r="X29" t="s">
        <v>96</v>
      </c>
      <c r="Y29" t="s">
        <v>41</v>
      </c>
      <c r="Z29" t="s">
        <v>156</v>
      </c>
      <c r="AA29">
        <v>0</v>
      </c>
      <c r="AB29">
        <v>55</v>
      </c>
    </row>
    <row r="30" spans="1:28" x14ac:dyDescent="0.25">
      <c r="A30" t="s">
        <v>1101</v>
      </c>
      <c r="B30">
        <v>28</v>
      </c>
      <c r="C30" t="s">
        <v>33</v>
      </c>
      <c r="D30">
        <v>3</v>
      </c>
      <c r="F30">
        <v>2</v>
      </c>
      <c r="G30" t="s">
        <v>65</v>
      </c>
      <c r="H30" t="s">
        <v>130</v>
      </c>
      <c r="I30" t="s">
        <v>36</v>
      </c>
      <c r="K30" t="s">
        <v>56</v>
      </c>
      <c r="L30">
        <v>3</v>
      </c>
      <c r="N30">
        <v>2</v>
      </c>
      <c r="O30" t="s">
        <v>120</v>
      </c>
      <c r="P30" t="s">
        <v>69</v>
      </c>
      <c r="Q30" t="s">
        <v>87</v>
      </c>
      <c r="S30" t="s">
        <v>48</v>
      </c>
      <c r="T30">
        <v>1</v>
      </c>
      <c r="V30">
        <v>2</v>
      </c>
      <c r="W30" t="s">
        <v>126</v>
      </c>
      <c r="X30" t="s">
        <v>84</v>
      </c>
      <c r="Y30" t="s">
        <v>90</v>
      </c>
      <c r="AA30">
        <v>0</v>
      </c>
      <c r="AB30">
        <v>17</v>
      </c>
    </row>
    <row r="31" spans="1:28" x14ac:dyDescent="0.25">
      <c r="A31" t="s">
        <v>1102</v>
      </c>
      <c r="B31">
        <v>29</v>
      </c>
      <c r="C31" t="s">
        <v>56</v>
      </c>
      <c r="D31">
        <v>2</v>
      </c>
      <c r="F31">
        <v>3</v>
      </c>
      <c r="G31" t="s">
        <v>120</v>
      </c>
      <c r="K31" t="s">
        <v>48</v>
      </c>
      <c r="L31">
        <v>1</v>
      </c>
      <c r="N31">
        <v>1</v>
      </c>
      <c r="O31" t="s">
        <v>126</v>
      </c>
      <c r="P31" t="s">
        <v>84</v>
      </c>
      <c r="S31" t="s">
        <v>43</v>
      </c>
      <c r="T31">
        <v>3</v>
      </c>
      <c r="V31">
        <v>2</v>
      </c>
      <c r="W31" t="s">
        <v>135</v>
      </c>
      <c r="X31" t="s">
        <v>74</v>
      </c>
      <c r="Y31" t="s">
        <v>137</v>
      </c>
      <c r="AA31">
        <v>0</v>
      </c>
      <c r="AB31">
        <v>14</v>
      </c>
    </row>
    <row r="32" spans="1:28" x14ac:dyDescent="0.25">
      <c r="A32" t="s">
        <v>1103</v>
      </c>
      <c r="B32">
        <v>30</v>
      </c>
      <c r="C32" t="s">
        <v>48</v>
      </c>
      <c r="D32">
        <v>3</v>
      </c>
      <c r="F32">
        <v>3</v>
      </c>
      <c r="G32" t="s">
        <v>126</v>
      </c>
      <c r="H32" t="s">
        <v>84</v>
      </c>
      <c r="I32" t="s">
        <v>90</v>
      </c>
      <c r="J32" t="s">
        <v>128</v>
      </c>
      <c r="K32" t="s">
        <v>56</v>
      </c>
      <c r="L32">
        <v>3</v>
      </c>
      <c r="N32">
        <v>3</v>
      </c>
      <c r="O32" t="s">
        <v>120</v>
      </c>
      <c r="P32" t="s">
        <v>121</v>
      </c>
      <c r="Q32" t="s">
        <v>87</v>
      </c>
      <c r="R32" t="s">
        <v>124</v>
      </c>
      <c r="S32" t="s">
        <v>45</v>
      </c>
      <c r="T32">
        <v>3</v>
      </c>
      <c r="V32">
        <v>3</v>
      </c>
      <c r="W32" t="s">
        <v>86</v>
      </c>
      <c r="X32" t="s">
        <v>76</v>
      </c>
      <c r="Y32" t="s">
        <v>142</v>
      </c>
      <c r="Z32" t="s">
        <v>144</v>
      </c>
      <c r="AA32">
        <v>0</v>
      </c>
      <c r="AB32">
        <v>32</v>
      </c>
    </row>
    <row r="33" spans="1:28" x14ac:dyDescent="0.25">
      <c r="A33" t="s">
        <v>1104</v>
      </c>
      <c r="B33">
        <v>31</v>
      </c>
      <c r="C33" t="s">
        <v>48</v>
      </c>
      <c r="D33">
        <v>3</v>
      </c>
      <c r="F33">
        <v>3</v>
      </c>
      <c r="G33" t="s">
        <v>126</v>
      </c>
      <c r="H33" t="s">
        <v>84</v>
      </c>
      <c r="I33" t="s">
        <v>127</v>
      </c>
      <c r="J33" t="s">
        <v>52</v>
      </c>
      <c r="K33" t="s">
        <v>56</v>
      </c>
      <c r="L33">
        <v>3</v>
      </c>
      <c r="N33">
        <v>3</v>
      </c>
      <c r="O33" t="s">
        <v>57</v>
      </c>
      <c r="P33" t="s">
        <v>122</v>
      </c>
      <c r="Q33" t="s">
        <v>87</v>
      </c>
      <c r="R33" t="s">
        <v>124</v>
      </c>
      <c r="S33" t="s">
        <v>63</v>
      </c>
      <c r="T33">
        <v>2</v>
      </c>
      <c r="V33">
        <v>2</v>
      </c>
      <c r="W33" t="s">
        <v>145</v>
      </c>
      <c r="X33" t="s">
        <v>91</v>
      </c>
      <c r="Y33" t="s">
        <v>148</v>
      </c>
      <c r="Z33" t="s">
        <v>151</v>
      </c>
      <c r="AA33">
        <v>0</v>
      </c>
      <c r="AB33">
        <v>33</v>
      </c>
    </row>
    <row r="34" spans="1:28" x14ac:dyDescent="0.25">
      <c r="A34" t="s">
        <v>1105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121</v>
      </c>
      <c r="I34" t="s">
        <v>85</v>
      </c>
      <c r="J34" t="s">
        <v>125</v>
      </c>
      <c r="K34" t="s">
        <v>48</v>
      </c>
      <c r="L34">
        <v>3</v>
      </c>
      <c r="N34">
        <v>2</v>
      </c>
      <c r="O34" t="s">
        <v>126</v>
      </c>
      <c r="P34" t="s">
        <v>84</v>
      </c>
      <c r="Q34" t="s">
        <v>127</v>
      </c>
      <c r="R34" t="s">
        <v>128</v>
      </c>
      <c r="S34" t="s">
        <v>38</v>
      </c>
      <c r="T34">
        <v>2</v>
      </c>
      <c r="U34">
        <v>3</v>
      </c>
      <c r="V34">
        <v>3</v>
      </c>
      <c r="W34" t="s">
        <v>39</v>
      </c>
      <c r="X34" t="s">
        <v>40</v>
      </c>
      <c r="Y34" t="s">
        <v>154</v>
      </c>
      <c r="Z34" t="s">
        <v>156</v>
      </c>
      <c r="AA34">
        <v>0</v>
      </c>
      <c r="AB34">
        <v>25</v>
      </c>
    </row>
    <row r="35" spans="1:28" x14ac:dyDescent="0.25">
      <c r="A35" t="s">
        <v>1106</v>
      </c>
      <c r="B35">
        <v>33</v>
      </c>
      <c r="C35" t="s">
        <v>48</v>
      </c>
      <c r="D35">
        <v>3</v>
      </c>
      <c r="F35">
        <v>3</v>
      </c>
      <c r="G35" t="s">
        <v>126</v>
      </c>
      <c r="H35" t="s">
        <v>84</v>
      </c>
      <c r="I35" t="s">
        <v>90</v>
      </c>
      <c r="J35" t="s">
        <v>128</v>
      </c>
      <c r="K35" t="s">
        <v>56</v>
      </c>
      <c r="L35">
        <v>3</v>
      </c>
      <c r="N35">
        <v>3</v>
      </c>
      <c r="O35" t="s">
        <v>57</v>
      </c>
      <c r="P35" t="s">
        <v>121</v>
      </c>
      <c r="Q35" t="s">
        <v>87</v>
      </c>
      <c r="R35" t="s">
        <v>88</v>
      </c>
      <c r="S35" t="s">
        <v>227</v>
      </c>
      <c r="T35">
        <v>3</v>
      </c>
      <c r="U35">
        <v>3</v>
      </c>
      <c r="V35">
        <v>3</v>
      </c>
      <c r="W35" t="s">
        <v>229</v>
      </c>
      <c r="X35" t="s">
        <v>231</v>
      </c>
      <c r="Y35" t="s">
        <v>235</v>
      </c>
      <c r="Z35" t="s">
        <v>238</v>
      </c>
      <c r="AA35">
        <v>0</v>
      </c>
      <c r="AB35">
        <v>47</v>
      </c>
    </row>
    <row r="36" spans="1:28" x14ac:dyDescent="0.25">
      <c r="A36" t="s">
        <v>1107</v>
      </c>
      <c r="B36">
        <v>34</v>
      </c>
      <c r="C36" t="s">
        <v>33</v>
      </c>
      <c r="D36">
        <v>3</v>
      </c>
      <c r="F36">
        <v>3</v>
      </c>
      <c r="G36" t="s">
        <v>65</v>
      </c>
      <c r="H36" t="s">
        <v>66</v>
      </c>
      <c r="I36" t="s">
        <v>132</v>
      </c>
      <c r="J36" t="s">
        <v>133</v>
      </c>
      <c r="K36" t="s">
        <v>56</v>
      </c>
      <c r="L36">
        <v>3</v>
      </c>
      <c r="N36">
        <v>3</v>
      </c>
      <c r="O36" t="s">
        <v>120</v>
      </c>
      <c r="P36" t="s">
        <v>69</v>
      </c>
      <c r="Q36" t="s">
        <v>87</v>
      </c>
      <c r="R36" t="s">
        <v>88</v>
      </c>
      <c r="S36" t="s">
        <v>43</v>
      </c>
      <c r="T36">
        <v>2</v>
      </c>
      <c r="V36">
        <v>3</v>
      </c>
      <c r="W36" t="s">
        <v>44</v>
      </c>
      <c r="X36" t="s">
        <v>136</v>
      </c>
      <c r="Y36" t="s">
        <v>100</v>
      </c>
      <c r="AA36">
        <v>0</v>
      </c>
      <c r="AB36">
        <v>23</v>
      </c>
    </row>
    <row r="37" spans="1:28" x14ac:dyDescent="0.25">
      <c r="A37" t="s">
        <v>1108</v>
      </c>
      <c r="B37">
        <v>35</v>
      </c>
      <c r="C37" t="s">
        <v>33</v>
      </c>
      <c r="D37">
        <v>2</v>
      </c>
      <c r="F37">
        <v>3</v>
      </c>
      <c r="G37" t="s">
        <v>65</v>
      </c>
      <c r="H37" t="s">
        <v>35</v>
      </c>
      <c r="I37" t="s">
        <v>132</v>
      </c>
      <c r="J37" t="s">
        <v>134</v>
      </c>
      <c r="K37" t="s">
        <v>56</v>
      </c>
      <c r="L37">
        <v>1</v>
      </c>
      <c r="N37">
        <v>3</v>
      </c>
      <c r="O37" t="s">
        <v>120</v>
      </c>
      <c r="P37" t="s">
        <v>69</v>
      </c>
      <c r="Q37" t="s">
        <v>87</v>
      </c>
      <c r="S37" t="s">
        <v>45</v>
      </c>
      <c r="T37">
        <v>3</v>
      </c>
      <c r="V37">
        <v>1</v>
      </c>
      <c r="W37" t="s">
        <v>86</v>
      </c>
      <c r="X37" t="s">
        <v>141</v>
      </c>
      <c r="AA37">
        <v>0</v>
      </c>
      <c r="AB37">
        <v>17</v>
      </c>
    </row>
    <row r="38" spans="1:28" x14ac:dyDescent="0.25">
      <c r="A38" t="s">
        <v>1109</v>
      </c>
      <c r="B38">
        <v>36</v>
      </c>
      <c r="C38" t="s">
        <v>63</v>
      </c>
      <c r="D38">
        <v>3</v>
      </c>
      <c r="F38">
        <v>3</v>
      </c>
      <c r="G38" t="s">
        <v>145</v>
      </c>
      <c r="H38" t="s">
        <v>146</v>
      </c>
      <c r="I38" t="s">
        <v>148</v>
      </c>
      <c r="J38" t="s">
        <v>151</v>
      </c>
      <c r="K38" t="s">
        <v>56</v>
      </c>
      <c r="L38">
        <v>3</v>
      </c>
      <c r="N38">
        <v>3</v>
      </c>
      <c r="O38" t="s">
        <v>68</v>
      </c>
      <c r="P38" t="s">
        <v>69</v>
      </c>
      <c r="Q38" t="s">
        <v>87</v>
      </c>
      <c r="R38" t="s">
        <v>125</v>
      </c>
      <c r="S38" t="s">
        <v>33</v>
      </c>
      <c r="T38">
        <v>2</v>
      </c>
      <c r="V38">
        <v>3</v>
      </c>
      <c r="W38" t="s">
        <v>34</v>
      </c>
      <c r="X38" t="s">
        <v>66</v>
      </c>
      <c r="AA38">
        <v>0</v>
      </c>
      <c r="AB38">
        <v>31</v>
      </c>
    </row>
    <row r="39" spans="1:28" x14ac:dyDescent="0.25">
      <c r="A39" t="s">
        <v>1110</v>
      </c>
      <c r="B39">
        <v>37</v>
      </c>
      <c r="C39" t="s">
        <v>56</v>
      </c>
      <c r="D39">
        <v>3</v>
      </c>
      <c r="F39">
        <v>3</v>
      </c>
      <c r="G39" t="s">
        <v>120</v>
      </c>
      <c r="H39" t="s">
        <v>69</v>
      </c>
      <c r="I39" t="s">
        <v>87</v>
      </c>
      <c r="K39" t="s">
        <v>33</v>
      </c>
      <c r="L39">
        <v>2</v>
      </c>
      <c r="N39">
        <v>3</v>
      </c>
      <c r="O39" t="s">
        <v>65</v>
      </c>
      <c r="P39" t="s">
        <v>66</v>
      </c>
      <c r="Q39" t="s">
        <v>131</v>
      </c>
      <c r="R39" t="s">
        <v>133</v>
      </c>
      <c r="S39" t="s">
        <v>38</v>
      </c>
      <c r="T39">
        <v>1</v>
      </c>
      <c r="U39">
        <v>1</v>
      </c>
      <c r="V39">
        <v>3</v>
      </c>
      <c r="W39" t="s">
        <v>39</v>
      </c>
      <c r="X39" t="s">
        <v>40</v>
      </c>
      <c r="Y39" t="s">
        <v>153</v>
      </c>
      <c r="Z39" t="s">
        <v>156</v>
      </c>
      <c r="AA39">
        <v>0</v>
      </c>
      <c r="AB39">
        <v>20</v>
      </c>
    </row>
    <row r="40" spans="1:28" x14ac:dyDescent="0.25">
      <c r="A40" t="s">
        <v>1111</v>
      </c>
      <c r="B40">
        <v>38</v>
      </c>
      <c r="C40" t="s">
        <v>33</v>
      </c>
      <c r="D40">
        <v>3</v>
      </c>
      <c r="F40">
        <v>3</v>
      </c>
      <c r="G40" t="s">
        <v>65</v>
      </c>
      <c r="H40" t="s">
        <v>66</v>
      </c>
      <c r="I40" t="s">
        <v>131</v>
      </c>
      <c r="J40" t="s">
        <v>133</v>
      </c>
      <c r="K40" t="s">
        <v>56</v>
      </c>
      <c r="L40">
        <v>2</v>
      </c>
      <c r="N40">
        <v>2</v>
      </c>
      <c r="O40" t="s">
        <v>120</v>
      </c>
      <c r="P40" t="s">
        <v>69</v>
      </c>
      <c r="Q40" t="s">
        <v>87</v>
      </c>
      <c r="S40" t="s">
        <v>227</v>
      </c>
      <c r="T40">
        <v>2</v>
      </c>
      <c r="U40">
        <v>3</v>
      </c>
      <c r="V40">
        <v>3</v>
      </c>
      <c r="W40" t="s">
        <v>229</v>
      </c>
      <c r="X40" t="s">
        <v>232</v>
      </c>
      <c r="Y40" t="s">
        <v>235</v>
      </c>
      <c r="Z40" t="s">
        <v>238</v>
      </c>
      <c r="AA40">
        <v>0</v>
      </c>
      <c r="AB40">
        <v>24</v>
      </c>
    </row>
    <row r="41" spans="1:28" x14ac:dyDescent="0.25">
      <c r="A41" t="s">
        <v>1112</v>
      </c>
      <c r="B41">
        <v>39</v>
      </c>
      <c r="C41" t="s">
        <v>56</v>
      </c>
      <c r="D41">
        <v>2</v>
      </c>
      <c r="F41">
        <v>3</v>
      </c>
      <c r="G41" t="s">
        <v>120</v>
      </c>
      <c r="H41" t="s">
        <v>69</v>
      </c>
      <c r="I41" t="s">
        <v>87</v>
      </c>
      <c r="J41" t="s">
        <v>125</v>
      </c>
      <c r="K41" t="s">
        <v>43</v>
      </c>
      <c r="L41">
        <v>1</v>
      </c>
      <c r="N41">
        <v>1</v>
      </c>
      <c r="O41" t="s">
        <v>73</v>
      </c>
      <c r="P41" t="s">
        <v>136</v>
      </c>
      <c r="Q41" t="s">
        <v>100</v>
      </c>
      <c r="R41" t="s">
        <v>138</v>
      </c>
      <c r="S41" t="s">
        <v>45</v>
      </c>
      <c r="T41">
        <v>3</v>
      </c>
      <c r="V41">
        <v>2</v>
      </c>
      <c r="W41" t="s">
        <v>86</v>
      </c>
      <c r="X41" t="s">
        <v>141</v>
      </c>
      <c r="Y41" t="s">
        <v>93</v>
      </c>
      <c r="Z41" t="s">
        <v>144</v>
      </c>
      <c r="AA41">
        <v>0</v>
      </c>
      <c r="AB41">
        <v>18</v>
      </c>
    </row>
    <row r="42" spans="1:28" x14ac:dyDescent="0.25">
      <c r="A42" t="s">
        <v>1113</v>
      </c>
      <c r="B42">
        <v>40</v>
      </c>
      <c r="C42" t="s">
        <v>56</v>
      </c>
      <c r="D42">
        <v>3</v>
      </c>
      <c r="F42">
        <v>3</v>
      </c>
      <c r="G42" t="s">
        <v>120</v>
      </c>
      <c r="H42" t="s">
        <v>69</v>
      </c>
      <c r="I42" t="s">
        <v>87</v>
      </c>
      <c r="J42" t="s">
        <v>88</v>
      </c>
      <c r="K42" t="s">
        <v>43</v>
      </c>
      <c r="L42">
        <v>3</v>
      </c>
      <c r="N42">
        <v>3</v>
      </c>
      <c r="O42" t="s">
        <v>135</v>
      </c>
      <c r="P42" t="s">
        <v>136</v>
      </c>
      <c r="Q42" t="s">
        <v>137</v>
      </c>
      <c r="R42" t="s">
        <v>139</v>
      </c>
      <c r="S42" t="s">
        <v>63</v>
      </c>
      <c r="T42">
        <v>3</v>
      </c>
      <c r="V42">
        <v>3</v>
      </c>
      <c r="W42" t="s">
        <v>145</v>
      </c>
      <c r="X42" t="s">
        <v>146</v>
      </c>
      <c r="Y42" t="s">
        <v>148</v>
      </c>
      <c r="Z42" t="s">
        <v>150</v>
      </c>
      <c r="AA42">
        <v>0</v>
      </c>
      <c r="AB42">
        <v>40</v>
      </c>
    </row>
    <row r="43" spans="1:28" x14ac:dyDescent="0.25">
      <c r="A43" t="s">
        <v>1114</v>
      </c>
      <c r="B43">
        <v>41</v>
      </c>
      <c r="C43" t="s">
        <v>38</v>
      </c>
      <c r="D43">
        <v>3</v>
      </c>
      <c r="E43">
        <v>3</v>
      </c>
      <c r="F43">
        <v>3</v>
      </c>
      <c r="G43" t="s">
        <v>39</v>
      </c>
      <c r="H43" t="s">
        <v>40</v>
      </c>
      <c r="I43" t="s">
        <v>154</v>
      </c>
      <c r="J43" t="s">
        <v>156</v>
      </c>
      <c r="K43" t="s">
        <v>56</v>
      </c>
      <c r="L43">
        <v>3</v>
      </c>
      <c r="N43">
        <v>3</v>
      </c>
      <c r="O43" t="s">
        <v>120</v>
      </c>
      <c r="P43" t="s">
        <v>122</v>
      </c>
      <c r="Q43" t="s">
        <v>87</v>
      </c>
      <c r="R43" t="s">
        <v>124</v>
      </c>
      <c r="S43" t="s">
        <v>43</v>
      </c>
      <c r="T43">
        <v>1</v>
      </c>
      <c r="V43">
        <v>1</v>
      </c>
      <c r="W43" t="s">
        <v>135</v>
      </c>
      <c r="X43" t="s">
        <v>136</v>
      </c>
      <c r="Y43" t="s">
        <v>100</v>
      </c>
      <c r="AA43">
        <v>0</v>
      </c>
      <c r="AB43">
        <v>28</v>
      </c>
    </row>
    <row r="44" spans="1:28" x14ac:dyDescent="0.25">
      <c r="A44" t="s">
        <v>1115</v>
      </c>
      <c r="B44">
        <v>42</v>
      </c>
      <c r="C44" t="s">
        <v>43</v>
      </c>
      <c r="D44">
        <v>3</v>
      </c>
      <c r="F44">
        <v>3</v>
      </c>
      <c r="G44" t="s">
        <v>135</v>
      </c>
      <c r="H44" t="s">
        <v>136</v>
      </c>
      <c r="I44" t="s">
        <v>137</v>
      </c>
      <c r="J44" t="s">
        <v>138</v>
      </c>
      <c r="K44" t="s">
        <v>56</v>
      </c>
      <c r="L44">
        <v>3</v>
      </c>
      <c r="N44">
        <v>2</v>
      </c>
      <c r="O44" t="s">
        <v>120</v>
      </c>
      <c r="P44" t="s">
        <v>69</v>
      </c>
      <c r="Q44" t="s">
        <v>87</v>
      </c>
      <c r="R44" t="s">
        <v>88</v>
      </c>
      <c r="S44" t="s">
        <v>227</v>
      </c>
      <c r="T44">
        <v>1</v>
      </c>
      <c r="U44">
        <v>2</v>
      </c>
      <c r="V44">
        <v>3</v>
      </c>
      <c r="W44" t="s">
        <v>229</v>
      </c>
      <c r="X44" t="s">
        <v>233</v>
      </c>
      <c r="Y44" t="s">
        <v>235</v>
      </c>
      <c r="Z44" t="s">
        <v>238</v>
      </c>
      <c r="AA44">
        <v>0</v>
      </c>
      <c r="AB44">
        <v>22</v>
      </c>
    </row>
    <row r="45" spans="1:28" x14ac:dyDescent="0.25">
      <c r="A45" t="s">
        <v>1116</v>
      </c>
      <c r="B45">
        <v>43</v>
      </c>
      <c r="C45" t="s">
        <v>56</v>
      </c>
      <c r="D45">
        <v>3</v>
      </c>
      <c r="F45">
        <v>3</v>
      </c>
      <c r="G45" t="s">
        <v>57</v>
      </c>
      <c r="H45" t="s">
        <v>69</v>
      </c>
      <c r="K45" t="s">
        <v>45</v>
      </c>
      <c r="L45">
        <v>3</v>
      </c>
      <c r="N45">
        <v>1</v>
      </c>
      <c r="O45" t="s">
        <v>86</v>
      </c>
      <c r="P45" t="s">
        <v>141</v>
      </c>
      <c r="Q45" t="s">
        <v>93</v>
      </c>
      <c r="R45" t="s">
        <v>144</v>
      </c>
      <c r="S45" t="s">
        <v>63</v>
      </c>
      <c r="T45">
        <v>1</v>
      </c>
      <c r="V45">
        <v>3</v>
      </c>
      <c r="W45" t="s">
        <v>145</v>
      </c>
      <c r="X45" t="s">
        <v>146</v>
      </c>
      <c r="AA45">
        <v>0</v>
      </c>
      <c r="AB45">
        <v>16</v>
      </c>
    </row>
    <row r="46" spans="1:28" x14ac:dyDescent="0.25">
      <c r="A46" t="s">
        <v>1117</v>
      </c>
      <c r="B46">
        <v>44</v>
      </c>
      <c r="C46" t="s">
        <v>45</v>
      </c>
      <c r="D46">
        <v>3</v>
      </c>
      <c r="F46">
        <v>1</v>
      </c>
      <c r="G46" t="s">
        <v>86</v>
      </c>
      <c r="H46" t="s">
        <v>141</v>
      </c>
      <c r="I46" t="s">
        <v>142</v>
      </c>
      <c r="J46" t="s">
        <v>94</v>
      </c>
      <c r="K46" t="s">
        <v>56</v>
      </c>
      <c r="L46">
        <v>2</v>
      </c>
      <c r="N46">
        <v>3</v>
      </c>
      <c r="O46" t="s">
        <v>57</v>
      </c>
      <c r="P46" t="s">
        <v>69</v>
      </c>
      <c r="Q46" t="s">
        <v>87</v>
      </c>
      <c r="S46" t="s">
        <v>38</v>
      </c>
      <c r="T46">
        <v>1</v>
      </c>
      <c r="U46">
        <v>1</v>
      </c>
      <c r="V46">
        <v>2</v>
      </c>
      <c r="W46" t="s">
        <v>39</v>
      </c>
      <c r="X46" t="s">
        <v>96</v>
      </c>
      <c r="Y46" t="s">
        <v>153</v>
      </c>
      <c r="AA46">
        <v>0</v>
      </c>
      <c r="AB46">
        <v>17</v>
      </c>
    </row>
    <row r="47" spans="1:28" x14ac:dyDescent="0.25">
      <c r="A47" t="s">
        <v>1118</v>
      </c>
      <c r="B47">
        <v>45</v>
      </c>
      <c r="C47" t="s">
        <v>56</v>
      </c>
      <c r="D47">
        <v>3</v>
      </c>
      <c r="F47">
        <v>3</v>
      </c>
      <c r="G47" t="s">
        <v>57</v>
      </c>
      <c r="H47" t="s">
        <v>122</v>
      </c>
      <c r="I47" t="s">
        <v>85</v>
      </c>
      <c r="J47" t="s">
        <v>124</v>
      </c>
      <c r="K47" t="s">
        <v>45</v>
      </c>
      <c r="L47">
        <v>2</v>
      </c>
      <c r="N47">
        <v>1</v>
      </c>
      <c r="O47" t="s">
        <v>86</v>
      </c>
      <c r="S47" t="s">
        <v>227</v>
      </c>
      <c r="T47">
        <v>1</v>
      </c>
      <c r="U47">
        <v>3</v>
      </c>
      <c r="V47">
        <v>3</v>
      </c>
      <c r="W47" t="s">
        <v>228</v>
      </c>
      <c r="X47" t="s">
        <v>231</v>
      </c>
      <c r="Y47" t="s">
        <v>235</v>
      </c>
      <c r="Z47" t="s">
        <v>238</v>
      </c>
      <c r="AA47">
        <v>0</v>
      </c>
      <c r="AB47">
        <v>18</v>
      </c>
    </row>
    <row r="48" spans="1:28" x14ac:dyDescent="0.25">
      <c r="A48" t="s">
        <v>1119</v>
      </c>
      <c r="B48">
        <v>46</v>
      </c>
      <c r="C48" t="s">
        <v>56</v>
      </c>
      <c r="D48">
        <v>3</v>
      </c>
      <c r="F48">
        <v>1</v>
      </c>
      <c r="G48" t="s">
        <v>57</v>
      </c>
      <c r="H48" t="s">
        <v>122</v>
      </c>
      <c r="I48" t="s">
        <v>85</v>
      </c>
      <c r="K48" t="s">
        <v>63</v>
      </c>
      <c r="L48">
        <v>2</v>
      </c>
      <c r="N48">
        <v>1</v>
      </c>
      <c r="O48" t="s">
        <v>103</v>
      </c>
      <c r="P48" t="s">
        <v>146</v>
      </c>
      <c r="Q48" t="s">
        <v>104</v>
      </c>
      <c r="S48" t="s">
        <v>38</v>
      </c>
      <c r="T48">
        <v>1</v>
      </c>
      <c r="U48">
        <v>1</v>
      </c>
      <c r="V48">
        <v>1</v>
      </c>
      <c r="W48" t="s">
        <v>39</v>
      </c>
      <c r="X48" t="s">
        <v>96</v>
      </c>
      <c r="AA48">
        <v>0</v>
      </c>
      <c r="AB48">
        <v>11</v>
      </c>
    </row>
    <row r="49" spans="1:28" x14ac:dyDescent="0.25">
      <c r="A49" t="s">
        <v>1120</v>
      </c>
      <c r="B49">
        <v>47</v>
      </c>
      <c r="C49" t="s">
        <v>56</v>
      </c>
      <c r="D49">
        <v>3</v>
      </c>
      <c r="F49">
        <v>1</v>
      </c>
      <c r="G49" t="s">
        <v>57</v>
      </c>
      <c r="H49" t="s">
        <v>122</v>
      </c>
      <c r="I49" t="s">
        <v>87</v>
      </c>
      <c r="J49" t="s">
        <v>124</v>
      </c>
      <c r="K49" t="s">
        <v>63</v>
      </c>
      <c r="L49">
        <v>1</v>
      </c>
      <c r="N49">
        <v>1</v>
      </c>
      <c r="O49" t="s">
        <v>145</v>
      </c>
      <c r="P49" t="s">
        <v>91</v>
      </c>
      <c r="Q49" t="s">
        <v>148</v>
      </c>
      <c r="S49" t="s">
        <v>227</v>
      </c>
      <c r="T49">
        <v>1</v>
      </c>
      <c r="U49">
        <v>3</v>
      </c>
      <c r="V49">
        <v>3</v>
      </c>
      <c r="W49" t="s">
        <v>229</v>
      </c>
      <c r="X49" t="s">
        <v>231</v>
      </c>
      <c r="Y49" t="s">
        <v>235</v>
      </c>
      <c r="AA49">
        <v>0</v>
      </c>
      <c r="AB49">
        <v>17</v>
      </c>
    </row>
    <row r="50" spans="1:28" x14ac:dyDescent="0.25">
      <c r="A50" t="s">
        <v>1121</v>
      </c>
      <c r="B50">
        <v>48</v>
      </c>
      <c r="C50" t="s">
        <v>227</v>
      </c>
      <c r="D50">
        <v>3</v>
      </c>
      <c r="E50">
        <v>3</v>
      </c>
      <c r="F50">
        <v>3</v>
      </c>
      <c r="G50" t="s">
        <v>228</v>
      </c>
      <c r="H50" t="s">
        <v>232</v>
      </c>
      <c r="I50" t="s">
        <v>235</v>
      </c>
      <c r="J50" t="s">
        <v>238</v>
      </c>
      <c r="K50" t="s">
        <v>56</v>
      </c>
      <c r="L50">
        <v>3</v>
      </c>
      <c r="N50">
        <v>3</v>
      </c>
      <c r="O50" t="s">
        <v>57</v>
      </c>
      <c r="P50" t="s">
        <v>122</v>
      </c>
      <c r="Q50" t="s">
        <v>85</v>
      </c>
      <c r="R50" t="s">
        <v>124</v>
      </c>
      <c r="S50" t="s">
        <v>38</v>
      </c>
      <c r="T50">
        <v>2</v>
      </c>
      <c r="U50">
        <v>1</v>
      </c>
      <c r="V50">
        <v>3</v>
      </c>
      <c r="W50" t="s">
        <v>39</v>
      </c>
      <c r="X50" t="s">
        <v>96</v>
      </c>
      <c r="Y50" t="s">
        <v>153</v>
      </c>
      <c r="Z50" t="s">
        <v>42</v>
      </c>
      <c r="AA50">
        <v>0</v>
      </c>
      <c r="AB50">
        <v>32</v>
      </c>
    </row>
    <row r="51" spans="1:28" x14ac:dyDescent="0.25">
      <c r="A51" t="s">
        <v>1122</v>
      </c>
      <c r="B51">
        <v>49</v>
      </c>
      <c r="C51" t="s">
        <v>33</v>
      </c>
      <c r="D51">
        <v>3</v>
      </c>
      <c r="F51">
        <v>3</v>
      </c>
      <c r="G51" t="s">
        <v>65</v>
      </c>
      <c r="H51" t="s">
        <v>130</v>
      </c>
      <c r="I51" t="s">
        <v>36</v>
      </c>
      <c r="J51" t="s">
        <v>37</v>
      </c>
      <c r="K51" t="s">
        <v>48</v>
      </c>
      <c r="L51">
        <v>1</v>
      </c>
      <c r="N51">
        <v>1</v>
      </c>
      <c r="O51" t="s">
        <v>126</v>
      </c>
      <c r="P51" t="s">
        <v>84</v>
      </c>
      <c r="Q51" t="s">
        <v>90</v>
      </c>
      <c r="S51" t="s">
        <v>43</v>
      </c>
      <c r="T51">
        <v>3</v>
      </c>
      <c r="V51">
        <v>3</v>
      </c>
      <c r="W51" t="s">
        <v>73</v>
      </c>
      <c r="X51" t="s">
        <v>136</v>
      </c>
      <c r="Y51" t="s">
        <v>137</v>
      </c>
      <c r="AA51">
        <v>0</v>
      </c>
      <c r="AB51">
        <v>18</v>
      </c>
    </row>
    <row r="52" spans="1:28" x14ac:dyDescent="0.25">
      <c r="A52" t="s">
        <v>1123</v>
      </c>
      <c r="B52">
        <v>50</v>
      </c>
      <c r="C52" t="s">
        <v>45</v>
      </c>
      <c r="D52">
        <v>3</v>
      </c>
      <c r="F52">
        <v>2</v>
      </c>
      <c r="G52" t="s">
        <v>86</v>
      </c>
      <c r="H52" t="s">
        <v>141</v>
      </c>
      <c r="I52" t="s">
        <v>102</v>
      </c>
      <c r="J52" t="s">
        <v>144</v>
      </c>
      <c r="K52" t="s">
        <v>48</v>
      </c>
      <c r="L52">
        <v>2</v>
      </c>
      <c r="N52">
        <v>3</v>
      </c>
      <c r="O52" t="s">
        <v>126</v>
      </c>
      <c r="S52" t="s">
        <v>33</v>
      </c>
      <c r="T52">
        <v>2</v>
      </c>
      <c r="V52">
        <v>3</v>
      </c>
      <c r="W52" t="s">
        <v>65</v>
      </c>
      <c r="X52" t="s">
        <v>130</v>
      </c>
      <c r="Y52" t="s">
        <v>131</v>
      </c>
      <c r="Z52" t="s">
        <v>37</v>
      </c>
      <c r="AA52">
        <v>0</v>
      </c>
      <c r="AB52">
        <v>18</v>
      </c>
    </row>
    <row r="53" spans="1:28" x14ac:dyDescent="0.25">
      <c r="A53" t="s">
        <v>1124</v>
      </c>
      <c r="B53">
        <v>51</v>
      </c>
      <c r="C53" t="s">
        <v>33</v>
      </c>
      <c r="D53">
        <v>3</v>
      </c>
      <c r="F53">
        <v>3</v>
      </c>
      <c r="G53" t="s">
        <v>34</v>
      </c>
      <c r="H53" t="s">
        <v>130</v>
      </c>
      <c r="I53" t="s">
        <v>132</v>
      </c>
      <c r="J53" t="s">
        <v>133</v>
      </c>
      <c r="K53" t="s">
        <v>48</v>
      </c>
      <c r="L53">
        <v>2</v>
      </c>
      <c r="N53">
        <v>2</v>
      </c>
      <c r="O53" t="s">
        <v>126</v>
      </c>
      <c r="P53" t="s">
        <v>84</v>
      </c>
      <c r="Q53" t="s">
        <v>90</v>
      </c>
      <c r="R53" t="s">
        <v>52</v>
      </c>
      <c r="S53" t="s">
        <v>63</v>
      </c>
      <c r="T53">
        <v>3</v>
      </c>
      <c r="V53">
        <v>3</v>
      </c>
      <c r="W53" t="s">
        <v>145</v>
      </c>
      <c r="X53" t="s">
        <v>146</v>
      </c>
      <c r="Y53" t="s">
        <v>148</v>
      </c>
      <c r="Z53" t="s">
        <v>151</v>
      </c>
      <c r="AA53">
        <v>0</v>
      </c>
      <c r="AB53">
        <v>25</v>
      </c>
    </row>
    <row r="54" spans="1:28" x14ac:dyDescent="0.25">
      <c r="A54" t="s">
        <v>1125</v>
      </c>
      <c r="B54">
        <v>52</v>
      </c>
      <c r="C54" t="s">
        <v>38</v>
      </c>
      <c r="D54">
        <v>1</v>
      </c>
      <c r="E54">
        <v>2</v>
      </c>
      <c r="F54">
        <v>3</v>
      </c>
      <c r="G54" t="s">
        <v>39</v>
      </c>
      <c r="H54" t="s">
        <v>40</v>
      </c>
      <c r="I54" t="s">
        <v>153</v>
      </c>
      <c r="J54" t="s">
        <v>155</v>
      </c>
      <c r="K54" t="s">
        <v>48</v>
      </c>
      <c r="L54">
        <v>1</v>
      </c>
      <c r="N54">
        <v>3</v>
      </c>
      <c r="O54" t="s">
        <v>126</v>
      </c>
      <c r="P54" t="s">
        <v>84</v>
      </c>
      <c r="Q54" t="s">
        <v>90</v>
      </c>
      <c r="S54" t="s">
        <v>33</v>
      </c>
      <c r="T54">
        <v>3</v>
      </c>
      <c r="V54">
        <v>1</v>
      </c>
      <c r="W54" t="s">
        <v>65</v>
      </c>
      <c r="X54" t="s">
        <v>130</v>
      </c>
      <c r="Y54" t="s">
        <v>36</v>
      </c>
      <c r="Z54" t="s">
        <v>37</v>
      </c>
      <c r="AA54">
        <v>0</v>
      </c>
      <c r="AB54">
        <v>18</v>
      </c>
    </row>
    <row r="55" spans="1:28" x14ac:dyDescent="0.25">
      <c r="A55" t="s">
        <v>1126</v>
      </c>
      <c r="B55">
        <v>53</v>
      </c>
      <c r="C55" t="s">
        <v>33</v>
      </c>
      <c r="D55">
        <v>3</v>
      </c>
      <c r="F55">
        <v>2</v>
      </c>
      <c r="G55" t="s">
        <v>65</v>
      </c>
      <c r="H55" t="s">
        <v>130</v>
      </c>
      <c r="I55" t="s">
        <v>36</v>
      </c>
      <c r="J55" t="s">
        <v>133</v>
      </c>
      <c r="K55" t="s">
        <v>48</v>
      </c>
      <c r="L55">
        <v>1</v>
      </c>
      <c r="N55">
        <v>1</v>
      </c>
      <c r="O55" t="s">
        <v>126</v>
      </c>
      <c r="P55" t="s">
        <v>84</v>
      </c>
      <c r="Q55" t="s">
        <v>90</v>
      </c>
      <c r="R55" t="s">
        <v>128</v>
      </c>
      <c r="S55" t="s">
        <v>227</v>
      </c>
      <c r="T55">
        <v>1</v>
      </c>
      <c r="U55">
        <v>3</v>
      </c>
      <c r="V55">
        <v>3</v>
      </c>
      <c r="W55" t="s">
        <v>229</v>
      </c>
      <c r="X55" t="s">
        <v>233</v>
      </c>
      <c r="Y55" t="s">
        <v>235</v>
      </c>
      <c r="AA55">
        <v>0</v>
      </c>
      <c r="AB55">
        <v>19</v>
      </c>
    </row>
    <row r="56" spans="1:28" x14ac:dyDescent="0.25">
      <c r="A56" t="s">
        <v>1127</v>
      </c>
      <c r="B56">
        <v>54</v>
      </c>
      <c r="C56" t="s">
        <v>43</v>
      </c>
      <c r="D56">
        <v>3</v>
      </c>
      <c r="F56">
        <v>3</v>
      </c>
      <c r="G56" t="s">
        <v>135</v>
      </c>
      <c r="H56" t="s">
        <v>74</v>
      </c>
      <c r="I56" t="s">
        <v>100</v>
      </c>
      <c r="J56" t="s">
        <v>139</v>
      </c>
      <c r="K56" t="s">
        <v>48</v>
      </c>
      <c r="L56">
        <v>1</v>
      </c>
      <c r="N56">
        <v>2</v>
      </c>
      <c r="O56" t="s">
        <v>126</v>
      </c>
      <c r="P56" t="s">
        <v>84</v>
      </c>
      <c r="S56" t="s">
        <v>45</v>
      </c>
      <c r="T56">
        <v>3</v>
      </c>
      <c r="V56">
        <v>3</v>
      </c>
      <c r="W56" t="s">
        <v>86</v>
      </c>
      <c r="X56" t="s">
        <v>76</v>
      </c>
      <c r="Y56" t="s">
        <v>142</v>
      </c>
      <c r="Z56" t="s">
        <v>144</v>
      </c>
      <c r="AA56">
        <v>0</v>
      </c>
      <c r="AB56">
        <v>21</v>
      </c>
    </row>
    <row r="57" spans="1:28" x14ac:dyDescent="0.25">
      <c r="A57" t="s">
        <v>1128</v>
      </c>
      <c r="B57">
        <v>55</v>
      </c>
      <c r="C57" t="s">
        <v>63</v>
      </c>
      <c r="D57">
        <v>3</v>
      </c>
      <c r="F57">
        <v>3</v>
      </c>
      <c r="G57" t="s">
        <v>145</v>
      </c>
      <c r="H57" t="s">
        <v>146</v>
      </c>
      <c r="I57" t="s">
        <v>148</v>
      </c>
      <c r="J57" t="s">
        <v>149</v>
      </c>
      <c r="K57" t="s">
        <v>48</v>
      </c>
      <c r="L57">
        <v>3</v>
      </c>
      <c r="N57">
        <v>3</v>
      </c>
      <c r="O57" t="s">
        <v>126</v>
      </c>
      <c r="P57" t="s">
        <v>84</v>
      </c>
      <c r="Q57" t="s">
        <v>90</v>
      </c>
      <c r="R57" t="s">
        <v>128</v>
      </c>
      <c r="S57" t="s">
        <v>43</v>
      </c>
      <c r="T57">
        <v>3</v>
      </c>
      <c r="V57">
        <v>3</v>
      </c>
      <c r="W57" t="s">
        <v>44</v>
      </c>
      <c r="X57" t="s">
        <v>136</v>
      </c>
      <c r="Y57" t="s">
        <v>100</v>
      </c>
      <c r="Z57" t="s">
        <v>139</v>
      </c>
      <c r="AA57">
        <v>0</v>
      </c>
      <c r="AB57">
        <v>31</v>
      </c>
    </row>
    <row r="58" spans="1:28" x14ac:dyDescent="0.25">
      <c r="A58" t="s">
        <v>1129</v>
      </c>
      <c r="B58">
        <v>56</v>
      </c>
      <c r="C58" t="s">
        <v>48</v>
      </c>
      <c r="D58">
        <v>3</v>
      </c>
      <c r="F58">
        <v>3</v>
      </c>
      <c r="G58" t="s">
        <v>126</v>
      </c>
      <c r="H58" t="s">
        <v>84</v>
      </c>
      <c r="I58" t="s">
        <v>90</v>
      </c>
      <c r="J58" t="s">
        <v>128</v>
      </c>
      <c r="K58" t="s">
        <v>43</v>
      </c>
      <c r="L58">
        <v>3</v>
      </c>
      <c r="N58">
        <v>3</v>
      </c>
      <c r="O58" t="s">
        <v>44</v>
      </c>
      <c r="P58" t="s">
        <v>74</v>
      </c>
      <c r="Q58" t="s">
        <v>137</v>
      </c>
      <c r="R58" t="s">
        <v>138</v>
      </c>
      <c r="S58" t="s">
        <v>38</v>
      </c>
      <c r="T58">
        <v>3</v>
      </c>
      <c r="U58">
        <v>3</v>
      </c>
      <c r="V58">
        <v>3</v>
      </c>
      <c r="W58" t="s">
        <v>39</v>
      </c>
      <c r="X58" t="s">
        <v>40</v>
      </c>
      <c r="Y58" t="s">
        <v>154</v>
      </c>
      <c r="Z58" t="s">
        <v>156</v>
      </c>
      <c r="AA58">
        <v>0</v>
      </c>
      <c r="AB58">
        <v>40</v>
      </c>
    </row>
    <row r="59" spans="1:28" x14ac:dyDescent="0.25">
      <c r="A59" t="s">
        <v>1130</v>
      </c>
      <c r="B59">
        <v>57</v>
      </c>
      <c r="C59" t="s">
        <v>48</v>
      </c>
      <c r="D59">
        <v>3</v>
      </c>
      <c r="F59">
        <v>3</v>
      </c>
      <c r="G59" t="s">
        <v>126</v>
      </c>
      <c r="H59" t="s">
        <v>84</v>
      </c>
      <c r="I59" t="s">
        <v>90</v>
      </c>
      <c r="J59" t="s">
        <v>128</v>
      </c>
      <c r="K59" t="s">
        <v>43</v>
      </c>
      <c r="L59">
        <v>3</v>
      </c>
      <c r="N59">
        <v>3</v>
      </c>
      <c r="O59" t="s">
        <v>135</v>
      </c>
      <c r="P59" t="s">
        <v>74</v>
      </c>
      <c r="Q59" t="s">
        <v>137</v>
      </c>
      <c r="R59" t="s">
        <v>101</v>
      </c>
      <c r="S59" t="s">
        <v>227</v>
      </c>
      <c r="T59">
        <v>3</v>
      </c>
      <c r="U59">
        <v>3</v>
      </c>
      <c r="V59">
        <v>3</v>
      </c>
      <c r="W59" t="s">
        <v>229</v>
      </c>
      <c r="X59" t="s">
        <v>231</v>
      </c>
      <c r="Y59" t="s">
        <v>235</v>
      </c>
      <c r="Z59" t="s">
        <v>238</v>
      </c>
      <c r="AA59">
        <v>0</v>
      </c>
      <c r="AB59">
        <v>42</v>
      </c>
    </row>
    <row r="60" spans="1:28" x14ac:dyDescent="0.25">
      <c r="A60" t="s">
        <v>1131</v>
      </c>
      <c r="B60">
        <v>58</v>
      </c>
      <c r="C60" t="s">
        <v>48</v>
      </c>
      <c r="D60">
        <v>3</v>
      </c>
      <c r="F60">
        <v>3</v>
      </c>
      <c r="G60" t="s">
        <v>126</v>
      </c>
      <c r="H60" t="s">
        <v>84</v>
      </c>
      <c r="I60" t="s">
        <v>127</v>
      </c>
      <c r="J60" t="s">
        <v>128</v>
      </c>
      <c r="K60" t="s">
        <v>45</v>
      </c>
      <c r="L60">
        <v>3</v>
      </c>
      <c r="N60">
        <v>3</v>
      </c>
      <c r="O60" t="s">
        <v>86</v>
      </c>
      <c r="P60" t="s">
        <v>76</v>
      </c>
      <c r="Q60" t="s">
        <v>93</v>
      </c>
      <c r="R60" t="s">
        <v>94</v>
      </c>
      <c r="S60" t="s">
        <v>63</v>
      </c>
      <c r="T60">
        <v>1</v>
      </c>
      <c r="V60">
        <v>1</v>
      </c>
      <c r="W60" t="s">
        <v>145</v>
      </c>
      <c r="X60" t="s">
        <v>91</v>
      </c>
      <c r="Y60" t="s">
        <v>148</v>
      </c>
      <c r="Z60" t="s">
        <v>151</v>
      </c>
      <c r="AA60">
        <v>0</v>
      </c>
      <c r="AB60">
        <v>22</v>
      </c>
    </row>
    <row r="61" spans="1:28" x14ac:dyDescent="0.25">
      <c r="A61" t="s">
        <v>1132</v>
      </c>
      <c r="B61">
        <v>59</v>
      </c>
      <c r="C61" t="s">
        <v>38</v>
      </c>
      <c r="D61">
        <v>1</v>
      </c>
      <c r="E61">
        <v>1</v>
      </c>
      <c r="F61">
        <v>2</v>
      </c>
      <c r="G61" t="s">
        <v>39</v>
      </c>
      <c r="H61" t="s">
        <v>96</v>
      </c>
      <c r="I61" t="s">
        <v>153</v>
      </c>
      <c r="J61" t="s">
        <v>155</v>
      </c>
      <c r="K61" t="s">
        <v>48</v>
      </c>
      <c r="L61">
        <v>1</v>
      </c>
      <c r="N61">
        <v>1</v>
      </c>
      <c r="O61" t="s">
        <v>126</v>
      </c>
      <c r="P61" t="s">
        <v>84</v>
      </c>
      <c r="S61" t="s">
        <v>45</v>
      </c>
      <c r="T61">
        <v>3</v>
      </c>
      <c r="V61">
        <v>1</v>
      </c>
      <c r="W61" t="s">
        <v>86</v>
      </c>
      <c r="X61" t="s">
        <v>76</v>
      </c>
      <c r="AA61">
        <v>0</v>
      </c>
      <c r="AB61">
        <v>11</v>
      </c>
    </row>
    <row r="62" spans="1:28" x14ac:dyDescent="0.25">
      <c r="A62" t="s">
        <v>1133</v>
      </c>
      <c r="B62">
        <v>60</v>
      </c>
      <c r="C62" t="s">
        <v>48</v>
      </c>
      <c r="D62">
        <v>3</v>
      </c>
      <c r="F62">
        <v>3</v>
      </c>
      <c r="G62" t="s">
        <v>126</v>
      </c>
      <c r="H62" t="s">
        <v>84</v>
      </c>
      <c r="I62" t="s">
        <v>90</v>
      </c>
      <c r="J62" t="s">
        <v>128</v>
      </c>
      <c r="K62" t="s">
        <v>45</v>
      </c>
      <c r="L62">
        <v>3</v>
      </c>
      <c r="N62">
        <v>3</v>
      </c>
      <c r="O62" t="s">
        <v>86</v>
      </c>
      <c r="P62" t="s">
        <v>141</v>
      </c>
      <c r="Q62" t="s">
        <v>142</v>
      </c>
      <c r="R62" t="s">
        <v>143</v>
      </c>
      <c r="S62" t="s">
        <v>227</v>
      </c>
      <c r="T62">
        <v>3</v>
      </c>
      <c r="U62">
        <v>3</v>
      </c>
      <c r="V62">
        <v>3</v>
      </c>
      <c r="W62" t="s">
        <v>229</v>
      </c>
      <c r="X62" t="s">
        <v>231</v>
      </c>
      <c r="Y62" t="s">
        <v>235</v>
      </c>
      <c r="Z62" t="s">
        <v>238</v>
      </c>
      <c r="AA62">
        <v>0</v>
      </c>
      <c r="AB62">
        <v>43</v>
      </c>
    </row>
    <row r="63" spans="1:28" x14ac:dyDescent="0.25">
      <c r="A63" t="s">
        <v>1134</v>
      </c>
      <c r="B63">
        <v>61</v>
      </c>
      <c r="C63" t="s">
        <v>48</v>
      </c>
      <c r="D63">
        <v>3</v>
      </c>
      <c r="F63">
        <v>3</v>
      </c>
      <c r="G63" t="s">
        <v>126</v>
      </c>
      <c r="H63" t="s">
        <v>84</v>
      </c>
      <c r="I63" t="s">
        <v>127</v>
      </c>
      <c r="J63" t="s">
        <v>52</v>
      </c>
      <c r="K63" t="s">
        <v>63</v>
      </c>
      <c r="L63">
        <v>3</v>
      </c>
      <c r="N63">
        <v>3</v>
      </c>
      <c r="O63" t="s">
        <v>103</v>
      </c>
      <c r="P63" t="s">
        <v>91</v>
      </c>
      <c r="Q63" t="s">
        <v>148</v>
      </c>
      <c r="R63" t="s">
        <v>151</v>
      </c>
      <c r="S63" t="s">
        <v>38</v>
      </c>
      <c r="T63">
        <v>1</v>
      </c>
      <c r="U63">
        <v>1</v>
      </c>
      <c r="V63">
        <v>2</v>
      </c>
      <c r="W63" t="s">
        <v>39</v>
      </c>
      <c r="X63" t="s">
        <v>96</v>
      </c>
      <c r="Y63" t="s">
        <v>153</v>
      </c>
      <c r="Z63" t="s">
        <v>42</v>
      </c>
      <c r="AA63">
        <v>0</v>
      </c>
      <c r="AB63">
        <v>28</v>
      </c>
    </row>
    <row r="64" spans="1:28" x14ac:dyDescent="0.25">
      <c r="A64" t="s">
        <v>1135</v>
      </c>
      <c r="B64">
        <v>62</v>
      </c>
      <c r="C64" t="s">
        <v>48</v>
      </c>
      <c r="D64">
        <v>3</v>
      </c>
      <c r="F64">
        <v>3</v>
      </c>
      <c r="G64" t="s">
        <v>126</v>
      </c>
      <c r="H64" t="s">
        <v>84</v>
      </c>
      <c r="I64" t="s">
        <v>127</v>
      </c>
      <c r="J64" t="s">
        <v>52</v>
      </c>
      <c r="K64" t="s">
        <v>63</v>
      </c>
      <c r="L64">
        <v>3</v>
      </c>
      <c r="N64">
        <v>3</v>
      </c>
      <c r="O64" t="s">
        <v>145</v>
      </c>
      <c r="P64" t="s">
        <v>91</v>
      </c>
      <c r="Q64" t="s">
        <v>148</v>
      </c>
      <c r="R64" t="s">
        <v>151</v>
      </c>
      <c r="S64" t="s">
        <v>227</v>
      </c>
      <c r="T64">
        <v>2</v>
      </c>
      <c r="U64">
        <v>1</v>
      </c>
      <c r="V64">
        <v>2</v>
      </c>
      <c r="W64" t="s">
        <v>229</v>
      </c>
      <c r="X64" t="s">
        <v>231</v>
      </c>
      <c r="Y64" t="s">
        <v>235</v>
      </c>
      <c r="Z64" t="s">
        <v>237</v>
      </c>
      <c r="AA64">
        <v>0</v>
      </c>
      <c r="AB64">
        <v>23</v>
      </c>
    </row>
    <row r="65" spans="1:28" x14ac:dyDescent="0.25">
      <c r="A65" t="s">
        <v>1136</v>
      </c>
      <c r="B65">
        <v>63</v>
      </c>
      <c r="C65" t="s">
        <v>48</v>
      </c>
      <c r="D65">
        <v>3</v>
      </c>
      <c r="F65">
        <v>2</v>
      </c>
      <c r="G65" t="s">
        <v>126</v>
      </c>
      <c r="H65" t="s">
        <v>84</v>
      </c>
      <c r="I65" t="s">
        <v>127</v>
      </c>
      <c r="J65" t="s">
        <v>128</v>
      </c>
      <c r="K65" t="s">
        <v>38</v>
      </c>
      <c r="L65">
        <v>1</v>
      </c>
      <c r="M65">
        <v>1</v>
      </c>
      <c r="N65">
        <v>2</v>
      </c>
      <c r="O65" t="s">
        <v>39</v>
      </c>
      <c r="P65" t="s">
        <v>40</v>
      </c>
      <c r="Q65" t="s">
        <v>153</v>
      </c>
      <c r="R65" t="s">
        <v>42</v>
      </c>
      <c r="S65" t="s">
        <v>227</v>
      </c>
      <c r="T65">
        <v>3</v>
      </c>
      <c r="U65">
        <v>1</v>
      </c>
      <c r="V65">
        <v>3</v>
      </c>
      <c r="W65" t="s">
        <v>229</v>
      </c>
      <c r="X65" t="s">
        <v>231</v>
      </c>
      <c r="Y65" t="s">
        <v>235</v>
      </c>
      <c r="Z65" t="s">
        <v>238</v>
      </c>
      <c r="AA65">
        <v>0</v>
      </c>
      <c r="AB65">
        <v>21</v>
      </c>
    </row>
    <row r="66" spans="1:28" x14ac:dyDescent="0.25">
      <c r="A66" t="s">
        <v>1137</v>
      </c>
      <c r="B66">
        <v>64</v>
      </c>
      <c r="C66" t="s">
        <v>43</v>
      </c>
      <c r="D66">
        <v>3</v>
      </c>
      <c r="F66">
        <v>3</v>
      </c>
      <c r="G66" t="s">
        <v>44</v>
      </c>
      <c r="H66" t="s">
        <v>136</v>
      </c>
      <c r="I66" t="s">
        <v>100</v>
      </c>
      <c r="J66" t="s">
        <v>138</v>
      </c>
      <c r="K66" t="s">
        <v>33</v>
      </c>
      <c r="L66">
        <v>3</v>
      </c>
      <c r="N66">
        <v>3</v>
      </c>
      <c r="O66" t="s">
        <v>65</v>
      </c>
      <c r="S66" t="s">
        <v>45</v>
      </c>
      <c r="T66">
        <v>3</v>
      </c>
      <c r="V66">
        <v>3</v>
      </c>
      <c r="W66" t="s">
        <v>86</v>
      </c>
      <c r="X66" t="s">
        <v>141</v>
      </c>
      <c r="Y66" t="s">
        <v>142</v>
      </c>
      <c r="Z66" t="s">
        <v>144</v>
      </c>
      <c r="AA66">
        <v>0</v>
      </c>
      <c r="AB66">
        <v>29</v>
      </c>
    </row>
    <row r="67" spans="1:28" x14ac:dyDescent="0.25">
      <c r="A67" t="s">
        <v>1138</v>
      </c>
      <c r="B67">
        <v>65</v>
      </c>
      <c r="C67" t="s">
        <v>63</v>
      </c>
      <c r="D67">
        <v>1</v>
      </c>
      <c r="F67">
        <v>2</v>
      </c>
      <c r="G67" t="s">
        <v>145</v>
      </c>
      <c r="H67" t="s">
        <v>146</v>
      </c>
      <c r="I67" t="s">
        <v>148</v>
      </c>
      <c r="K67" t="s">
        <v>33</v>
      </c>
      <c r="L67">
        <v>3</v>
      </c>
      <c r="N67">
        <v>2</v>
      </c>
      <c r="O67" t="s">
        <v>34</v>
      </c>
      <c r="P67" t="s">
        <v>66</v>
      </c>
      <c r="S67" t="s">
        <v>43</v>
      </c>
      <c r="T67">
        <v>3</v>
      </c>
      <c r="V67">
        <v>1</v>
      </c>
      <c r="W67" t="s">
        <v>135</v>
      </c>
      <c r="X67" t="s">
        <v>136</v>
      </c>
      <c r="AA67">
        <v>0</v>
      </c>
      <c r="AB67">
        <v>14</v>
      </c>
    </row>
    <row r="68" spans="1:28" x14ac:dyDescent="0.25">
      <c r="A68" t="s">
        <v>1139</v>
      </c>
      <c r="B68">
        <v>66</v>
      </c>
      <c r="C68" t="s">
        <v>38</v>
      </c>
      <c r="D68">
        <v>3</v>
      </c>
      <c r="E68">
        <v>3</v>
      </c>
      <c r="F68">
        <v>3</v>
      </c>
      <c r="G68" t="s">
        <v>39</v>
      </c>
      <c r="H68" t="s">
        <v>40</v>
      </c>
      <c r="I68" t="s">
        <v>153</v>
      </c>
      <c r="J68" t="s">
        <v>156</v>
      </c>
      <c r="K68" t="s">
        <v>33</v>
      </c>
      <c r="L68">
        <v>3</v>
      </c>
      <c r="N68">
        <v>3</v>
      </c>
      <c r="O68" t="s">
        <v>65</v>
      </c>
      <c r="P68" t="s">
        <v>66</v>
      </c>
      <c r="Q68" t="s">
        <v>131</v>
      </c>
      <c r="R68" t="s">
        <v>133</v>
      </c>
      <c r="S68" t="s">
        <v>43</v>
      </c>
      <c r="T68">
        <v>3</v>
      </c>
      <c r="V68">
        <v>3</v>
      </c>
      <c r="W68" t="s">
        <v>73</v>
      </c>
      <c r="X68" t="s">
        <v>136</v>
      </c>
      <c r="Y68" t="s">
        <v>100</v>
      </c>
      <c r="Z68" t="s">
        <v>138</v>
      </c>
      <c r="AA68">
        <v>0</v>
      </c>
      <c r="AB68">
        <v>33</v>
      </c>
    </row>
    <row r="69" spans="1:28" x14ac:dyDescent="0.25">
      <c r="A69" t="s">
        <v>1140</v>
      </c>
      <c r="B69">
        <v>67</v>
      </c>
      <c r="C69" t="s">
        <v>33</v>
      </c>
      <c r="D69">
        <v>3</v>
      </c>
      <c r="F69">
        <v>3</v>
      </c>
      <c r="G69" t="s">
        <v>65</v>
      </c>
      <c r="H69" t="s">
        <v>66</v>
      </c>
      <c r="I69" t="s">
        <v>131</v>
      </c>
      <c r="J69" t="s">
        <v>134</v>
      </c>
      <c r="K69" t="s">
        <v>43</v>
      </c>
      <c r="L69">
        <v>2</v>
      </c>
      <c r="N69">
        <v>3</v>
      </c>
      <c r="O69" t="s">
        <v>44</v>
      </c>
      <c r="P69" t="s">
        <v>136</v>
      </c>
      <c r="Q69" t="s">
        <v>100</v>
      </c>
      <c r="S69" t="s">
        <v>227</v>
      </c>
      <c r="T69">
        <v>1</v>
      </c>
      <c r="U69">
        <v>3</v>
      </c>
      <c r="V69">
        <v>3</v>
      </c>
      <c r="W69" t="s">
        <v>229</v>
      </c>
      <c r="X69" t="s">
        <v>233</v>
      </c>
      <c r="Y69" t="s">
        <v>235</v>
      </c>
      <c r="AA69">
        <v>0</v>
      </c>
      <c r="AB69">
        <v>21</v>
      </c>
    </row>
    <row r="70" spans="1:28" x14ac:dyDescent="0.25">
      <c r="A70" t="s">
        <v>1141</v>
      </c>
      <c r="B70">
        <v>68</v>
      </c>
      <c r="C70" t="s">
        <v>45</v>
      </c>
      <c r="D70">
        <v>3</v>
      </c>
      <c r="F70">
        <v>1</v>
      </c>
      <c r="G70" t="s">
        <v>86</v>
      </c>
      <c r="H70" t="s">
        <v>141</v>
      </c>
      <c r="I70" t="s">
        <v>142</v>
      </c>
      <c r="J70" t="s">
        <v>144</v>
      </c>
      <c r="K70" t="s">
        <v>33</v>
      </c>
      <c r="L70">
        <v>2</v>
      </c>
      <c r="N70">
        <v>3</v>
      </c>
      <c r="O70" t="s">
        <v>34</v>
      </c>
      <c r="P70" t="s">
        <v>66</v>
      </c>
      <c r="Q70" t="s">
        <v>131</v>
      </c>
      <c r="R70" t="s">
        <v>37</v>
      </c>
      <c r="S70" t="s">
        <v>63</v>
      </c>
      <c r="T70">
        <v>1</v>
      </c>
      <c r="V70">
        <v>3</v>
      </c>
      <c r="W70" t="s">
        <v>145</v>
      </c>
      <c r="X70" t="s">
        <v>146</v>
      </c>
      <c r="AA70">
        <v>0</v>
      </c>
      <c r="AB70">
        <v>18</v>
      </c>
    </row>
    <row r="71" spans="1:28" x14ac:dyDescent="0.25">
      <c r="A71" t="s">
        <v>1142</v>
      </c>
      <c r="B71">
        <v>69</v>
      </c>
      <c r="C71" t="s">
        <v>45</v>
      </c>
      <c r="D71">
        <v>3</v>
      </c>
      <c r="F71">
        <v>1</v>
      </c>
      <c r="G71" t="s">
        <v>86</v>
      </c>
      <c r="H71" t="s">
        <v>141</v>
      </c>
      <c r="I71" t="s">
        <v>102</v>
      </c>
      <c r="K71" t="s">
        <v>33</v>
      </c>
      <c r="L71">
        <v>1</v>
      </c>
      <c r="N71">
        <v>3</v>
      </c>
      <c r="O71" t="s">
        <v>65</v>
      </c>
      <c r="P71" t="s">
        <v>35</v>
      </c>
      <c r="Q71" t="s">
        <v>131</v>
      </c>
      <c r="S71" t="s">
        <v>38</v>
      </c>
      <c r="T71">
        <v>1</v>
      </c>
      <c r="U71">
        <v>1</v>
      </c>
      <c r="V71">
        <v>2</v>
      </c>
      <c r="W71" t="s">
        <v>39</v>
      </c>
      <c r="X71" t="s">
        <v>96</v>
      </c>
      <c r="Y71" t="s">
        <v>153</v>
      </c>
      <c r="AA71">
        <v>0</v>
      </c>
      <c r="AB71">
        <v>14</v>
      </c>
    </row>
    <row r="72" spans="1:28" x14ac:dyDescent="0.25">
      <c r="A72" t="s">
        <v>1143</v>
      </c>
      <c r="B72">
        <v>70</v>
      </c>
      <c r="C72" t="s">
        <v>227</v>
      </c>
      <c r="D72">
        <v>2</v>
      </c>
      <c r="E72">
        <v>3</v>
      </c>
      <c r="F72">
        <v>3</v>
      </c>
      <c r="G72" t="s">
        <v>229</v>
      </c>
      <c r="H72" t="s">
        <v>231</v>
      </c>
      <c r="I72" t="s">
        <v>235</v>
      </c>
      <c r="J72" t="s">
        <v>238</v>
      </c>
      <c r="K72" t="s">
        <v>33</v>
      </c>
      <c r="L72">
        <v>3</v>
      </c>
      <c r="N72">
        <v>3</v>
      </c>
      <c r="O72" t="s">
        <v>65</v>
      </c>
      <c r="P72" t="s">
        <v>130</v>
      </c>
      <c r="Q72" t="s">
        <v>131</v>
      </c>
      <c r="R72" t="s">
        <v>133</v>
      </c>
      <c r="S72" t="s">
        <v>45</v>
      </c>
      <c r="T72">
        <v>3</v>
      </c>
      <c r="V72">
        <v>3</v>
      </c>
      <c r="W72" t="s">
        <v>86</v>
      </c>
      <c r="X72" t="s">
        <v>141</v>
      </c>
      <c r="Y72" t="s">
        <v>142</v>
      </c>
      <c r="Z72" t="s">
        <v>144</v>
      </c>
      <c r="AA72">
        <v>0</v>
      </c>
      <c r="AB72">
        <v>29</v>
      </c>
    </row>
    <row r="73" spans="1:28" x14ac:dyDescent="0.25">
      <c r="A73" t="s">
        <v>1144</v>
      </c>
      <c r="B73">
        <v>71</v>
      </c>
      <c r="C73" t="s">
        <v>63</v>
      </c>
      <c r="D73">
        <v>3</v>
      </c>
      <c r="F73">
        <v>3</v>
      </c>
      <c r="G73" t="s">
        <v>145</v>
      </c>
      <c r="H73" t="s">
        <v>146</v>
      </c>
      <c r="I73" t="s">
        <v>104</v>
      </c>
      <c r="J73" t="s">
        <v>151</v>
      </c>
      <c r="K73" t="s">
        <v>33</v>
      </c>
      <c r="L73">
        <v>3</v>
      </c>
      <c r="N73">
        <v>2</v>
      </c>
      <c r="O73" t="s">
        <v>34</v>
      </c>
      <c r="P73" t="s">
        <v>66</v>
      </c>
      <c r="Q73" t="s">
        <v>131</v>
      </c>
      <c r="R73" t="s">
        <v>133</v>
      </c>
      <c r="S73" t="s">
        <v>38</v>
      </c>
      <c r="T73">
        <v>3</v>
      </c>
      <c r="U73">
        <v>3</v>
      </c>
      <c r="V73">
        <v>3</v>
      </c>
      <c r="W73" t="s">
        <v>39</v>
      </c>
      <c r="X73" t="s">
        <v>40</v>
      </c>
      <c r="Y73" t="s">
        <v>153</v>
      </c>
      <c r="Z73" t="s">
        <v>156</v>
      </c>
      <c r="AA73">
        <v>0</v>
      </c>
      <c r="AB73">
        <v>31</v>
      </c>
    </row>
    <row r="74" spans="1:28" x14ac:dyDescent="0.25">
      <c r="A74" t="s">
        <v>1145</v>
      </c>
      <c r="B74">
        <v>72</v>
      </c>
      <c r="C74" t="s">
        <v>63</v>
      </c>
      <c r="D74">
        <v>3</v>
      </c>
      <c r="F74">
        <v>1</v>
      </c>
      <c r="G74" t="s">
        <v>72</v>
      </c>
      <c r="H74" t="s">
        <v>95</v>
      </c>
      <c r="K74" t="s">
        <v>33</v>
      </c>
      <c r="L74">
        <v>2</v>
      </c>
      <c r="N74">
        <v>3</v>
      </c>
      <c r="O74" t="s">
        <v>34</v>
      </c>
      <c r="S74" t="s">
        <v>227</v>
      </c>
      <c r="T74">
        <v>1</v>
      </c>
      <c r="U74">
        <v>1</v>
      </c>
      <c r="V74">
        <v>2</v>
      </c>
      <c r="W74" t="s">
        <v>228</v>
      </c>
      <c r="AA74">
        <v>0</v>
      </c>
      <c r="AB74">
        <v>10</v>
      </c>
    </row>
    <row r="75" spans="1:28" x14ac:dyDescent="0.25">
      <c r="A75" t="s">
        <v>1146</v>
      </c>
      <c r="B75">
        <v>73</v>
      </c>
      <c r="C75" t="s">
        <v>38</v>
      </c>
      <c r="D75">
        <v>3</v>
      </c>
      <c r="E75">
        <v>3</v>
      </c>
      <c r="F75">
        <v>3</v>
      </c>
      <c r="G75" t="s">
        <v>39</v>
      </c>
      <c r="H75" t="s">
        <v>40</v>
      </c>
      <c r="I75" t="s">
        <v>153</v>
      </c>
      <c r="J75" t="s">
        <v>156</v>
      </c>
      <c r="K75" t="s">
        <v>33</v>
      </c>
      <c r="L75">
        <v>3</v>
      </c>
      <c r="N75">
        <v>3</v>
      </c>
      <c r="O75" t="s">
        <v>65</v>
      </c>
      <c r="P75" t="s">
        <v>66</v>
      </c>
      <c r="Q75" t="s">
        <v>36</v>
      </c>
      <c r="R75" t="s">
        <v>133</v>
      </c>
      <c r="S75" t="s">
        <v>227</v>
      </c>
      <c r="T75">
        <v>1</v>
      </c>
      <c r="U75">
        <v>2</v>
      </c>
      <c r="V75">
        <v>3</v>
      </c>
      <c r="W75" t="s">
        <v>229</v>
      </c>
      <c r="AA75">
        <v>0</v>
      </c>
      <c r="AB75">
        <v>23</v>
      </c>
    </row>
    <row r="76" spans="1:28" x14ac:dyDescent="0.25">
      <c r="A76" t="s">
        <v>1147</v>
      </c>
      <c r="B76">
        <v>74</v>
      </c>
      <c r="C76" t="s">
        <v>43</v>
      </c>
      <c r="D76">
        <v>1</v>
      </c>
      <c r="F76">
        <v>2</v>
      </c>
      <c r="G76" t="s">
        <v>135</v>
      </c>
      <c r="H76" t="s">
        <v>136</v>
      </c>
      <c r="I76" t="s">
        <v>100</v>
      </c>
      <c r="J76" t="s">
        <v>138</v>
      </c>
      <c r="K76" t="s">
        <v>45</v>
      </c>
      <c r="L76">
        <v>3</v>
      </c>
      <c r="N76">
        <v>1</v>
      </c>
      <c r="O76" t="s">
        <v>86</v>
      </c>
      <c r="P76" t="s">
        <v>141</v>
      </c>
      <c r="Q76" t="s">
        <v>102</v>
      </c>
      <c r="R76" t="s">
        <v>144</v>
      </c>
      <c r="S76" t="s">
        <v>63</v>
      </c>
      <c r="T76">
        <v>1</v>
      </c>
      <c r="V76">
        <v>1</v>
      </c>
      <c r="W76" t="s">
        <v>145</v>
      </c>
      <c r="X76" t="s">
        <v>146</v>
      </c>
      <c r="Y76" t="s">
        <v>148</v>
      </c>
      <c r="Z76" t="s">
        <v>150</v>
      </c>
      <c r="AA76">
        <v>0</v>
      </c>
      <c r="AB76">
        <v>16</v>
      </c>
    </row>
    <row r="77" spans="1:28" x14ac:dyDescent="0.25">
      <c r="A77" t="s">
        <v>1148</v>
      </c>
      <c r="B77">
        <v>75</v>
      </c>
      <c r="C77" t="s">
        <v>45</v>
      </c>
      <c r="D77">
        <v>3</v>
      </c>
      <c r="F77">
        <v>1</v>
      </c>
      <c r="G77" t="s">
        <v>86</v>
      </c>
      <c r="H77" t="s">
        <v>76</v>
      </c>
      <c r="I77" t="s">
        <v>102</v>
      </c>
      <c r="K77" t="s">
        <v>43</v>
      </c>
      <c r="L77">
        <v>3</v>
      </c>
      <c r="N77">
        <v>1</v>
      </c>
      <c r="O77" t="s">
        <v>135</v>
      </c>
      <c r="P77" t="s">
        <v>136</v>
      </c>
      <c r="S77" t="s">
        <v>38</v>
      </c>
      <c r="T77">
        <v>1</v>
      </c>
      <c r="U77">
        <v>1</v>
      </c>
      <c r="V77">
        <v>3</v>
      </c>
      <c r="W77" t="s">
        <v>39</v>
      </c>
      <c r="X77" t="s">
        <v>40</v>
      </c>
      <c r="Y77" t="s">
        <v>153</v>
      </c>
      <c r="AA77">
        <v>0</v>
      </c>
      <c r="AB77">
        <v>14</v>
      </c>
    </row>
    <row r="78" spans="1:28" x14ac:dyDescent="0.25">
      <c r="A78" t="s">
        <v>1149</v>
      </c>
      <c r="B78">
        <v>76</v>
      </c>
      <c r="C78" t="s">
        <v>43</v>
      </c>
      <c r="D78">
        <v>1</v>
      </c>
      <c r="F78">
        <v>2</v>
      </c>
      <c r="G78" t="s">
        <v>135</v>
      </c>
      <c r="H78" t="s">
        <v>136</v>
      </c>
      <c r="I78" t="s">
        <v>100</v>
      </c>
      <c r="J78" t="s">
        <v>138</v>
      </c>
      <c r="K78" t="s">
        <v>45</v>
      </c>
      <c r="L78">
        <v>3</v>
      </c>
      <c r="N78">
        <v>1</v>
      </c>
      <c r="O78" t="s">
        <v>86</v>
      </c>
      <c r="P78" t="s">
        <v>141</v>
      </c>
      <c r="Q78" t="s">
        <v>102</v>
      </c>
      <c r="S78" t="s">
        <v>227</v>
      </c>
      <c r="T78">
        <v>1</v>
      </c>
      <c r="U78">
        <v>1</v>
      </c>
      <c r="V78">
        <v>3</v>
      </c>
      <c r="W78" t="s">
        <v>229</v>
      </c>
      <c r="X78" t="s">
        <v>231</v>
      </c>
      <c r="Y78" t="s">
        <v>235</v>
      </c>
      <c r="AA78">
        <v>0</v>
      </c>
      <c r="AB78">
        <v>15</v>
      </c>
    </row>
    <row r="79" spans="1:28" x14ac:dyDescent="0.25">
      <c r="A79" t="s">
        <v>1150</v>
      </c>
      <c r="B79">
        <v>77</v>
      </c>
      <c r="C79" t="s">
        <v>43</v>
      </c>
      <c r="D79">
        <v>3</v>
      </c>
      <c r="F79">
        <v>3</v>
      </c>
      <c r="G79" t="s">
        <v>135</v>
      </c>
      <c r="H79" t="s">
        <v>136</v>
      </c>
      <c r="I79" t="s">
        <v>137</v>
      </c>
      <c r="J79" t="s">
        <v>139</v>
      </c>
      <c r="K79" t="s">
        <v>63</v>
      </c>
      <c r="L79">
        <v>3</v>
      </c>
      <c r="N79">
        <v>2</v>
      </c>
      <c r="O79" t="s">
        <v>145</v>
      </c>
      <c r="P79" t="s">
        <v>146</v>
      </c>
      <c r="Q79" t="s">
        <v>104</v>
      </c>
      <c r="R79" t="s">
        <v>151</v>
      </c>
      <c r="S79" t="s">
        <v>38</v>
      </c>
      <c r="T79">
        <v>3</v>
      </c>
      <c r="U79">
        <v>3</v>
      </c>
      <c r="V79">
        <v>3</v>
      </c>
      <c r="W79" t="s">
        <v>39</v>
      </c>
      <c r="X79" t="s">
        <v>40</v>
      </c>
      <c r="Y79" t="s">
        <v>153</v>
      </c>
      <c r="Z79" t="s">
        <v>156</v>
      </c>
      <c r="AA79">
        <v>0</v>
      </c>
      <c r="AB79">
        <v>36</v>
      </c>
    </row>
    <row r="80" spans="1:28" x14ac:dyDescent="0.25">
      <c r="A80" t="s">
        <v>1151</v>
      </c>
      <c r="B80">
        <v>78</v>
      </c>
      <c r="C80" t="s">
        <v>63</v>
      </c>
      <c r="D80">
        <v>3</v>
      </c>
      <c r="F80">
        <v>3</v>
      </c>
      <c r="G80" t="s">
        <v>145</v>
      </c>
      <c r="H80" t="s">
        <v>146</v>
      </c>
      <c r="I80" t="s">
        <v>148</v>
      </c>
      <c r="J80" t="s">
        <v>151</v>
      </c>
      <c r="K80" t="s">
        <v>43</v>
      </c>
      <c r="L80">
        <v>3</v>
      </c>
      <c r="N80">
        <v>3</v>
      </c>
      <c r="O80" t="s">
        <v>135</v>
      </c>
      <c r="P80" t="s">
        <v>136</v>
      </c>
      <c r="Q80" t="s">
        <v>137</v>
      </c>
      <c r="R80" t="s">
        <v>101</v>
      </c>
      <c r="S80" t="s">
        <v>227</v>
      </c>
      <c r="T80">
        <v>3</v>
      </c>
      <c r="U80">
        <v>3</v>
      </c>
      <c r="V80">
        <v>3</v>
      </c>
      <c r="W80" t="s">
        <v>229</v>
      </c>
      <c r="X80" t="s">
        <v>231</v>
      </c>
      <c r="Y80" t="s">
        <v>235</v>
      </c>
      <c r="Z80" t="s">
        <v>238</v>
      </c>
      <c r="AA80">
        <v>0</v>
      </c>
      <c r="AB80">
        <v>41</v>
      </c>
    </row>
    <row r="81" spans="1:28" x14ac:dyDescent="0.25">
      <c r="A81" t="s">
        <v>1152</v>
      </c>
      <c r="B81">
        <v>79</v>
      </c>
      <c r="C81" t="s">
        <v>38</v>
      </c>
      <c r="D81">
        <v>3</v>
      </c>
      <c r="E81">
        <v>2</v>
      </c>
      <c r="F81">
        <v>3</v>
      </c>
      <c r="G81" t="s">
        <v>39</v>
      </c>
      <c r="H81" t="s">
        <v>40</v>
      </c>
      <c r="I81" t="s">
        <v>153</v>
      </c>
      <c r="J81" t="s">
        <v>42</v>
      </c>
      <c r="K81" t="s">
        <v>43</v>
      </c>
      <c r="L81">
        <v>3</v>
      </c>
      <c r="N81">
        <v>2</v>
      </c>
      <c r="O81" t="s">
        <v>135</v>
      </c>
      <c r="P81" t="s">
        <v>136</v>
      </c>
      <c r="S81" t="s">
        <v>227</v>
      </c>
      <c r="T81">
        <v>3</v>
      </c>
      <c r="U81">
        <v>2</v>
      </c>
      <c r="V81">
        <v>3</v>
      </c>
      <c r="W81" t="s">
        <v>229</v>
      </c>
      <c r="X81" t="s">
        <v>233</v>
      </c>
      <c r="Y81" t="s">
        <v>235</v>
      </c>
      <c r="Z81" t="s">
        <v>238</v>
      </c>
      <c r="AA81">
        <v>0</v>
      </c>
      <c r="AB81">
        <v>24</v>
      </c>
    </row>
    <row r="82" spans="1:28" x14ac:dyDescent="0.25">
      <c r="A82" t="s">
        <v>1153</v>
      </c>
      <c r="B82">
        <v>80</v>
      </c>
      <c r="C82" t="s">
        <v>63</v>
      </c>
      <c r="D82">
        <v>1</v>
      </c>
      <c r="F82">
        <v>3</v>
      </c>
      <c r="G82" t="s">
        <v>103</v>
      </c>
      <c r="H82" t="s">
        <v>146</v>
      </c>
      <c r="I82" t="s">
        <v>104</v>
      </c>
      <c r="J82" t="s">
        <v>149</v>
      </c>
      <c r="K82" t="s">
        <v>45</v>
      </c>
      <c r="L82">
        <v>3</v>
      </c>
      <c r="N82">
        <v>1</v>
      </c>
      <c r="O82" t="s">
        <v>86</v>
      </c>
      <c r="P82" t="s">
        <v>141</v>
      </c>
      <c r="Q82" t="s">
        <v>93</v>
      </c>
      <c r="R82" t="s">
        <v>143</v>
      </c>
      <c r="S82" t="s">
        <v>38</v>
      </c>
      <c r="T82">
        <v>1</v>
      </c>
      <c r="U82">
        <v>1</v>
      </c>
      <c r="V82">
        <v>2</v>
      </c>
      <c r="W82" t="s">
        <v>39</v>
      </c>
      <c r="X82" t="s">
        <v>96</v>
      </c>
      <c r="AA82">
        <v>0</v>
      </c>
      <c r="AB82">
        <v>15</v>
      </c>
    </row>
    <row r="83" spans="1:28" x14ac:dyDescent="0.25">
      <c r="A83" t="s">
        <v>1154</v>
      </c>
      <c r="B83">
        <v>81</v>
      </c>
      <c r="C83" t="s">
        <v>227</v>
      </c>
      <c r="D83">
        <v>3</v>
      </c>
      <c r="E83">
        <v>1</v>
      </c>
      <c r="F83">
        <v>3</v>
      </c>
      <c r="G83" t="s">
        <v>229</v>
      </c>
      <c r="H83" t="s">
        <v>231</v>
      </c>
      <c r="I83" t="s">
        <v>235</v>
      </c>
      <c r="J83" t="s">
        <v>237</v>
      </c>
      <c r="K83" t="s">
        <v>45</v>
      </c>
      <c r="L83">
        <v>3</v>
      </c>
      <c r="N83">
        <v>2</v>
      </c>
      <c r="O83" t="s">
        <v>86</v>
      </c>
      <c r="P83" t="s">
        <v>141</v>
      </c>
      <c r="Q83" t="s">
        <v>102</v>
      </c>
      <c r="R83" t="s">
        <v>144</v>
      </c>
      <c r="S83" t="s">
        <v>63</v>
      </c>
      <c r="T83">
        <v>1</v>
      </c>
      <c r="V83">
        <v>2</v>
      </c>
      <c r="W83" t="s">
        <v>145</v>
      </c>
      <c r="X83" t="s">
        <v>91</v>
      </c>
      <c r="Y83" t="s">
        <v>148</v>
      </c>
      <c r="Z83" t="s">
        <v>151</v>
      </c>
      <c r="AA83">
        <v>0</v>
      </c>
      <c r="AB83">
        <v>20</v>
      </c>
    </row>
    <row r="84" spans="1:28" x14ac:dyDescent="0.25">
      <c r="A84" t="s">
        <v>1155</v>
      </c>
      <c r="B84">
        <v>82</v>
      </c>
      <c r="C84" t="s">
        <v>227</v>
      </c>
      <c r="D84">
        <v>2</v>
      </c>
      <c r="E84">
        <v>1</v>
      </c>
      <c r="F84">
        <v>3</v>
      </c>
      <c r="G84" t="s">
        <v>229</v>
      </c>
      <c r="H84" t="s">
        <v>231</v>
      </c>
      <c r="I84" t="s">
        <v>235</v>
      </c>
      <c r="K84" t="s">
        <v>45</v>
      </c>
      <c r="L84">
        <v>3</v>
      </c>
      <c r="N84">
        <v>1</v>
      </c>
      <c r="O84" t="s">
        <v>86</v>
      </c>
      <c r="P84" t="s">
        <v>141</v>
      </c>
      <c r="Q84" t="s">
        <v>102</v>
      </c>
      <c r="R84" t="s">
        <v>144</v>
      </c>
      <c r="S84" t="s">
        <v>38</v>
      </c>
      <c r="T84">
        <v>2</v>
      </c>
      <c r="U84">
        <v>1</v>
      </c>
      <c r="V84">
        <v>2</v>
      </c>
      <c r="W84" t="s">
        <v>39</v>
      </c>
      <c r="X84" t="s">
        <v>96</v>
      </c>
      <c r="Y84" t="s">
        <v>153</v>
      </c>
      <c r="AA84">
        <v>0</v>
      </c>
      <c r="AB84">
        <v>18</v>
      </c>
    </row>
    <row r="85" spans="1:28" x14ac:dyDescent="0.25">
      <c r="A85" t="s">
        <v>1156</v>
      </c>
      <c r="B85">
        <v>83</v>
      </c>
      <c r="C85" t="s">
        <v>38</v>
      </c>
      <c r="D85">
        <v>3</v>
      </c>
      <c r="E85">
        <v>3</v>
      </c>
      <c r="F85">
        <v>3</v>
      </c>
      <c r="G85" t="s">
        <v>39</v>
      </c>
      <c r="H85" t="s">
        <v>96</v>
      </c>
      <c r="I85" t="s">
        <v>41</v>
      </c>
      <c r="J85" t="s">
        <v>156</v>
      </c>
      <c r="K85" t="s">
        <v>63</v>
      </c>
      <c r="L85">
        <v>3</v>
      </c>
      <c r="N85">
        <v>3</v>
      </c>
      <c r="O85" t="s">
        <v>103</v>
      </c>
      <c r="P85" t="s">
        <v>91</v>
      </c>
      <c r="Q85" t="s">
        <v>147</v>
      </c>
      <c r="R85" t="s">
        <v>151</v>
      </c>
      <c r="S85" t="s">
        <v>227</v>
      </c>
      <c r="T85">
        <v>1</v>
      </c>
      <c r="U85">
        <v>2</v>
      </c>
      <c r="V85">
        <v>3</v>
      </c>
      <c r="W85" t="s">
        <v>229</v>
      </c>
      <c r="X85" t="s">
        <v>231</v>
      </c>
      <c r="Y85" t="s">
        <v>235</v>
      </c>
      <c r="Z85" t="s">
        <v>238</v>
      </c>
      <c r="AA85">
        <v>0</v>
      </c>
      <c r="AB85">
        <v>34</v>
      </c>
    </row>
  </sheetData>
  <phoneticPr fontId="3" type="noConversion"/>
  <conditionalFormatting sqref="B1:B1048576">
    <cfRule type="duplicateValues" dxfId="2010" priority="1"/>
  </conditionalFormatting>
  <conditionalFormatting sqref="A2:B85">
    <cfRule type="duplicateValues" dxfId="2009" priority="285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86"/>
  <sheetViews>
    <sheetView workbookViewId="0">
      <selection activeCell="K18" sqref="K18"/>
    </sheetView>
  </sheetViews>
  <sheetFormatPr defaultRowHeight="15" x14ac:dyDescent="0.25"/>
  <cols>
    <col min="1" max="1" width="11.42578125" bestFit="1" customWidth="1"/>
    <col min="2" max="2" width="13.5703125" customWidth="1"/>
    <col min="3" max="3" width="11.42578125" bestFit="1" customWidth="1"/>
    <col min="4" max="4" width="13.5703125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5.5703125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11</v>
      </c>
      <c r="L3" s="3">
        <f>IF(ScenarioTeams3[[#This Row],[battles]],ScenarioTeams3[[#This Row],[wins]]/ScenarioTeams3[[#This Row],[battles]],0)</f>
        <v>0.39285714285714285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13</v>
      </c>
      <c r="L4" s="3">
        <f>IF(ScenarioTeams3[[#This Row],[battles]],ScenarioTeams3[[#This Row],[wins]]/ScenarioTeams3[[#This Row],[battles]],0)</f>
        <v>0.4642857142857143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5" s="3">
        <f>IF(ScenarioTeams3[[#This Row],[battles]],ScenarioTeams3[[#This Row],[wins]]/ScenarioTeams3[[#This Row],[battles]],0)</f>
        <v>0.35714285714285715</v>
      </c>
      <c r="N5" s="4" t="s">
        <v>158</v>
      </c>
      <c r="O5" s="30">
        <f>MIN(Scenario3[turns])</f>
        <v>10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1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14</v>
      </c>
      <c r="L6" s="3">
        <f>IF(ScenarioTeams3[[#This Row],[battles]],ScenarioTeams3[[#This Row],[wins]]/ScenarioTeams3[[#This Row],[battles]],0)</f>
        <v>0.5</v>
      </c>
      <c r="N6" s="5" t="s">
        <v>108</v>
      </c>
      <c r="O6" s="31">
        <f>AVERAGE(Scenario3[turns])</f>
        <v>27.738095238095237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1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7" s="3">
        <f>IF(ScenarioTeams3[[#This Row],[battles]],ScenarioTeams3[[#This Row],[wins]]/ScenarioTeams3[[#This Row],[battles]],0)</f>
        <v>0.2857142857142857</v>
      </c>
      <c r="N7" s="5" t="s">
        <v>160</v>
      </c>
      <c r="O7" s="31">
        <f>MAX(Scenario3[turns])</f>
        <v>55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1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8" s="3">
        <f>IF(ScenarioTeams3[[#This Row],[battles]],ScenarioTeams3[[#This Row],[wins]]/ScenarioTeams3[[#This Row],[battles]],0)</f>
        <v>0.21428571428571427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56</v>
      </c>
      <c r="D9">
        <f>COUNTIFS(Scenario3[winner1],ScenarioStat3[[#This Row],[hero-2]],Scenario3[loser1],ScenarioStat3[[#This Row],[hero-1]],Scenario3[loser2],ScenarioStat3[[#This Row],[hero-3]])</f>
        <v>1</v>
      </c>
      <c r="E9" t="s">
        <v>227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9" s="3">
        <f>IF(ScenarioTeams3[[#This Row],[battles]],ScenarioTeams3[[#This Row],[wins]]/ScenarioTeams3[[#This Row],[battles]],0)</f>
        <v>0.2857142857142857</v>
      </c>
      <c r="N9" s="4" t="s">
        <v>185</v>
      </c>
      <c r="O9" s="30">
        <f>120000*$O$6/1000/60</f>
        <v>55.476190476190474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33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10" s="3">
        <f>IF(ScenarioTeams3[[#This Row],[battles]],ScenarioTeams3[[#This Row],[wins]]/ScenarioTeams3[[#This Row],[battles]],0)</f>
        <v>0.2857142857142857</v>
      </c>
      <c r="N10" s="5" t="s">
        <v>186</v>
      </c>
      <c r="O10" s="6">
        <f>O9*COUNTA(ScenarioStat3[hero-1])/60/24*2</f>
        <v>6.4722222222222223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43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  <c r="I11" t="s">
        <v>227</v>
      </c>
      <c r="J11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28</v>
      </c>
      <c r="K11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11" s="3">
        <f>IF(ScenarioTeams3[[#This Row],[battles]],ScenarioTeams3[[#This Row],[wins]]/ScenarioTeams3[[#This Row],[battles]],0)</f>
        <v>0.21428571428571427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45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63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1</v>
      </c>
      <c r="C14" t="s">
        <v>48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38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48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227</v>
      </c>
      <c r="F15">
        <f>COUNTIFS(Scenario3[winner1],ScenarioStat3[[#This Row],[hero-3]],Scenario3[loser1],ScenarioStat3[[#This Row],[hero-1]],Scenario3[loser2],ScenarioStat3[[#This Row],[hero-2]])</f>
        <v>1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43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45</v>
      </c>
      <c r="F17">
        <f>COUNTIFS(Scenario3[winner1],ScenarioStat3[[#This Row],[hero-3]],Scenario3[loser1],ScenarioStat3[[#This Row],[hero-1]],Scenario3[loser2],ScenarioStat3[[#This Row],[hero-2]])</f>
        <v>1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33</v>
      </c>
      <c r="D18">
        <f>COUNTIFS(Scenario3[winner1],ScenarioStat3[[#This Row],[hero-2]],Scenario3[loser1],ScenarioStat3[[#This Row],[hero-1]],Scenario3[loser2],ScenarioStat3[[#This Row],[hero-3]])</f>
        <v>1</v>
      </c>
      <c r="E18" t="s">
        <v>63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33</v>
      </c>
      <c r="D19">
        <f>COUNTIFS(Scenario3[winner1],ScenarioStat3[[#This Row],[hero-2]],Scenario3[loser1],ScenarioStat3[[#This Row],[hero-1]],Scenario3[loser2],ScenarioStat3[[#This Row],[hero-3]])</f>
        <v>1</v>
      </c>
      <c r="E19" t="s">
        <v>38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33</v>
      </c>
      <c r="D20">
        <f>COUNTIFS(Scenario3[winner1],ScenarioStat3[[#This Row],[hero-2]],Scenario3[loser1],ScenarioStat3[[#This Row],[hero-1]],Scenario3[loser2],ScenarioStat3[[#This Row],[hero-3]])</f>
        <v>1</v>
      </c>
      <c r="E20" t="s">
        <v>227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43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45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43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63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43</v>
      </c>
      <c r="D23">
        <f>COUNTIFS(Scenario3[winner1],ScenarioStat3[[#This Row],[hero-2]],Scenario3[loser1],ScenarioStat3[[#This Row],[hero-1]],Scenario3[loser2],ScenarioStat3[[#This Row],[hero-3]])</f>
        <v>1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53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43</v>
      </c>
      <c r="D24">
        <f>COUNTIFS(Scenario3[winner1],ScenarioStat3[[#This Row],[hero-2]],Scenario3[loser1],ScenarioStat3[[#This Row],[hero-1]],Scenario3[loser2],ScenarioStat3[[#This Row],[hero-3]])</f>
        <v>1</v>
      </c>
      <c r="E24" t="s">
        <v>227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53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45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63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53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45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38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53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45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227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53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63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53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63</v>
      </c>
      <c r="D29">
        <f>COUNTIFS(Scenario3[winner1],ScenarioStat3[[#This Row],[hero-2]],Scenario3[loser1],ScenarioStat3[[#This Row],[hero-1]],Scenario3[loser2],ScenarioStat3[[#This Row],[hero-3]])</f>
        <v>1</v>
      </c>
      <c r="E29" t="s">
        <v>227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53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38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227</v>
      </c>
      <c r="F30">
        <f>COUNTIFS(Scenario3[winner1],ScenarioStat3[[#This Row],[hero-3]],Scenario3[loser1],ScenarioStat3[[#This Row],[hero-1]],Scenario3[loser2],ScenarioStat3[[#This Row],[hero-2]])</f>
        <v>1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48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33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1</v>
      </c>
      <c r="C32" t="s">
        <v>48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43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48</v>
      </c>
      <c r="D33">
        <f>COUNTIFS(Scenario3[winner1],ScenarioStat3[[#This Row],[hero-2]],Scenario3[loser1],ScenarioStat3[[#This Row],[hero-1]],Scenario3[loser2],ScenarioStat3[[#This Row],[hero-3]])</f>
        <v>1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48</v>
      </c>
      <c r="D34">
        <f>COUNTIFS(Scenario3[winner1],ScenarioStat3[[#This Row],[hero-2]],Scenario3[loser1],ScenarioStat3[[#This Row],[hero-1]],Scenario3[loser2],ScenarioStat3[[#This Row],[hero-3]])</f>
        <v>1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48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48</v>
      </c>
      <c r="D36">
        <f>COUNTIFS(Scenario3[winner1],ScenarioStat3[[#This Row],[hero-2]],Scenario3[loser1],ScenarioStat3[[#This Row],[hero-1]],Scenario3[loser2],ScenarioStat3[[#This Row],[hero-3]])</f>
        <v>1</v>
      </c>
      <c r="E36" t="s">
        <v>227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33</v>
      </c>
      <c r="D37">
        <f>COUNTIFS(Scenario3[winner1],ScenarioStat3[[#This Row],[hero-2]],Scenario3[loser1],ScenarioStat3[[#This Row],[hero-1]],Scenario3[loser2],ScenarioStat3[[#This Row],[hero-3]])</f>
        <v>1</v>
      </c>
      <c r="E37" t="s">
        <v>43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33</v>
      </c>
      <c r="D38">
        <f>COUNTIFS(Scenario3[winner1],ScenarioStat3[[#This Row],[hero-2]],Scenario3[loser1],ScenarioStat3[[#This Row],[hero-1]],Scenario3[loser2],ScenarioStat3[[#This Row],[hero-3]])</f>
        <v>1</v>
      </c>
      <c r="E38" t="s">
        <v>45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56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63</v>
      </c>
      <c r="F39">
        <f>COUNTIFS(Scenario3[winner1],ScenarioStat3[[#This Row],[hero-3]],Scenario3[loser1],ScenarioStat3[[#This Row],[hero-1]],Scenario3[loser2],ScenarioStat3[[#This Row],[hero-2]])</f>
        <v>1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56</v>
      </c>
      <c r="B40">
        <f>COUNTIFS(Scenario3[winner1],ScenarioStat3[[#This Row],[hero-1]],Scenario3[loser1],ScenarioStat3[[#This Row],[hero-2]],Scenario3[loser2],ScenarioStat3[[#This Row],[hero-3]])</f>
        <v>1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38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56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1</v>
      </c>
      <c r="E41" t="s">
        <v>227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56</v>
      </c>
      <c r="B42">
        <f>COUNTIFS(Scenario3[winner1],ScenarioStat3[[#This Row],[hero-1]],Scenario3[loser1],ScenarioStat3[[#This Row],[hero-2]],Scenario3[loser2],ScenarioStat3[[#This Row],[hero-3]])</f>
        <v>1</v>
      </c>
      <c r="C42" t="s">
        <v>43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45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56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63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56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38</v>
      </c>
      <c r="F44">
        <f>COUNTIFS(Scenario3[winner1],ScenarioStat3[[#This Row],[hero-3]],Scenario3[loser1],ScenarioStat3[[#This Row],[hero-1]],Scenario3[loser2],ScenarioStat3[[#This Row],[hero-2]])</f>
        <v>1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56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1</v>
      </c>
      <c r="E45" t="s">
        <v>227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56</v>
      </c>
      <c r="B46">
        <f>COUNTIFS(Scenario3[winner1],ScenarioStat3[[#This Row],[hero-1]],Scenario3[loser1],ScenarioStat3[[#This Row],[hero-2]],Scenario3[loser2],ScenarioStat3[[#This Row],[hero-3]])</f>
        <v>1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56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1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56</v>
      </c>
      <c r="B48">
        <f>COUNTIFS(Scenario3[winner1],ScenarioStat3[[#This Row],[hero-1]],Scenario3[loser1],ScenarioStat3[[#This Row],[hero-2]],Scenario3[loser2],ScenarioStat3[[#This Row],[hero-3]])</f>
        <v>1</v>
      </c>
      <c r="C48" t="s">
        <v>45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227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56</v>
      </c>
      <c r="B49">
        <f>COUNTIFS(Scenario3[winner1],ScenarioStat3[[#This Row],[hero-1]],Scenario3[loser1],ScenarioStat3[[#This Row],[hero-2]],Scenario3[loser2],ScenarioStat3[[#This Row],[hero-3]])</f>
        <v>1</v>
      </c>
      <c r="C49" t="s">
        <v>63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38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56</v>
      </c>
      <c r="B50">
        <f>COUNTIFS(Scenario3[winner1],ScenarioStat3[[#This Row],[hero-1]],Scenario3[loser1],ScenarioStat3[[#This Row],[hero-2]],Scenario3[loser2],ScenarioStat3[[#This Row],[hero-3]])</f>
        <v>1</v>
      </c>
      <c r="C50" t="s">
        <v>63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227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56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38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227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48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33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43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48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33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45</v>
      </c>
      <c r="F53">
        <f>COUNTIFS(Scenario3[winner1],ScenarioStat3[[#This Row],[hero-3]],Scenario3[loser1],ScenarioStat3[[#This Row],[hero-1]],Scenario3[loser2],ScenarioStat3[[#This Row],[hero-2]])</f>
        <v>1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48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33</v>
      </c>
      <c r="D54">
        <f>COUNTIFS(Scenario3[winner1],ScenarioStat3[[#This Row],[hero-2]],Scenario3[loser1],ScenarioStat3[[#This Row],[hero-1]],Scenario3[loser2],ScenarioStat3[[#This Row],[hero-3]])</f>
        <v>1</v>
      </c>
      <c r="E54" t="s">
        <v>63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48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33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38</v>
      </c>
      <c r="F55">
        <f>COUNTIFS(Scenario3[winner1],ScenarioStat3[[#This Row],[hero-3]],Scenario3[loser1],ScenarioStat3[[#This Row],[hero-1]],Scenario3[loser2],ScenarioStat3[[#This Row],[hero-2]])</f>
        <v>1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48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33</v>
      </c>
      <c r="D56">
        <f>COUNTIFS(Scenario3[winner1],ScenarioStat3[[#This Row],[hero-2]],Scenario3[loser1],ScenarioStat3[[#This Row],[hero-1]],Scenario3[loser2],ScenarioStat3[[#This Row],[hero-3]])</f>
        <v>1</v>
      </c>
      <c r="E56" t="s">
        <v>227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48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43</v>
      </c>
      <c r="D57">
        <f>COUNTIFS(Scenario3[winner1],ScenarioStat3[[#This Row],[hero-2]],Scenario3[loser1],ScenarioStat3[[#This Row],[hero-1]],Scenario3[loser2],ScenarioStat3[[#This Row],[hero-3]])</f>
        <v>1</v>
      </c>
      <c r="E57" t="s">
        <v>45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48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43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63</v>
      </c>
      <c r="F58">
        <f>COUNTIFS(Scenario3[winner1],ScenarioStat3[[#This Row],[hero-3]],Scenario3[loser1],ScenarioStat3[[#This Row],[hero-1]],Scenario3[loser2],ScenarioStat3[[#This Row],[hero-2]])</f>
        <v>1</v>
      </c>
      <c r="G58">
        <f>ScenarioStat3[[#This Row],[team-1-win]]+ScenarioStat3[[#This Row],[team-2-win]]+ScenarioStat3[[#This Row],[team-3-win]]</f>
        <v>1</v>
      </c>
    </row>
    <row r="59" spans="1:7" x14ac:dyDescent="0.25">
      <c r="A59" t="s">
        <v>48</v>
      </c>
      <c r="B59">
        <f>COUNTIFS(Scenario3[winner1],ScenarioStat3[[#This Row],[hero-1]],Scenario3[loser1],ScenarioStat3[[#This Row],[hero-2]],Scenario3[loser2],ScenarioStat3[[#This Row],[hero-3]])</f>
        <v>1</v>
      </c>
      <c r="C59" t="s">
        <v>43</v>
      </c>
      <c r="D59">
        <f>COUNTIFS(Scenario3[winner1],ScenarioStat3[[#This Row],[hero-2]],Scenario3[loser1],ScenarioStat3[[#This Row],[hero-1]],Scenario3[loser2],ScenarioStat3[[#This Row],[hero-3]])</f>
        <v>0</v>
      </c>
      <c r="E59" t="s">
        <v>38</v>
      </c>
      <c r="F59">
        <f>COUNTIFS(Scenario3[winner1],ScenarioStat3[[#This Row],[hero-3]],Scenario3[loser1],ScenarioStat3[[#This Row],[hero-1]],Scenario3[loser2],ScenarioStat3[[#This Row],[hero-2]])</f>
        <v>0</v>
      </c>
      <c r="G59">
        <f>ScenarioStat3[[#This Row],[team-1-win]]+ScenarioStat3[[#This Row],[team-2-win]]+ScenarioStat3[[#This Row],[team-3-win]]</f>
        <v>1</v>
      </c>
    </row>
    <row r="60" spans="1:7" x14ac:dyDescent="0.25">
      <c r="A60" t="s">
        <v>48</v>
      </c>
      <c r="B60">
        <f>COUNTIFS(Scenario3[winner1],ScenarioStat3[[#This Row],[hero-1]],Scenario3[loser1],ScenarioStat3[[#This Row],[hero-2]],Scenario3[loser2],ScenarioStat3[[#This Row],[hero-3]])</f>
        <v>1</v>
      </c>
      <c r="C60" t="s">
        <v>43</v>
      </c>
      <c r="D60">
        <f>COUNTIFS(Scenario3[winner1],ScenarioStat3[[#This Row],[hero-2]],Scenario3[loser1],ScenarioStat3[[#This Row],[hero-1]],Scenario3[loser2],ScenarioStat3[[#This Row],[hero-3]])</f>
        <v>0</v>
      </c>
      <c r="E60" t="s">
        <v>227</v>
      </c>
      <c r="F60">
        <f>COUNTIFS(Scenario3[winner1],ScenarioStat3[[#This Row],[hero-3]],Scenario3[loser1],ScenarioStat3[[#This Row],[hero-1]],Scenario3[loser2],ScenarioStat3[[#This Row],[hero-2]])</f>
        <v>0</v>
      </c>
      <c r="G60">
        <f>ScenarioStat3[[#This Row],[team-1-win]]+ScenarioStat3[[#This Row],[team-2-win]]+ScenarioStat3[[#This Row],[team-3-win]]</f>
        <v>1</v>
      </c>
    </row>
    <row r="61" spans="1:7" x14ac:dyDescent="0.25">
      <c r="A61" t="s">
        <v>48</v>
      </c>
      <c r="B61">
        <f>COUNTIFS(Scenario3[winner1],ScenarioStat3[[#This Row],[hero-1]],Scenario3[loser1],ScenarioStat3[[#This Row],[hero-2]],Scenario3[loser2],ScenarioStat3[[#This Row],[hero-3]])</f>
        <v>1</v>
      </c>
      <c r="C61" t="s">
        <v>45</v>
      </c>
      <c r="D61">
        <f>COUNTIFS(Scenario3[winner1],ScenarioStat3[[#This Row],[hero-2]],Scenario3[loser1],ScenarioStat3[[#This Row],[hero-1]],Scenario3[loser2],ScenarioStat3[[#This Row],[hero-3]])</f>
        <v>0</v>
      </c>
      <c r="E61" t="s">
        <v>63</v>
      </c>
      <c r="F61">
        <f>COUNTIFS(Scenario3[winner1],ScenarioStat3[[#This Row],[hero-3]],Scenario3[loser1],ScenarioStat3[[#This Row],[hero-1]],Scenario3[loser2],ScenarioStat3[[#This Row],[hero-2]])</f>
        <v>0</v>
      </c>
      <c r="G61">
        <f>ScenarioStat3[[#This Row],[team-1-win]]+ScenarioStat3[[#This Row],[team-2-win]]+ScenarioStat3[[#This Row],[team-3-win]]</f>
        <v>1</v>
      </c>
    </row>
    <row r="62" spans="1:7" x14ac:dyDescent="0.25">
      <c r="A62" t="s">
        <v>48</v>
      </c>
      <c r="B62">
        <f>COUNTIFS(Scenario3[winner1],ScenarioStat3[[#This Row],[hero-1]],Scenario3[loser1],ScenarioStat3[[#This Row],[hero-2]],Scenario3[loser2],ScenarioStat3[[#This Row],[hero-3]])</f>
        <v>0</v>
      </c>
      <c r="C62" t="s">
        <v>45</v>
      </c>
      <c r="D62">
        <f>COUNTIFS(Scenario3[winner1],ScenarioStat3[[#This Row],[hero-2]],Scenario3[loser1],ScenarioStat3[[#This Row],[hero-1]],Scenario3[loser2],ScenarioStat3[[#This Row],[hero-3]])</f>
        <v>0</v>
      </c>
      <c r="E62" t="s">
        <v>38</v>
      </c>
      <c r="F62">
        <f>COUNTIFS(Scenario3[winner1],ScenarioStat3[[#This Row],[hero-3]],Scenario3[loser1],ScenarioStat3[[#This Row],[hero-1]],Scenario3[loser2],ScenarioStat3[[#This Row],[hero-2]])</f>
        <v>1</v>
      </c>
      <c r="G62">
        <f>ScenarioStat3[[#This Row],[team-1-win]]+ScenarioStat3[[#This Row],[team-2-win]]+ScenarioStat3[[#This Row],[team-3-win]]</f>
        <v>1</v>
      </c>
    </row>
    <row r="63" spans="1:7" x14ac:dyDescent="0.25">
      <c r="A63" t="s">
        <v>48</v>
      </c>
      <c r="B63">
        <f>COUNTIFS(Scenario3[winner1],ScenarioStat3[[#This Row],[hero-1]],Scenario3[loser1],ScenarioStat3[[#This Row],[hero-2]],Scenario3[loser2],ScenarioStat3[[#This Row],[hero-3]])</f>
        <v>1</v>
      </c>
      <c r="C63" t="s">
        <v>45</v>
      </c>
      <c r="D63">
        <f>COUNTIFS(Scenario3[winner1],ScenarioStat3[[#This Row],[hero-2]],Scenario3[loser1],ScenarioStat3[[#This Row],[hero-1]],Scenario3[loser2],ScenarioStat3[[#This Row],[hero-3]])</f>
        <v>0</v>
      </c>
      <c r="E63" t="s">
        <v>227</v>
      </c>
      <c r="F63">
        <f>COUNTIFS(Scenario3[winner1],ScenarioStat3[[#This Row],[hero-3]],Scenario3[loser1],ScenarioStat3[[#This Row],[hero-1]],Scenario3[loser2],ScenarioStat3[[#This Row],[hero-2]])</f>
        <v>0</v>
      </c>
      <c r="G63">
        <f>ScenarioStat3[[#This Row],[team-1-win]]+ScenarioStat3[[#This Row],[team-2-win]]+ScenarioStat3[[#This Row],[team-3-win]]</f>
        <v>1</v>
      </c>
    </row>
    <row r="64" spans="1:7" x14ac:dyDescent="0.25">
      <c r="A64" t="s">
        <v>48</v>
      </c>
      <c r="B64">
        <f>COUNTIFS(Scenario3[winner1],ScenarioStat3[[#This Row],[hero-1]],Scenario3[loser1],ScenarioStat3[[#This Row],[hero-2]],Scenario3[loser2],ScenarioStat3[[#This Row],[hero-3]])</f>
        <v>1</v>
      </c>
      <c r="C64" t="s">
        <v>63</v>
      </c>
      <c r="D64">
        <f>COUNTIFS(Scenario3[winner1],ScenarioStat3[[#This Row],[hero-2]],Scenario3[loser1],ScenarioStat3[[#This Row],[hero-1]],Scenario3[loser2],ScenarioStat3[[#This Row],[hero-3]])</f>
        <v>0</v>
      </c>
      <c r="E64" t="s">
        <v>38</v>
      </c>
      <c r="F64">
        <f>COUNTIFS(Scenario3[winner1],ScenarioStat3[[#This Row],[hero-3]],Scenario3[loser1],ScenarioStat3[[#This Row],[hero-1]],Scenario3[loser2],ScenarioStat3[[#This Row],[hero-2]])</f>
        <v>0</v>
      </c>
      <c r="G64">
        <f>ScenarioStat3[[#This Row],[team-1-win]]+ScenarioStat3[[#This Row],[team-2-win]]+ScenarioStat3[[#This Row],[team-3-win]]</f>
        <v>1</v>
      </c>
    </row>
    <row r="65" spans="1:7" x14ac:dyDescent="0.25">
      <c r="A65" t="s">
        <v>48</v>
      </c>
      <c r="B65">
        <f>COUNTIFS(Scenario3[winner1],ScenarioStat3[[#This Row],[hero-1]],Scenario3[loser1],ScenarioStat3[[#This Row],[hero-2]],Scenario3[loser2],ScenarioStat3[[#This Row],[hero-3]])</f>
        <v>1</v>
      </c>
      <c r="C65" t="s">
        <v>63</v>
      </c>
      <c r="D65">
        <f>COUNTIFS(Scenario3[winner1],ScenarioStat3[[#This Row],[hero-2]],Scenario3[loser1],ScenarioStat3[[#This Row],[hero-1]],Scenario3[loser2],ScenarioStat3[[#This Row],[hero-3]])</f>
        <v>0</v>
      </c>
      <c r="E65" t="s">
        <v>227</v>
      </c>
      <c r="F65">
        <f>COUNTIFS(Scenario3[winner1],ScenarioStat3[[#This Row],[hero-3]],Scenario3[loser1],ScenarioStat3[[#This Row],[hero-1]],Scenario3[loser2],ScenarioStat3[[#This Row],[hero-2]])</f>
        <v>0</v>
      </c>
      <c r="G65">
        <f>ScenarioStat3[[#This Row],[team-1-win]]+ScenarioStat3[[#This Row],[team-2-win]]+ScenarioStat3[[#This Row],[team-3-win]]</f>
        <v>1</v>
      </c>
    </row>
    <row r="66" spans="1:7" x14ac:dyDescent="0.25">
      <c r="A66" t="s">
        <v>48</v>
      </c>
      <c r="B66">
        <f>COUNTIFS(Scenario3[winner1],ScenarioStat3[[#This Row],[hero-1]],Scenario3[loser1],ScenarioStat3[[#This Row],[hero-2]],Scenario3[loser2],ScenarioStat3[[#This Row],[hero-3]])</f>
        <v>1</v>
      </c>
      <c r="C66" t="s">
        <v>38</v>
      </c>
      <c r="D66">
        <f>COUNTIFS(Scenario3[winner1],ScenarioStat3[[#This Row],[hero-2]],Scenario3[loser1],ScenarioStat3[[#This Row],[hero-1]],Scenario3[loser2],ScenarioStat3[[#This Row],[hero-3]])</f>
        <v>0</v>
      </c>
      <c r="E66" t="s">
        <v>227</v>
      </c>
      <c r="F66">
        <f>COUNTIFS(Scenario3[winner1],ScenarioStat3[[#This Row],[hero-3]],Scenario3[loser1],ScenarioStat3[[#This Row],[hero-1]],Scenario3[loser2],ScenarioStat3[[#This Row],[hero-2]])</f>
        <v>0</v>
      </c>
      <c r="G66">
        <f>ScenarioStat3[[#This Row],[team-1-win]]+ScenarioStat3[[#This Row],[team-2-win]]+ScenarioStat3[[#This Row],[team-3-win]]</f>
        <v>1</v>
      </c>
    </row>
    <row r="67" spans="1:7" x14ac:dyDescent="0.25">
      <c r="A67" t="s">
        <v>33</v>
      </c>
      <c r="B67">
        <f>COUNTIFS(Scenario3[winner1],ScenarioStat3[[#This Row],[hero-1]],Scenario3[loser1],ScenarioStat3[[#This Row],[hero-2]],Scenario3[loser2],ScenarioStat3[[#This Row],[hero-3]])</f>
        <v>0</v>
      </c>
      <c r="C67" t="s">
        <v>43</v>
      </c>
      <c r="D67">
        <f>COUNTIFS(Scenario3[winner1],ScenarioStat3[[#This Row],[hero-2]],Scenario3[loser1],ScenarioStat3[[#This Row],[hero-1]],Scenario3[loser2],ScenarioStat3[[#This Row],[hero-3]])</f>
        <v>1</v>
      </c>
      <c r="E67" t="s">
        <v>45</v>
      </c>
      <c r="F67">
        <f>COUNTIFS(Scenario3[winner1],ScenarioStat3[[#This Row],[hero-3]],Scenario3[loser1],ScenarioStat3[[#This Row],[hero-1]],Scenario3[loser2],ScenarioStat3[[#This Row],[hero-2]])</f>
        <v>0</v>
      </c>
      <c r="G67">
        <f>ScenarioStat3[[#This Row],[team-1-win]]+ScenarioStat3[[#This Row],[team-2-win]]+ScenarioStat3[[#This Row],[team-3-win]]</f>
        <v>1</v>
      </c>
    </row>
    <row r="68" spans="1:7" x14ac:dyDescent="0.25">
      <c r="A68" t="s">
        <v>33</v>
      </c>
      <c r="B68">
        <f>COUNTIFS(Scenario3[winner1],ScenarioStat3[[#This Row],[hero-1]],Scenario3[loser1],ScenarioStat3[[#This Row],[hero-2]],Scenario3[loser2],ScenarioStat3[[#This Row],[hero-3]])</f>
        <v>0</v>
      </c>
      <c r="C68" t="s">
        <v>43</v>
      </c>
      <c r="D68">
        <f>COUNTIFS(Scenario3[winner1],ScenarioStat3[[#This Row],[hero-2]],Scenario3[loser1],ScenarioStat3[[#This Row],[hero-1]],Scenario3[loser2],ScenarioStat3[[#This Row],[hero-3]])</f>
        <v>0</v>
      </c>
      <c r="E68" t="s">
        <v>63</v>
      </c>
      <c r="F68">
        <f>COUNTIFS(Scenario3[winner1],ScenarioStat3[[#This Row],[hero-3]],Scenario3[loser1],ScenarioStat3[[#This Row],[hero-1]],Scenario3[loser2],ScenarioStat3[[#This Row],[hero-2]])</f>
        <v>1</v>
      </c>
      <c r="G68">
        <f>ScenarioStat3[[#This Row],[team-1-win]]+ScenarioStat3[[#This Row],[team-2-win]]+ScenarioStat3[[#This Row],[team-3-win]]</f>
        <v>1</v>
      </c>
    </row>
    <row r="69" spans="1:7" x14ac:dyDescent="0.25">
      <c r="A69" t="s">
        <v>33</v>
      </c>
      <c r="B69">
        <f>COUNTIFS(Scenario3[winner1],ScenarioStat3[[#This Row],[hero-1]],Scenario3[loser1],ScenarioStat3[[#This Row],[hero-2]],Scenario3[loser2],ScenarioStat3[[#This Row],[hero-3]])</f>
        <v>0</v>
      </c>
      <c r="C69" t="s">
        <v>43</v>
      </c>
      <c r="D69">
        <f>COUNTIFS(Scenario3[winner1],ScenarioStat3[[#This Row],[hero-2]],Scenario3[loser1],ScenarioStat3[[#This Row],[hero-1]],Scenario3[loser2],ScenarioStat3[[#This Row],[hero-3]])</f>
        <v>0</v>
      </c>
      <c r="E69" t="s">
        <v>38</v>
      </c>
      <c r="F69">
        <f>COUNTIFS(Scenario3[winner1],ScenarioStat3[[#This Row],[hero-3]],Scenario3[loser1],ScenarioStat3[[#This Row],[hero-1]],Scenario3[loser2],ScenarioStat3[[#This Row],[hero-2]])</f>
        <v>1</v>
      </c>
      <c r="G69">
        <f>ScenarioStat3[[#This Row],[team-1-win]]+ScenarioStat3[[#This Row],[team-2-win]]+ScenarioStat3[[#This Row],[team-3-win]]</f>
        <v>1</v>
      </c>
    </row>
    <row r="70" spans="1:7" x14ac:dyDescent="0.25">
      <c r="A70" t="s">
        <v>33</v>
      </c>
      <c r="B70">
        <f>COUNTIFS(Scenario3[winner1],ScenarioStat3[[#This Row],[hero-1]],Scenario3[loser1],ScenarioStat3[[#This Row],[hero-2]],Scenario3[loser2],ScenarioStat3[[#This Row],[hero-3]])</f>
        <v>1</v>
      </c>
      <c r="C70" t="s">
        <v>43</v>
      </c>
      <c r="D70">
        <f>COUNTIFS(Scenario3[winner1],ScenarioStat3[[#This Row],[hero-2]],Scenario3[loser1],ScenarioStat3[[#This Row],[hero-1]],Scenario3[loser2],ScenarioStat3[[#This Row],[hero-3]])</f>
        <v>0</v>
      </c>
      <c r="E70" t="s">
        <v>227</v>
      </c>
      <c r="F70">
        <f>COUNTIFS(Scenario3[winner1],ScenarioStat3[[#This Row],[hero-3]],Scenario3[loser1],ScenarioStat3[[#This Row],[hero-1]],Scenario3[loser2],ScenarioStat3[[#This Row],[hero-2]])</f>
        <v>0</v>
      </c>
      <c r="G70">
        <f>ScenarioStat3[[#This Row],[team-1-win]]+ScenarioStat3[[#This Row],[team-2-win]]+ScenarioStat3[[#This Row],[team-3-win]]</f>
        <v>1</v>
      </c>
    </row>
    <row r="71" spans="1:7" x14ac:dyDescent="0.25">
      <c r="A71" t="s">
        <v>33</v>
      </c>
      <c r="B71">
        <f>COUNTIFS(Scenario3[winner1],ScenarioStat3[[#This Row],[hero-1]],Scenario3[loser1],ScenarioStat3[[#This Row],[hero-2]],Scenario3[loser2],ScenarioStat3[[#This Row],[hero-3]])</f>
        <v>0</v>
      </c>
      <c r="C71" t="s">
        <v>45</v>
      </c>
      <c r="D71">
        <f>COUNTIFS(Scenario3[winner1],ScenarioStat3[[#This Row],[hero-2]],Scenario3[loser1],ScenarioStat3[[#This Row],[hero-1]],Scenario3[loser2],ScenarioStat3[[#This Row],[hero-3]])</f>
        <v>1</v>
      </c>
      <c r="E71" t="s">
        <v>63</v>
      </c>
      <c r="F71">
        <f>COUNTIFS(Scenario3[winner1],ScenarioStat3[[#This Row],[hero-3]],Scenario3[loser1],ScenarioStat3[[#This Row],[hero-1]],Scenario3[loser2],ScenarioStat3[[#This Row],[hero-2]])</f>
        <v>0</v>
      </c>
      <c r="G71">
        <f>ScenarioStat3[[#This Row],[team-1-win]]+ScenarioStat3[[#This Row],[team-2-win]]+ScenarioStat3[[#This Row],[team-3-win]]</f>
        <v>1</v>
      </c>
    </row>
    <row r="72" spans="1:7" x14ac:dyDescent="0.25">
      <c r="A72" t="s">
        <v>33</v>
      </c>
      <c r="B72">
        <f>COUNTIFS(Scenario3[winner1],ScenarioStat3[[#This Row],[hero-1]],Scenario3[loser1],ScenarioStat3[[#This Row],[hero-2]],Scenario3[loser2],ScenarioStat3[[#This Row],[hero-3]])</f>
        <v>0</v>
      </c>
      <c r="C72" t="s">
        <v>45</v>
      </c>
      <c r="D72">
        <f>COUNTIFS(Scenario3[winner1],ScenarioStat3[[#This Row],[hero-2]],Scenario3[loser1],ScenarioStat3[[#This Row],[hero-1]],Scenario3[loser2],ScenarioStat3[[#This Row],[hero-3]])</f>
        <v>1</v>
      </c>
      <c r="E72" t="s">
        <v>38</v>
      </c>
      <c r="F72">
        <f>COUNTIFS(Scenario3[winner1],ScenarioStat3[[#This Row],[hero-3]],Scenario3[loser1],ScenarioStat3[[#This Row],[hero-1]],Scenario3[loser2],ScenarioStat3[[#This Row],[hero-2]])</f>
        <v>0</v>
      </c>
      <c r="G72">
        <f>ScenarioStat3[[#This Row],[team-1-win]]+ScenarioStat3[[#This Row],[team-2-win]]+ScenarioStat3[[#This Row],[team-3-win]]</f>
        <v>1</v>
      </c>
    </row>
    <row r="73" spans="1:7" x14ac:dyDescent="0.25">
      <c r="A73" t="s">
        <v>33</v>
      </c>
      <c r="B73">
        <f>COUNTIFS(Scenario3[winner1],ScenarioStat3[[#This Row],[hero-1]],Scenario3[loser1],ScenarioStat3[[#This Row],[hero-2]],Scenario3[loser2],ScenarioStat3[[#This Row],[hero-3]])</f>
        <v>0</v>
      </c>
      <c r="C73" t="s">
        <v>45</v>
      </c>
      <c r="D73">
        <f>COUNTIFS(Scenario3[winner1],ScenarioStat3[[#This Row],[hero-2]],Scenario3[loser1],ScenarioStat3[[#This Row],[hero-1]],Scenario3[loser2],ScenarioStat3[[#This Row],[hero-3]])</f>
        <v>0</v>
      </c>
      <c r="E73" t="s">
        <v>227</v>
      </c>
      <c r="F73">
        <f>COUNTIFS(Scenario3[winner1],ScenarioStat3[[#This Row],[hero-3]],Scenario3[loser1],ScenarioStat3[[#This Row],[hero-1]],Scenario3[loser2],ScenarioStat3[[#This Row],[hero-2]])</f>
        <v>1</v>
      </c>
      <c r="G73">
        <f>ScenarioStat3[[#This Row],[team-1-win]]+ScenarioStat3[[#This Row],[team-2-win]]+ScenarioStat3[[#This Row],[team-3-win]]</f>
        <v>1</v>
      </c>
    </row>
    <row r="74" spans="1:7" x14ac:dyDescent="0.25">
      <c r="A74" t="s">
        <v>33</v>
      </c>
      <c r="B74">
        <f>COUNTIFS(Scenario3[winner1],ScenarioStat3[[#This Row],[hero-1]],Scenario3[loser1],ScenarioStat3[[#This Row],[hero-2]],Scenario3[loser2],ScenarioStat3[[#This Row],[hero-3]])</f>
        <v>0</v>
      </c>
      <c r="C74" t="s">
        <v>63</v>
      </c>
      <c r="D74">
        <f>COUNTIFS(Scenario3[winner1],ScenarioStat3[[#This Row],[hero-2]],Scenario3[loser1],ScenarioStat3[[#This Row],[hero-1]],Scenario3[loser2],ScenarioStat3[[#This Row],[hero-3]])</f>
        <v>1</v>
      </c>
      <c r="E74" t="s">
        <v>38</v>
      </c>
      <c r="F74">
        <f>COUNTIFS(Scenario3[winner1],ScenarioStat3[[#This Row],[hero-3]],Scenario3[loser1],ScenarioStat3[[#This Row],[hero-1]],Scenario3[loser2],ScenarioStat3[[#This Row],[hero-2]])</f>
        <v>0</v>
      </c>
      <c r="G74">
        <f>ScenarioStat3[[#This Row],[team-1-win]]+ScenarioStat3[[#This Row],[team-2-win]]+ScenarioStat3[[#This Row],[team-3-win]]</f>
        <v>1</v>
      </c>
    </row>
    <row r="75" spans="1:7" x14ac:dyDescent="0.25">
      <c r="A75" t="s">
        <v>33</v>
      </c>
      <c r="B75">
        <f>COUNTIFS(Scenario3[winner1],ScenarioStat3[[#This Row],[hero-1]],Scenario3[loser1],ScenarioStat3[[#This Row],[hero-2]],Scenario3[loser2],ScenarioStat3[[#This Row],[hero-3]])</f>
        <v>0</v>
      </c>
      <c r="C75" t="s">
        <v>63</v>
      </c>
      <c r="D75">
        <f>COUNTIFS(Scenario3[winner1],ScenarioStat3[[#This Row],[hero-2]],Scenario3[loser1],ScenarioStat3[[#This Row],[hero-1]],Scenario3[loser2],ScenarioStat3[[#This Row],[hero-3]])</f>
        <v>1</v>
      </c>
      <c r="E75" t="s">
        <v>227</v>
      </c>
      <c r="F75">
        <f>COUNTIFS(Scenario3[winner1],ScenarioStat3[[#This Row],[hero-3]],Scenario3[loser1],ScenarioStat3[[#This Row],[hero-1]],Scenario3[loser2],ScenarioStat3[[#This Row],[hero-2]])</f>
        <v>0</v>
      </c>
      <c r="G75">
        <f>ScenarioStat3[[#This Row],[team-1-win]]+ScenarioStat3[[#This Row],[team-2-win]]+ScenarioStat3[[#This Row],[team-3-win]]</f>
        <v>1</v>
      </c>
    </row>
    <row r="76" spans="1:7" x14ac:dyDescent="0.25">
      <c r="A76" t="s">
        <v>33</v>
      </c>
      <c r="B76">
        <f>COUNTIFS(Scenario3[winner1],ScenarioStat3[[#This Row],[hero-1]],Scenario3[loser1],ScenarioStat3[[#This Row],[hero-2]],Scenario3[loser2],ScenarioStat3[[#This Row],[hero-3]])</f>
        <v>0</v>
      </c>
      <c r="C76" t="s">
        <v>38</v>
      </c>
      <c r="D76">
        <f>COUNTIFS(Scenario3[winner1],ScenarioStat3[[#This Row],[hero-2]],Scenario3[loser1],ScenarioStat3[[#This Row],[hero-1]],Scenario3[loser2],ScenarioStat3[[#This Row],[hero-3]])</f>
        <v>1</v>
      </c>
      <c r="E76" t="s">
        <v>227</v>
      </c>
      <c r="F76">
        <f>COUNTIFS(Scenario3[winner1],ScenarioStat3[[#This Row],[hero-3]],Scenario3[loser1],ScenarioStat3[[#This Row],[hero-1]],Scenario3[loser2],ScenarioStat3[[#This Row],[hero-2]])</f>
        <v>0</v>
      </c>
      <c r="G76">
        <f>ScenarioStat3[[#This Row],[team-1-win]]+ScenarioStat3[[#This Row],[team-2-win]]+ScenarioStat3[[#This Row],[team-3-win]]</f>
        <v>1</v>
      </c>
    </row>
    <row r="77" spans="1:7" x14ac:dyDescent="0.25">
      <c r="A77" t="s">
        <v>43</v>
      </c>
      <c r="B77">
        <f>COUNTIFS(Scenario3[winner1],ScenarioStat3[[#This Row],[hero-1]],Scenario3[loser1],ScenarioStat3[[#This Row],[hero-2]],Scenario3[loser2],ScenarioStat3[[#This Row],[hero-3]])</f>
        <v>1</v>
      </c>
      <c r="C77" t="s">
        <v>45</v>
      </c>
      <c r="D77">
        <f>COUNTIFS(Scenario3[winner1],ScenarioStat3[[#This Row],[hero-2]],Scenario3[loser1],ScenarioStat3[[#This Row],[hero-1]],Scenario3[loser2],ScenarioStat3[[#This Row],[hero-3]])</f>
        <v>0</v>
      </c>
      <c r="E77" t="s">
        <v>63</v>
      </c>
      <c r="F77">
        <f>COUNTIFS(Scenario3[winner1],ScenarioStat3[[#This Row],[hero-3]],Scenario3[loser1],ScenarioStat3[[#This Row],[hero-1]],Scenario3[loser2],ScenarioStat3[[#This Row],[hero-2]])</f>
        <v>0</v>
      </c>
      <c r="G77">
        <f>ScenarioStat3[[#This Row],[team-1-win]]+ScenarioStat3[[#This Row],[team-2-win]]+ScenarioStat3[[#This Row],[team-3-win]]</f>
        <v>1</v>
      </c>
    </row>
    <row r="78" spans="1:7" x14ac:dyDescent="0.25">
      <c r="A78" t="s">
        <v>43</v>
      </c>
      <c r="B78">
        <f>COUNTIFS(Scenario3[winner1],ScenarioStat3[[#This Row],[hero-1]],Scenario3[loser1],ScenarioStat3[[#This Row],[hero-2]],Scenario3[loser2],ScenarioStat3[[#This Row],[hero-3]])</f>
        <v>0</v>
      </c>
      <c r="C78" t="s">
        <v>45</v>
      </c>
      <c r="D78">
        <f>COUNTIFS(Scenario3[winner1],ScenarioStat3[[#This Row],[hero-2]],Scenario3[loser1],ScenarioStat3[[#This Row],[hero-1]],Scenario3[loser2],ScenarioStat3[[#This Row],[hero-3]])</f>
        <v>1</v>
      </c>
      <c r="E78" t="s">
        <v>38</v>
      </c>
      <c r="F78">
        <f>COUNTIFS(Scenario3[winner1],ScenarioStat3[[#This Row],[hero-3]],Scenario3[loser1],ScenarioStat3[[#This Row],[hero-1]],Scenario3[loser2],ScenarioStat3[[#This Row],[hero-2]])</f>
        <v>0</v>
      </c>
      <c r="G78">
        <f>ScenarioStat3[[#This Row],[team-1-win]]+ScenarioStat3[[#This Row],[team-2-win]]+ScenarioStat3[[#This Row],[team-3-win]]</f>
        <v>1</v>
      </c>
    </row>
    <row r="79" spans="1:7" x14ac:dyDescent="0.25">
      <c r="A79" t="s">
        <v>43</v>
      </c>
      <c r="B79">
        <f>COUNTIFS(Scenario3[winner1],ScenarioStat3[[#This Row],[hero-1]],Scenario3[loser1],ScenarioStat3[[#This Row],[hero-2]],Scenario3[loser2],ScenarioStat3[[#This Row],[hero-3]])</f>
        <v>1</v>
      </c>
      <c r="C79" t="s">
        <v>45</v>
      </c>
      <c r="D79">
        <f>COUNTIFS(Scenario3[winner1],ScenarioStat3[[#This Row],[hero-2]],Scenario3[loser1],ScenarioStat3[[#This Row],[hero-1]],Scenario3[loser2],ScenarioStat3[[#This Row],[hero-3]])</f>
        <v>0</v>
      </c>
      <c r="E79" t="s">
        <v>227</v>
      </c>
      <c r="F79">
        <f>COUNTIFS(Scenario3[winner1],ScenarioStat3[[#This Row],[hero-3]],Scenario3[loser1],ScenarioStat3[[#This Row],[hero-1]],Scenario3[loser2],ScenarioStat3[[#This Row],[hero-2]])</f>
        <v>0</v>
      </c>
      <c r="G79">
        <f>ScenarioStat3[[#This Row],[team-1-win]]+ScenarioStat3[[#This Row],[team-2-win]]+ScenarioStat3[[#This Row],[team-3-win]]</f>
        <v>1</v>
      </c>
    </row>
    <row r="80" spans="1:7" x14ac:dyDescent="0.25">
      <c r="A80" t="s">
        <v>43</v>
      </c>
      <c r="B80">
        <f>COUNTIFS(Scenario3[winner1],ScenarioStat3[[#This Row],[hero-1]],Scenario3[loser1],ScenarioStat3[[#This Row],[hero-2]],Scenario3[loser2],ScenarioStat3[[#This Row],[hero-3]])</f>
        <v>1</v>
      </c>
      <c r="C80" t="s">
        <v>63</v>
      </c>
      <c r="D80">
        <f>COUNTIFS(Scenario3[winner1],ScenarioStat3[[#This Row],[hero-2]],Scenario3[loser1],ScenarioStat3[[#This Row],[hero-1]],Scenario3[loser2],ScenarioStat3[[#This Row],[hero-3]])</f>
        <v>0</v>
      </c>
      <c r="E80" t="s">
        <v>38</v>
      </c>
      <c r="F80">
        <f>COUNTIFS(Scenario3[winner1],ScenarioStat3[[#This Row],[hero-3]],Scenario3[loser1],ScenarioStat3[[#This Row],[hero-1]],Scenario3[loser2],ScenarioStat3[[#This Row],[hero-2]])</f>
        <v>0</v>
      </c>
      <c r="G80">
        <f>ScenarioStat3[[#This Row],[team-1-win]]+ScenarioStat3[[#This Row],[team-2-win]]+ScenarioStat3[[#This Row],[team-3-win]]</f>
        <v>1</v>
      </c>
    </row>
    <row r="81" spans="1:7" x14ac:dyDescent="0.25">
      <c r="A81" t="s">
        <v>43</v>
      </c>
      <c r="B81">
        <f>COUNTIFS(Scenario3[winner1],ScenarioStat3[[#This Row],[hero-1]],Scenario3[loser1],ScenarioStat3[[#This Row],[hero-2]],Scenario3[loser2],ScenarioStat3[[#This Row],[hero-3]])</f>
        <v>0</v>
      </c>
      <c r="C81" t="s">
        <v>63</v>
      </c>
      <c r="D81">
        <f>COUNTIFS(Scenario3[winner1],ScenarioStat3[[#This Row],[hero-2]],Scenario3[loser1],ScenarioStat3[[#This Row],[hero-1]],Scenario3[loser2],ScenarioStat3[[#This Row],[hero-3]])</f>
        <v>1</v>
      </c>
      <c r="E81" t="s">
        <v>227</v>
      </c>
      <c r="F81">
        <f>COUNTIFS(Scenario3[winner1],ScenarioStat3[[#This Row],[hero-3]],Scenario3[loser1],ScenarioStat3[[#This Row],[hero-1]],Scenario3[loser2],ScenarioStat3[[#This Row],[hero-2]])</f>
        <v>0</v>
      </c>
      <c r="G81">
        <f>ScenarioStat3[[#This Row],[team-1-win]]+ScenarioStat3[[#This Row],[team-2-win]]+ScenarioStat3[[#This Row],[team-3-win]]</f>
        <v>1</v>
      </c>
    </row>
    <row r="82" spans="1:7" x14ac:dyDescent="0.25">
      <c r="A82" t="s">
        <v>43</v>
      </c>
      <c r="B82">
        <f>COUNTIFS(Scenario3[winner1],ScenarioStat3[[#This Row],[hero-1]],Scenario3[loser1],ScenarioStat3[[#This Row],[hero-2]],Scenario3[loser2],ScenarioStat3[[#This Row],[hero-3]])</f>
        <v>0</v>
      </c>
      <c r="C82" t="s">
        <v>38</v>
      </c>
      <c r="D82">
        <f>COUNTIFS(Scenario3[winner1],ScenarioStat3[[#This Row],[hero-2]],Scenario3[loser1],ScenarioStat3[[#This Row],[hero-1]],Scenario3[loser2],ScenarioStat3[[#This Row],[hero-3]])</f>
        <v>1</v>
      </c>
      <c r="E82" t="s">
        <v>227</v>
      </c>
      <c r="F82">
        <f>COUNTIFS(Scenario3[winner1],ScenarioStat3[[#This Row],[hero-3]],Scenario3[loser1],ScenarioStat3[[#This Row],[hero-1]],Scenario3[loser2],ScenarioStat3[[#This Row],[hero-2]])</f>
        <v>0</v>
      </c>
      <c r="G82">
        <f>ScenarioStat3[[#This Row],[team-1-win]]+ScenarioStat3[[#This Row],[team-2-win]]+ScenarioStat3[[#This Row],[team-3-win]]</f>
        <v>1</v>
      </c>
    </row>
    <row r="83" spans="1:7" x14ac:dyDescent="0.25">
      <c r="A83" t="s">
        <v>45</v>
      </c>
      <c r="B83">
        <f>COUNTIFS(Scenario3[winner1],ScenarioStat3[[#This Row],[hero-1]],Scenario3[loser1],ScenarioStat3[[#This Row],[hero-2]],Scenario3[loser2],ScenarioStat3[[#This Row],[hero-3]])</f>
        <v>0</v>
      </c>
      <c r="C83" t="s">
        <v>63</v>
      </c>
      <c r="D83">
        <f>COUNTIFS(Scenario3[winner1],ScenarioStat3[[#This Row],[hero-2]],Scenario3[loser1],ScenarioStat3[[#This Row],[hero-1]],Scenario3[loser2],ScenarioStat3[[#This Row],[hero-3]])</f>
        <v>1</v>
      </c>
      <c r="E83" t="s">
        <v>38</v>
      </c>
      <c r="F83">
        <f>COUNTIFS(Scenario3[winner1],ScenarioStat3[[#This Row],[hero-3]],Scenario3[loser1],ScenarioStat3[[#This Row],[hero-1]],Scenario3[loser2],ScenarioStat3[[#This Row],[hero-2]])</f>
        <v>0</v>
      </c>
      <c r="G83">
        <f>ScenarioStat3[[#This Row],[team-1-win]]+ScenarioStat3[[#This Row],[team-2-win]]+ScenarioStat3[[#This Row],[team-3-win]]</f>
        <v>1</v>
      </c>
    </row>
    <row r="84" spans="1:7" x14ac:dyDescent="0.25">
      <c r="A84" t="s">
        <v>45</v>
      </c>
      <c r="B84">
        <f>COUNTIFS(Scenario3[winner1],ScenarioStat3[[#This Row],[hero-1]],Scenario3[loser1],ScenarioStat3[[#This Row],[hero-2]],Scenario3[loser2],ScenarioStat3[[#This Row],[hero-3]])</f>
        <v>0</v>
      </c>
      <c r="C84" t="s">
        <v>63</v>
      </c>
      <c r="D84">
        <f>COUNTIFS(Scenario3[winner1],ScenarioStat3[[#This Row],[hero-2]],Scenario3[loser1],ScenarioStat3[[#This Row],[hero-1]],Scenario3[loser2],ScenarioStat3[[#This Row],[hero-3]])</f>
        <v>0</v>
      </c>
      <c r="E84" t="s">
        <v>227</v>
      </c>
      <c r="F84">
        <f>COUNTIFS(Scenario3[winner1],ScenarioStat3[[#This Row],[hero-3]],Scenario3[loser1],ScenarioStat3[[#This Row],[hero-1]],Scenario3[loser2],ScenarioStat3[[#This Row],[hero-2]])</f>
        <v>1</v>
      </c>
      <c r="G84">
        <f>ScenarioStat3[[#This Row],[team-1-win]]+ScenarioStat3[[#This Row],[team-2-win]]+ScenarioStat3[[#This Row],[team-3-win]]</f>
        <v>1</v>
      </c>
    </row>
    <row r="85" spans="1:7" x14ac:dyDescent="0.25">
      <c r="A85" t="s">
        <v>45</v>
      </c>
      <c r="B85">
        <f>COUNTIFS(Scenario3[winner1],ScenarioStat3[[#This Row],[hero-1]],Scenario3[loser1],ScenarioStat3[[#This Row],[hero-2]],Scenario3[loser2],ScenarioStat3[[#This Row],[hero-3]])</f>
        <v>0</v>
      </c>
      <c r="C85" t="s">
        <v>38</v>
      </c>
      <c r="D85">
        <f>COUNTIFS(Scenario3[winner1],ScenarioStat3[[#This Row],[hero-2]],Scenario3[loser1],ScenarioStat3[[#This Row],[hero-1]],Scenario3[loser2],ScenarioStat3[[#This Row],[hero-3]])</f>
        <v>0</v>
      </c>
      <c r="E85" t="s">
        <v>227</v>
      </c>
      <c r="F85">
        <f>COUNTIFS(Scenario3[winner1],ScenarioStat3[[#This Row],[hero-3]],Scenario3[loser1],ScenarioStat3[[#This Row],[hero-1]],Scenario3[loser2],ScenarioStat3[[#This Row],[hero-2]])</f>
        <v>1</v>
      </c>
      <c r="G85">
        <f>ScenarioStat3[[#This Row],[team-1-win]]+ScenarioStat3[[#This Row],[team-2-win]]+ScenarioStat3[[#This Row],[team-3-win]]</f>
        <v>1</v>
      </c>
    </row>
    <row r="86" spans="1:7" x14ac:dyDescent="0.25">
      <c r="A86" t="s">
        <v>63</v>
      </c>
      <c r="B86">
        <f>COUNTIFS(Scenario3[winner1],ScenarioStat3[[#This Row],[hero-1]],Scenario3[loser1],ScenarioStat3[[#This Row],[hero-2]],Scenario3[loser2],ScenarioStat3[[#This Row],[hero-3]])</f>
        <v>0</v>
      </c>
      <c r="C86" t="s">
        <v>38</v>
      </c>
      <c r="D86">
        <f>COUNTIFS(Scenario3[winner1],ScenarioStat3[[#This Row],[hero-2]],Scenario3[loser1],ScenarioStat3[[#This Row],[hero-1]],Scenario3[loser2],ScenarioStat3[[#This Row],[hero-3]])</f>
        <v>1</v>
      </c>
      <c r="E86" t="s">
        <v>227</v>
      </c>
      <c r="F86">
        <f>COUNTIFS(Scenario3[winner1],ScenarioStat3[[#This Row],[hero-3]],Scenario3[loser1],ScenarioStat3[[#This Row],[hero-1]],Scenario3[loser2],ScenarioStat3[[#This Row],[hero-2]])</f>
        <v>0</v>
      </c>
      <c r="G86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127"/>
  <sheetViews>
    <sheetView topLeftCell="A94" workbookViewId="0">
      <selection activeCell="A2" sqref="A2:AJ127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1157</v>
      </c>
      <c r="B2">
        <v>0</v>
      </c>
      <c r="C2" t="s">
        <v>48</v>
      </c>
      <c r="D2">
        <v>3</v>
      </c>
      <c r="F2">
        <v>3</v>
      </c>
      <c r="G2" t="s">
        <v>126</v>
      </c>
      <c r="H2" t="s">
        <v>84</v>
      </c>
      <c r="I2" t="s">
        <v>90</v>
      </c>
      <c r="J2" t="s">
        <v>128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97</v>
      </c>
      <c r="R2" t="s">
        <v>115</v>
      </c>
      <c r="S2" t="s">
        <v>56</v>
      </c>
      <c r="T2">
        <v>2</v>
      </c>
      <c r="V2">
        <v>2</v>
      </c>
      <c r="W2" t="s">
        <v>120</v>
      </c>
      <c r="X2" t="s">
        <v>121</v>
      </c>
      <c r="Y2" t="s">
        <v>87</v>
      </c>
      <c r="Z2" t="s">
        <v>125</v>
      </c>
      <c r="AA2" t="s">
        <v>33</v>
      </c>
      <c r="AB2">
        <v>3</v>
      </c>
      <c r="AD2">
        <v>3</v>
      </c>
      <c r="AE2" t="s">
        <v>65</v>
      </c>
      <c r="AF2" t="s">
        <v>130</v>
      </c>
      <c r="AG2" t="s">
        <v>36</v>
      </c>
      <c r="AH2" t="s">
        <v>37</v>
      </c>
      <c r="AI2">
        <v>0</v>
      </c>
      <c r="AJ2">
        <v>36</v>
      </c>
    </row>
    <row r="3" spans="1:36" x14ac:dyDescent="0.25">
      <c r="A3" s="36" t="s">
        <v>1158</v>
      </c>
      <c r="B3">
        <v>1</v>
      </c>
      <c r="C3" t="s">
        <v>53</v>
      </c>
      <c r="D3">
        <v>3</v>
      </c>
      <c r="E3">
        <v>3</v>
      </c>
      <c r="F3">
        <v>3</v>
      </c>
      <c r="G3" t="s">
        <v>112</v>
      </c>
      <c r="H3" t="s">
        <v>83</v>
      </c>
      <c r="I3" t="s">
        <v>97</v>
      </c>
      <c r="J3" t="s">
        <v>115</v>
      </c>
      <c r="K3" t="s">
        <v>56</v>
      </c>
      <c r="L3">
        <v>3</v>
      </c>
      <c r="N3">
        <v>3</v>
      </c>
      <c r="O3" t="s">
        <v>120</v>
      </c>
      <c r="P3" t="s">
        <v>121</v>
      </c>
      <c r="Q3" t="s">
        <v>85</v>
      </c>
      <c r="R3" t="s">
        <v>125</v>
      </c>
      <c r="S3" t="s">
        <v>48</v>
      </c>
      <c r="T3">
        <v>3</v>
      </c>
      <c r="V3">
        <v>3</v>
      </c>
      <c r="W3" t="s">
        <v>126</v>
      </c>
      <c r="X3" t="s">
        <v>84</v>
      </c>
      <c r="Y3" t="s">
        <v>90</v>
      </c>
      <c r="Z3" t="s">
        <v>128</v>
      </c>
      <c r="AA3" t="s">
        <v>43</v>
      </c>
      <c r="AB3">
        <v>2</v>
      </c>
      <c r="AD3">
        <v>2</v>
      </c>
      <c r="AE3" t="s">
        <v>73</v>
      </c>
      <c r="AF3" t="s">
        <v>74</v>
      </c>
      <c r="AG3" t="s">
        <v>100</v>
      </c>
      <c r="AH3" t="s">
        <v>101</v>
      </c>
      <c r="AI3">
        <v>0</v>
      </c>
      <c r="AJ3">
        <v>54</v>
      </c>
    </row>
    <row r="4" spans="1:36" x14ac:dyDescent="0.25">
      <c r="A4" t="s">
        <v>1159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114</v>
      </c>
      <c r="J4" t="s">
        <v>98</v>
      </c>
      <c r="K4" t="s">
        <v>56</v>
      </c>
      <c r="L4">
        <v>3</v>
      </c>
      <c r="N4">
        <v>3</v>
      </c>
      <c r="O4" t="s">
        <v>68</v>
      </c>
      <c r="P4" t="s">
        <v>69</v>
      </c>
      <c r="Q4" t="s">
        <v>85</v>
      </c>
      <c r="R4" t="s">
        <v>88</v>
      </c>
      <c r="S4" t="s">
        <v>48</v>
      </c>
      <c r="T4">
        <v>3</v>
      </c>
      <c r="V4">
        <v>3</v>
      </c>
      <c r="W4" t="s">
        <v>126</v>
      </c>
      <c r="X4" t="s">
        <v>84</v>
      </c>
      <c r="Y4" t="s">
        <v>90</v>
      </c>
      <c r="Z4" t="s">
        <v>52</v>
      </c>
      <c r="AA4" t="s">
        <v>45</v>
      </c>
      <c r="AB4">
        <v>1</v>
      </c>
      <c r="AD4">
        <v>1</v>
      </c>
      <c r="AE4" t="s">
        <v>86</v>
      </c>
      <c r="AF4" t="s">
        <v>141</v>
      </c>
      <c r="AG4" t="s">
        <v>102</v>
      </c>
      <c r="AH4" t="s">
        <v>94</v>
      </c>
      <c r="AI4">
        <v>0</v>
      </c>
      <c r="AJ4">
        <v>43</v>
      </c>
    </row>
    <row r="5" spans="1:36" x14ac:dyDescent="0.25">
      <c r="A5" t="s">
        <v>1160</v>
      </c>
      <c r="B5">
        <v>3</v>
      </c>
      <c r="C5" t="s">
        <v>63</v>
      </c>
      <c r="D5">
        <v>3</v>
      </c>
      <c r="F5">
        <v>3</v>
      </c>
      <c r="G5" t="s">
        <v>103</v>
      </c>
      <c r="H5" t="s">
        <v>91</v>
      </c>
      <c r="I5" t="s">
        <v>148</v>
      </c>
      <c r="J5" t="s">
        <v>151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97</v>
      </c>
      <c r="R5" t="s">
        <v>98</v>
      </c>
      <c r="S5" t="s">
        <v>56</v>
      </c>
      <c r="T5">
        <v>3</v>
      </c>
      <c r="V5">
        <v>3</v>
      </c>
      <c r="W5" t="s">
        <v>120</v>
      </c>
      <c r="X5" t="s">
        <v>121</v>
      </c>
      <c r="Y5" t="s">
        <v>85</v>
      </c>
      <c r="Z5" t="s">
        <v>124</v>
      </c>
      <c r="AA5" t="s">
        <v>48</v>
      </c>
      <c r="AB5">
        <v>3</v>
      </c>
      <c r="AD5">
        <v>3</v>
      </c>
      <c r="AE5" t="s">
        <v>126</v>
      </c>
      <c r="AF5" t="s">
        <v>84</v>
      </c>
      <c r="AG5" t="s">
        <v>90</v>
      </c>
      <c r="AH5" t="s">
        <v>128</v>
      </c>
      <c r="AI5">
        <v>0</v>
      </c>
      <c r="AJ5">
        <v>68</v>
      </c>
    </row>
    <row r="6" spans="1:36" x14ac:dyDescent="0.25">
      <c r="A6" t="s">
        <v>1161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122</v>
      </c>
      <c r="Q6" t="s">
        <v>85</v>
      </c>
      <c r="R6" t="s">
        <v>125</v>
      </c>
      <c r="S6" t="s">
        <v>48</v>
      </c>
      <c r="T6">
        <v>3</v>
      </c>
      <c r="V6">
        <v>3</v>
      </c>
      <c r="W6" t="s">
        <v>126</v>
      </c>
      <c r="X6" t="s">
        <v>84</v>
      </c>
      <c r="Y6" t="s">
        <v>90</v>
      </c>
      <c r="Z6" t="s">
        <v>128</v>
      </c>
      <c r="AA6" t="s">
        <v>38</v>
      </c>
      <c r="AB6">
        <v>2</v>
      </c>
      <c r="AC6">
        <v>2</v>
      </c>
      <c r="AD6">
        <v>1</v>
      </c>
      <c r="AE6" t="s">
        <v>39</v>
      </c>
      <c r="AF6" t="s">
        <v>40</v>
      </c>
      <c r="AG6" t="s">
        <v>41</v>
      </c>
      <c r="AH6" t="s">
        <v>156</v>
      </c>
      <c r="AI6">
        <v>0</v>
      </c>
      <c r="AJ6">
        <v>52</v>
      </c>
    </row>
    <row r="7" spans="1:36" x14ac:dyDescent="0.25">
      <c r="A7" t="s">
        <v>1162</v>
      </c>
      <c r="B7">
        <v>5</v>
      </c>
      <c r="C7" t="s">
        <v>227</v>
      </c>
      <c r="D7">
        <v>3</v>
      </c>
      <c r="E7">
        <v>3</v>
      </c>
      <c r="F7">
        <v>3</v>
      </c>
      <c r="G7" t="s">
        <v>228</v>
      </c>
      <c r="H7" t="s">
        <v>233</v>
      </c>
      <c r="I7" t="s">
        <v>235</v>
      </c>
      <c r="J7" t="s">
        <v>237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55</v>
      </c>
      <c r="Q7" t="s">
        <v>97</v>
      </c>
      <c r="R7" t="s">
        <v>98</v>
      </c>
      <c r="S7" t="s">
        <v>56</v>
      </c>
      <c r="T7">
        <v>3</v>
      </c>
      <c r="V7">
        <v>3</v>
      </c>
      <c r="W7" t="s">
        <v>120</v>
      </c>
      <c r="X7" t="s">
        <v>121</v>
      </c>
      <c r="Y7" t="s">
        <v>85</v>
      </c>
      <c r="Z7" t="s">
        <v>124</v>
      </c>
      <c r="AA7" t="s">
        <v>48</v>
      </c>
      <c r="AB7">
        <v>3</v>
      </c>
      <c r="AD7">
        <v>3</v>
      </c>
      <c r="AE7" t="s">
        <v>126</v>
      </c>
      <c r="AF7" t="s">
        <v>84</v>
      </c>
      <c r="AG7" t="s">
        <v>90</v>
      </c>
      <c r="AH7" t="s">
        <v>128</v>
      </c>
      <c r="AI7">
        <v>0</v>
      </c>
      <c r="AJ7">
        <v>57</v>
      </c>
    </row>
    <row r="8" spans="1:36" x14ac:dyDescent="0.25">
      <c r="A8" t="s">
        <v>1163</v>
      </c>
      <c r="B8">
        <v>6</v>
      </c>
      <c r="C8" t="s">
        <v>56</v>
      </c>
      <c r="D8">
        <v>3</v>
      </c>
      <c r="F8">
        <v>3</v>
      </c>
      <c r="G8" t="s">
        <v>120</v>
      </c>
      <c r="H8" t="s">
        <v>122</v>
      </c>
      <c r="I8" t="s">
        <v>85</v>
      </c>
      <c r="J8" t="s">
        <v>88</v>
      </c>
      <c r="K8" t="s">
        <v>53</v>
      </c>
      <c r="L8">
        <v>1</v>
      </c>
      <c r="M8">
        <v>3</v>
      </c>
      <c r="N8">
        <v>3</v>
      </c>
      <c r="O8" t="s">
        <v>112</v>
      </c>
      <c r="S8" t="s">
        <v>33</v>
      </c>
      <c r="T8">
        <v>3</v>
      </c>
      <c r="V8">
        <v>3</v>
      </c>
      <c r="W8" t="s">
        <v>65</v>
      </c>
      <c r="X8" t="s">
        <v>130</v>
      </c>
      <c r="Y8" t="s">
        <v>36</v>
      </c>
      <c r="Z8" t="s">
        <v>37</v>
      </c>
      <c r="AA8" t="s">
        <v>43</v>
      </c>
      <c r="AB8">
        <v>3</v>
      </c>
      <c r="AD8">
        <v>3</v>
      </c>
      <c r="AE8" t="s">
        <v>73</v>
      </c>
      <c r="AF8" t="s">
        <v>136</v>
      </c>
      <c r="AG8" t="s">
        <v>137</v>
      </c>
      <c r="AH8" t="s">
        <v>139</v>
      </c>
      <c r="AI8">
        <v>0</v>
      </c>
      <c r="AJ8">
        <v>32</v>
      </c>
    </row>
    <row r="9" spans="1:36" x14ac:dyDescent="0.25">
      <c r="A9" t="s">
        <v>1164</v>
      </c>
      <c r="B9">
        <v>7</v>
      </c>
      <c r="C9" t="s">
        <v>33</v>
      </c>
      <c r="D9">
        <v>3</v>
      </c>
      <c r="F9">
        <v>3</v>
      </c>
      <c r="G9" t="s">
        <v>65</v>
      </c>
      <c r="H9" t="s">
        <v>130</v>
      </c>
      <c r="I9" t="s">
        <v>36</v>
      </c>
      <c r="J9" t="s">
        <v>133</v>
      </c>
      <c r="K9" t="s">
        <v>53</v>
      </c>
      <c r="L9">
        <v>1</v>
      </c>
      <c r="M9">
        <v>3</v>
      </c>
      <c r="N9">
        <v>3</v>
      </c>
      <c r="O9" t="s">
        <v>112</v>
      </c>
      <c r="P9" t="s">
        <v>83</v>
      </c>
      <c r="Q9" t="s">
        <v>97</v>
      </c>
      <c r="R9" t="s">
        <v>98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125</v>
      </c>
      <c r="AA9" t="s">
        <v>45</v>
      </c>
      <c r="AB9">
        <v>3</v>
      </c>
      <c r="AD9">
        <v>2</v>
      </c>
      <c r="AE9" t="s">
        <v>86</v>
      </c>
      <c r="AF9" t="s">
        <v>76</v>
      </c>
      <c r="AI9">
        <v>0</v>
      </c>
      <c r="AJ9">
        <v>32</v>
      </c>
    </row>
    <row r="10" spans="1:36" x14ac:dyDescent="0.25">
      <c r="A10" t="s">
        <v>1165</v>
      </c>
      <c r="B10">
        <v>8</v>
      </c>
      <c r="C10" t="s">
        <v>33</v>
      </c>
      <c r="D10">
        <v>3</v>
      </c>
      <c r="F10">
        <v>3</v>
      </c>
      <c r="G10" t="s">
        <v>34</v>
      </c>
      <c r="H10" t="s">
        <v>66</v>
      </c>
      <c r="I10" t="s">
        <v>36</v>
      </c>
      <c r="J10" t="s">
        <v>37</v>
      </c>
      <c r="K10" t="s">
        <v>53</v>
      </c>
      <c r="L10">
        <v>1</v>
      </c>
      <c r="M10">
        <v>3</v>
      </c>
      <c r="N10">
        <v>3</v>
      </c>
      <c r="O10" t="s">
        <v>112</v>
      </c>
      <c r="S10" t="s">
        <v>56</v>
      </c>
      <c r="T10">
        <v>2</v>
      </c>
      <c r="V10">
        <v>1</v>
      </c>
      <c r="W10" t="s">
        <v>68</v>
      </c>
      <c r="X10" t="s">
        <v>69</v>
      </c>
      <c r="Y10" t="s">
        <v>123</v>
      </c>
      <c r="AA10" t="s">
        <v>63</v>
      </c>
      <c r="AB10">
        <v>3</v>
      </c>
      <c r="AD10">
        <v>3</v>
      </c>
      <c r="AE10" t="s">
        <v>145</v>
      </c>
      <c r="AF10" t="s">
        <v>146</v>
      </c>
      <c r="AG10" t="s">
        <v>148</v>
      </c>
      <c r="AH10" t="s">
        <v>151</v>
      </c>
      <c r="AI10">
        <v>0</v>
      </c>
      <c r="AJ10">
        <v>26</v>
      </c>
    </row>
    <row r="11" spans="1:36" x14ac:dyDescent="0.25">
      <c r="A11" t="s">
        <v>1166</v>
      </c>
      <c r="B11">
        <v>9</v>
      </c>
      <c r="C11" t="s">
        <v>33</v>
      </c>
      <c r="D11">
        <v>3</v>
      </c>
      <c r="F11">
        <v>3</v>
      </c>
      <c r="G11" t="s">
        <v>65</v>
      </c>
      <c r="H11" t="s">
        <v>130</v>
      </c>
      <c r="I11" t="s">
        <v>132</v>
      </c>
      <c r="J11" t="s">
        <v>133</v>
      </c>
      <c r="K11" t="s">
        <v>53</v>
      </c>
      <c r="L11">
        <v>3</v>
      </c>
      <c r="M11">
        <v>3</v>
      </c>
      <c r="N11">
        <v>3</v>
      </c>
      <c r="O11" t="s">
        <v>112</v>
      </c>
      <c r="P11" t="s">
        <v>83</v>
      </c>
      <c r="Q11" t="s">
        <v>97</v>
      </c>
      <c r="R11" t="s">
        <v>115</v>
      </c>
      <c r="S11" t="s">
        <v>56</v>
      </c>
      <c r="T11">
        <v>3</v>
      </c>
      <c r="V11">
        <v>3</v>
      </c>
      <c r="W11" t="s">
        <v>120</v>
      </c>
      <c r="X11" t="s">
        <v>69</v>
      </c>
      <c r="Y11" t="s">
        <v>87</v>
      </c>
      <c r="Z11" t="s">
        <v>124</v>
      </c>
      <c r="AA11" t="s">
        <v>38</v>
      </c>
      <c r="AB11">
        <v>3</v>
      </c>
      <c r="AC11">
        <v>3</v>
      </c>
      <c r="AD11">
        <v>3</v>
      </c>
      <c r="AE11" t="s">
        <v>39</v>
      </c>
      <c r="AF11" t="s">
        <v>40</v>
      </c>
      <c r="AG11" t="s">
        <v>153</v>
      </c>
      <c r="AH11" t="s">
        <v>156</v>
      </c>
      <c r="AI11">
        <v>0</v>
      </c>
      <c r="AJ11">
        <v>51</v>
      </c>
    </row>
    <row r="12" spans="1:36" x14ac:dyDescent="0.25">
      <c r="A12" t="s">
        <v>1167</v>
      </c>
      <c r="B12">
        <v>10</v>
      </c>
      <c r="C12" t="s">
        <v>33</v>
      </c>
      <c r="D12">
        <v>3</v>
      </c>
      <c r="F12">
        <v>3</v>
      </c>
      <c r="G12" t="s">
        <v>65</v>
      </c>
      <c r="H12" t="s">
        <v>130</v>
      </c>
      <c r="I12" t="s">
        <v>131</v>
      </c>
      <c r="J12" t="s">
        <v>133</v>
      </c>
      <c r="K12" t="s">
        <v>53</v>
      </c>
      <c r="L12">
        <v>3</v>
      </c>
      <c r="M12">
        <v>3</v>
      </c>
      <c r="N12">
        <v>3</v>
      </c>
      <c r="O12" t="s">
        <v>112</v>
      </c>
      <c r="P12" t="s">
        <v>55</v>
      </c>
      <c r="Q12" t="s">
        <v>97</v>
      </c>
      <c r="R12" t="s">
        <v>115</v>
      </c>
      <c r="S12" t="s">
        <v>56</v>
      </c>
      <c r="T12">
        <v>3</v>
      </c>
      <c r="V12">
        <v>3</v>
      </c>
      <c r="W12" t="s">
        <v>120</v>
      </c>
      <c r="X12" t="s">
        <v>69</v>
      </c>
      <c r="Y12" t="s">
        <v>87</v>
      </c>
      <c r="Z12" t="s">
        <v>88</v>
      </c>
      <c r="AA12" t="s">
        <v>227</v>
      </c>
      <c r="AB12">
        <v>2</v>
      </c>
      <c r="AC12">
        <v>3</v>
      </c>
      <c r="AD12">
        <v>3</v>
      </c>
      <c r="AE12" t="s">
        <v>228</v>
      </c>
      <c r="AF12" t="s">
        <v>233</v>
      </c>
      <c r="AG12" t="s">
        <v>235</v>
      </c>
      <c r="AH12" t="s">
        <v>238</v>
      </c>
      <c r="AI12">
        <v>0</v>
      </c>
      <c r="AJ12">
        <v>45</v>
      </c>
    </row>
    <row r="13" spans="1:36" x14ac:dyDescent="0.25">
      <c r="A13" t="s">
        <v>1168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55</v>
      </c>
      <c r="I13" t="s">
        <v>97</v>
      </c>
      <c r="J13" t="s">
        <v>98</v>
      </c>
      <c r="K13" t="s">
        <v>56</v>
      </c>
      <c r="L13">
        <v>3</v>
      </c>
      <c r="N13">
        <v>3</v>
      </c>
      <c r="O13" t="s">
        <v>120</v>
      </c>
      <c r="P13" t="s">
        <v>122</v>
      </c>
      <c r="Q13" t="s">
        <v>123</v>
      </c>
      <c r="R13" t="s">
        <v>124</v>
      </c>
      <c r="S13" t="s">
        <v>43</v>
      </c>
      <c r="T13">
        <v>1</v>
      </c>
      <c r="V13">
        <v>2</v>
      </c>
      <c r="W13" t="s">
        <v>73</v>
      </c>
      <c r="X13" t="s">
        <v>136</v>
      </c>
      <c r="Y13" t="s">
        <v>75</v>
      </c>
      <c r="Z13" t="s">
        <v>138</v>
      </c>
      <c r="AA13" t="s">
        <v>45</v>
      </c>
      <c r="AB13">
        <v>3</v>
      </c>
      <c r="AD13">
        <v>3</v>
      </c>
      <c r="AE13" t="s">
        <v>47</v>
      </c>
      <c r="AF13" t="s">
        <v>141</v>
      </c>
      <c r="AG13" t="s">
        <v>142</v>
      </c>
      <c r="AH13" t="s">
        <v>143</v>
      </c>
      <c r="AI13">
        <v>0</v>
      </c>
      <c r="AJ13">
        <v>46</v>
      </c>
    </row>
    <row r="14" spans="1:36" x14ac:dyDescent="0.25">
      <c r="A14" t="s">
        <v>1169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83</v>
      </c>
      <c r="I14" t="s">
        <v>114</v>
      </c>
      <c r="J14" t="s">
        <v>98</v>
      </c>
      <c r="K14" t="s">
        <v>56</v>
      </c>
      <c r="L14">
        <v>3</v>
      </c>
      <c r="N14">
        <v>3</v>
      </c>
      <c r="O14" t="s">
        <v>120</v>
      </c>
      <c r="P14" t="s">
        <v>121</v>
      </c>
      <c r="Q14" t="s">
        <v>123</v>
      </c>
      <c r="R14" t="s">
        <v>124</v>
      </c>
      <c r="S14" t="s">
        <v>43</v>
      </c>
      <c r="T14">
        <v>3</v>
      </c>
      <c r="V14">
        <v>2</v>
      </c>
      <c r="W14" t="s">
        <v>73</v>
      </c>
      <c r="X14" t="s">
        <v>136</v>
      </c>
      <c r="Y14" t="s">
        <v>137</v>
      </c>
      <c r="Z14" t="s">
        <v>101</v>
      </c>
      <c r="AA14" t="s">
        <v>63</v>
      </c>
      <c r="AB14">
        <v>3</v>
      </c>
      <c r="AD14">
        <v>3</v>
      </c>
      <c r="AE14" t="s">
        <v>145</v>
      </c>
      <c r="AF14" t="s">
        <v>91</v>
      </c>
      <c r="AG14" t="s">
        <v>148</v>
      </c>
      <c r="AH14" t="s">
        <v>151</v>
      </c>
      <c r="AI14">
        <v>0</v>
      </c>
      <c r="AJ14">
        <v>52</v>
      </c>
    </row>
    <row r="15" spans="1:36" x14ac:dyDescent="0.25">
      <c r="A15" t="s">
        <v>1170</v>
      </c>
      <c r="B15">
        <v>13</v>
      </c>
      <c r="C15" t="s">
        <v>38</v>
      </c>
      <c r="D15">
        <v>3</v>
      </c>
      <c r="E15">
        <v>3</v>
      </c>
      <c r="F15">
        <v>3</v>
      </c>
      <c r="G15" t="s">
        <v>39</v>
      </c>
      <c r="H15" t="s">
        <v>40</v>
      </c>
      <c r="I15" t="s">
        <v>153</v>
      </c>
      <c r="J15" t="s">
        <v>156</v>
      </c>
      <c r="K15" t="s">
        <v>53</v>
      </c>
      <c r="L15">
        <v>2</v>
      </c>
      <c r="M15">
        <v>3</v>
      </c>
      <c r="N15">
        <v>3</v>
      </c>
      <c r="O15" t="s">
        <v>112</v>
      </c>
      <c r="P15" t="s">
        <v>83</v>
      </c>
      <c r="Q15" t="s">
        <v>97</v>
      </c>
      <c r="R15" t="s">
        <v>115</v>
      </c>
      <c r="S15" t="s">
        <v>56</v>
      </c>
      <c r="T15">
        <v>3</v>
      </c>
      <c r="V15">
        <v>3</v>
      </c>
      <c r="W15" t="s">
        <v>120</v>
      </c>
      <c r="X15" t="s">
        <v>69</v>
      </c>
      <c r="Y15" t="s">
        <v>87</v>
      </c>
      <c r="Z15" t="s">
        <v>88</v>
      </c>
      <c r="AA15" t="s">
        <v>43</v>
      </c>
      <c r="AB15">
        <v>3</v>
      </c>
      <c r="AD15">
        <v>3</v>
      </c>
      <c r="AE15" t="s">
        <v>73</v>
      </c>
      <c r="AF15" t="s">
        <v>74</v>
      </c>
      <c r="AG15" t="s">
        <v>75</v>
      </c>
      <c r="AH15" t="s">
        <v>101</v>
      </c>
      <c r="AI15">
        <v>0</v>
      </c>
      <c r="AJ15">
        <v>43</v>
      </c>
    </row>
    <row r="16" spans="1:36" x14ac:dyDescent="0.25">
      <c r="A16" t="s">
        <v>1171</v>
      </c>
      <c r="B16">
        <v>14</v>
      </c>
      <c r="C16" t="s">
        <v>56</v>
      </c>
      <c r="D16">
        <v>3</v>
      </c>
      <c r="F16">
        <v>3</v>
      </c>
      <c r="G16" t="s">
        <v>120</v>
      </c>
      <c r="H16" t="s">
        <v>69</v>
      </c>
      <c r="I16" t="s">
        <v>87</v>
      </c>
      <c r="J16" t="s">
        <v>125</v>
      </c>
      <c r="K16" t="s">
        <v>53</v>
      </c>
      <c r="L16">
        <v>2</v>
      </c>
      <c r="M16">
        <v>3</v>
      </c>
      <c r="N16">
        <v>3</v>
      </c>
      <c r="O16" t="s">
        <v>112</v>
      </c>
      <c r="P16" t="s">
        <v>83</v>
      </c>
      <c r="Q16" t="s">
        <v>97</v>
      </c>
      <c r="R16" t="s">
        <v>115</v>
      </c>
      <c r="S16" t="s">
        <v>43</v>
      </c>
      <c r="T16">
        <v>3</v>
      </c>
      <c r="V16">
        <v>3</v>
      </c>
      <c r="W16" t="s">
        <v>73</v>
      </c>
      <c r="X16" t="s">
        <v>136</v>
      </c>
      <c r="Y16" t="s">
        <v>75</v>
      </c>
      <c r="Z16" t="s">
        <v>138</v>
      </c>
      <c r="AA16" t="s">
        <v>227</v>
      </c>
      <c r="AB16">
        <v>2</v>
      </c>
      <c r="AC16">
        <v>1</v>
      </c>
      <c r="AD16">
        <v>3</v>
      </c>
      <c r="AE16" t="s">
        <v>228</v>
      </c>
      <c r="AF16" t="s">
        <v>231</v>
      </c>
      <c r="AG16" t="s">
        <v>235</v>
      </c>
      <c r="AH16" t="s">
        <v>237</v>
      </c>
      <c r="AI16">
        <v>0</v>
      </c>
      <c r="AJ16">
        <v>43</v>
      </c>
    </row>
    <row r="17" spans="1:36" x14ac:dyDescent="0.25">
      <c r="A17" t="s">
        <v>1172</v>
      </c>
      <c r="B17">
        <v>15</v>
      </c>
      <c r="C17" t="s">
        <v>63</v>
      </c>
      <c r="D17">
        <v>3</v>
      </c>
      <c r="F17">
        <v>3</v>
      </c>
      <c r="G17" t="s">
        <v>103</v>
      </c>
      <c r="H17" t="s">
        <v>91</v>
      </c>
      <c r="I17" t="s">
        <v>148</v>
      </c>
      <c r="J17" t="s">
        <v>151</v>
      </c>
      <c r="K17" t="s">
        <v>53</v>
      </c>
      <c r="L17">
        <v>3</v>
      </c>
      <c r="M17">
        <v>3</v>
      </c>
      <c r="N17">
        <v>3</v>
      </c>
      <c r="O17" t="s">
        <v>112</v>
      </c>
      <c r="P17" t="s">
        <v>83</v>
      </c>
      <c r="Q17" t="s">
        <v>97</v>
      </c>
      <c r="R17" t="s">
        <v>98</v>
      </c>
      <c r="S17" t="s">
        <v>56</v>
      </c>
      <c r="T17">
        <v>3</v>
      </c>
      <c r="V17">
        <v>3</v>
      </c>
      <c r="W17" t="s">
        <v>120</v>
      </c>
      <c r="X17" t="s">
        <v>69</v>
      </c>
      <c r="Y17" t="s">
        <v>85</v>
      </c>
      <c r="Z17" t="s">
        <v>124</v>
      </c>
      <c r="AA17" t="s">
        <v>45</v>
      </c>
      <c r="AB17">
        <v>3</v>
      </c>
      <c r="AD17">
        <v>3</v>
      </c>
      <c r="AE17" t="s">
        <v>86</v>
      </c>
      <c r="AF17" t="s">
        <v>92</v>
      </c>
      <c r="AG17" t="s">
        <v>142</v>
      </c>
      <c r="AH17" t="s">
        <v>143</v>
      </c>
      <c r="AI17">
        <v>0</v>
      </c>
      <c r="AJ17">
        <v>54</v>
      </c>
    </row>
    <row r="18" spans="1:36" x14ac:dyDescent="0.25">
      <c r="A18" t="s">
        <v>1173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55</v>
      </c>
      <c r="I18" t="s">
        <v>97</v>
      </c>
      <c r="J18" t="s">
        <v>98</v>
      </c>
      <c r="K18" t="s">
        <v>56</v>
      </c>
      <c r="L18">
        <v>3</v>
      </c>
      <c r="N18">
        <v>2</v>
      </c>
      <c r="O18" t="s">
        <v>57</v>
      </c>
      <c r="P18" t="s">
        <v>69</v>
      </c>
      <c r="Q18" t="s">
        <v>123</v>
      </c>
      <c r="S18" t="s">
        <v>45</v>
      </c>
      <c r="T18">
        <v>3</v>
      </c>
      <c r="V18">
        <v>1</v>
      </c>
      <c r="W18" t="s">
        <v>86</v>
      </c>
      <c r="X18" t="s">
        <v>76</v>
      </c>
      <c r="Y18" t="s">
        <v>93</v>
      </c>
      <c r="AA18" t="s">
        <v>38</v>
      </c>
      <c r="AB18">
        <v>3</v>
      </c>
      <c r="AC18">
        <v>3</v>
      </c>
      <c r="AD18">
        <v>3</v>
      </c>
      <c r="AE18" t="s">
        <v>39</v>
      </c>
      <c r="AF18" t="s">
        <v>40</v>
      </c>
      <c r="AG18" t="s">
        <v>153</v>
      </c>
      <c r="AH18" t="s">
        <v>42</v>
      </c>
      <c r="AI18">
        <v>0</v>
      </c>
      <c r="AJ18">
        <v>43</v>
      </c>
    </row>
    <row r="19" spans="1:36" x14ac:dyDescent="0.25">
      <c r="A19" t="s">
        <v>1174</v>
      </c>
      <c r="B19">
        <v>17</v>
      </c>
      <c r="C19" t="s">
        <v>227</v>
      </c>
      <c r="D19">
        <v>3</v>
      </c>
      <c r="E19">
        <v>3</v>
      </c>
      <c r="F19">
        <v>3</v>
      </c>
      <c r="G19" t="s">
        <v>228</v>
      </c>
      <c r="H19" t="s">
        <v>231</v>
      </c>
      <c r="I19" t="s">
        <v>235</v>
      </c>
      <c r="J19" t="s">
        <v>238</v>
      </c>
      <c r="K19" t="s">
        <v>53</v>
      </c>
      <c r="L19">
        <v>1</v>
      </c>
      <c r="M19">
        <v>3</v>
      </c>
      <c r="N19">
        <v>3</v>
      </c>
      <c r="O19" t="s">
        <v>112</v>
      </c>
      <c r="P19" t="s">
        <v>83</v>
      </c>
      <c r="S19" t="s">
        <v>56</v>
      </c>
      <c r="T19">
        <v>3</v>
      </c>
      <c r="V19">
        <v>3</v>
      </c>
      <c r="W19" t="s">
        <v>57</v>
      </c>
      <c r="X19" t="s">
        <v>122</v>
      </c>
      <c r="Y19" t="s">
        <v>85</v>
      </c>
      <c r="Z19" t="s">
        <v>124</v>
      </c>
      <c r="AA19" t="s">
        <v>45</v>
      </c>
      <c r="AB19">
        <v>3</v>
      </c>
      <c r="AD19">
        <v>1</v>
      </c>
      <c r="AE19" t="s">
        <v>47</v>
      </c>
      <c r="AF19" t="s">
        <v>141</v>
      </c>
      <c r="AI19">
        <v>0</v>
      </c>
      <c r="AJ19">
        <v>29</v>
      </c>
    </row>
    <row r="20" spans="1:36" x14ac:dyDescent="0.25">
      <c r="A20" t="s">
        <v>1175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83</v>
      </c>
      <c r="I20" t="s">
        <v>97</v>
      </c>
      <c r="J20" t="s">
        <v>98</v>
      </c>
      <c r="K20" t="s">
        <v>56</v>
      </c>
      <c r="L20">
        <v>3</v>
      </c>
      <c r="N20">
        <v>3</v>
      </c>
      <c r="O20" t="s">
        <v>57</v>
      </c>
      <c r="P20" t="s">
        <v>122</v>
      </c>
      <c r="Q20" t="s">
        <v>85</v>
      </c>
      <c r="R20" t="s">
        <v>88</v>
      </c>
      <c r="S20" t="s">
        <v>63</v>
      </c>
      <c r="T20">
        <v>3</v>
      </c>
      <c r="V20">
        <v>3</v>
      </c>
      <c r="W20" t="s">
        <v>103</v>
      </c>
      <c r="X20" t="s">
        <v>91</v>
      </c>
      <c r="Y20" t="s">
        <v>148</v>
      </c>
      <c r="Z20" t="s">
        <v>151</v>
      </c>
      <c r="AA20" t="s">
        <v>38</v>
      </c>
      <c r="AB20">
        <v>3</v>
      </c>
      <c r="AC20">
        <v>2</v>
      </c>
      <c r="AD20">
        <v>3</v>
      </c>
      <c r="AE20" t="s">
        <v>39</v>
      </c>
      <c r="AF20" t="s">
        <v>40</v>
      </c>
      <c r="AG20" t="s">
        <v>41</v>
      </c>
      <c r="AI20">
        <v>0</v>
      </c>
      <c r="AJ20">
        <v>48</v>
      </c>
    </row>
    <row r="21" spans="1:36" x14ac:dyDescent="0.25">
      <c r="A21" t="s">
        <v>1176</v>
      </c>
      <c r="B21">
        <v>19</v>
      </c>
      <c r="C21" t="s">
        <v>56</v>
      </c>
      <c r="D21">
        <v>3</v>
      </c>
      <c r="F21">
        <v>3</v>
      </c>
      <c r="G21" t="s">
        <v>120</v>
      </c>
      <c r="H21" t="s">
        <v>121</v>
      </c>
      <c r="I21" t="s">
        <v>87</v>
      </c>
      <c r="J21" t="s">
        <v>125</v>
      </c>
      <c r="K21" t="s">
        <v>53</v>
      </c>
      <c r="L21">
        <v>3</v>
      </c>
      <c r="M21">
        <v>3</v>
      </c>
      <c r="N21">
        <v>3</v>
      </c>
      <c r="O21" t="s">
        <v>112</v>
      </c>
      <c r="P21" t="s">
        <v>83</v>
      </c>
      <c r="Q21" t="s">
        <v>97</v>
      </c>
      <c r="R21" t="s">
        <v>115</v>
      </c>
      <c r="S21" t="s">
        <v>63</v>
      </c>
      <c r="T21">
        <v>3</v>
      </c>
      <c r="V21">
        <v>3</v>
      </c>
      <c r="W21" t="s">
        <v>103</v>
      </c>
      <c r="X21" t="s">
        <v>91</v>
      </c>
      <c r="Y21" t="s">
        <v>148</v>
      </c>
      <c r="Z21" t="s">
        <v>151</v>
      </c>
      <c r="AA21" t="s">
        <v>227</v>
      </c>
      <c r="AB21">
        <v>3</v>
      </c>
      <c r="AC21">
        <v>3</v>
      </c>
      <c r="AD21">
        <v>3</v>
      </c>
      <c r="AE21" t="s">
        <v>229</v>
      </c>
      <c r="AF21" t="s">
        <v>233</v>
      </c>
      <c r="AG21" t="s">
        <v>235</v>
      </c>
      <c r="AH21" t="s">
        <v>238</v>
      </c>
      <c r="AI21">
        <v>0</v>
      </c>
      <c r="AJ21">
        <v>68</v>
      </c>
    </row>
    <row r="22" spans="1:36" x14ac:dyDescent="0.25">
      <c r="A22" t="s">
        <v>1177</v>
      </c>
      <c r="B22">
        <v>20</v>
      </c>
      <c r="C22" t="s">
        <v>53</v>
      </c>
      <c r="D22">
        <v>3</v>
      </c>
      <c r="E22">
        <v>3</v>
      </c>
      <c r="F22">
        <v>3</v>
      </c>
      <c r="G22" t="s">
        <v>112</v>
      </c>
      <c r="H22" t="s">
        <v>83</v>
      </c>
      <c r="I22" t="s">
        <v>97</v>
      </c>
      <c r="J22" t="s">
        <v>98</v>
      </c>
      <c r="K22" t="s">
        <v>56</v>
      </c>
      <c r="L22">
        <v>3</v>
      </c>
      <c r="N22">
        <v>3</v>
      </c>
      <c r="O22" t="s">
        <v>57</v>
      </c>
      <c r="P22" t="s">
        <v>122</v>
      </c>
      <c r="Q22" t="s">
        <v>123</v>
      </c>
      <c r="R22" t="s">
        <v>124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153</v>
      </c>
      <c r="Z22" t="s">
        <v>156</v>
      </c>
      <c r="AA22" t="s">
        <v>227</v>
      </c>
      <c r="AB22">
        <v>3</v>
      </c>
      <c r="AC22">
        <v>3</v>
      </c>
      <c r="AD22">
        <v>3</v>
      </c>
      <c r="AE22" t="s">
        <v>228</v>
      </c>
      <c r="AF22" t="s">
        <v>231</v>
      </c>
      <c r="AG22" t="s">
        <v>235</v>
      </c>
      <c r="AH22" t="s">
        <v>238</v>
      </c>
      <c r="AI22">
        <v>0</v>
      </c>
      <c r="AJ22">
        <v>59</v>
      </c>
    </row>
    <row r="23" spans="1:36" x14ac:dyDescent="0.25">
      <c r="A23" t="s">
        <v>1178</v>
      </c>
      <c r="B23">
        <v>21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131</v>
      </c>
      <c r="J23" t="s">
        <v>37</v>
      </c>
      <c r="K23" t="s">
        <v>53</v>
      </c>
      <c r="L23">
        <v>2</v>
      </c>
      <c r="M23">
        <v>3</v>
      </c>
      <c r="N23">
        <v>3</v>
      </c>
      <c r="O23" t="s">
        <v>112</v>
      </c>
      <c r="P23" t="s">
        <v>83</v>
      </c>
      <c r="Q23" t="s">
        <v>97</v>
      </c>
      <c r="R23" t="s">
        <v>115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90</v>
      </c>
      <c r="Z23" t="s">
        <v>128</v>
      </c>
      <c r="AA23" t="s">
        <v>43</v>
      </c>
      <c r="AB23">
        <v>3</v>
      </c>
      <c r="AD23">
        <v>3</v>
      </c>
      <c r="AE23" t="s">
        <v>73</v>
      </c>
      <c r="AF23" t="s">
        <v>136</v>
      </c>
      <c r="AG23" t="s">
        <v>100</v>
      </c>
      <c r="AH23" t="s">
        <v>139</v>
      </c>
      <c r="AI23">
        <v>0</v>
      </c>
      <c r="AJ23">
        <v>49</v>
      </c>
    </row>
    <row r="24" spans="1:36" x14ac:dyDescent="0.25">
      <c r="A24" t="s">
        <v>1179</v>
      </c>
      <c r="B24">
        <v>22</v>
      </c>
      <c r="C24" t="s">
        <v>45</v>
      </c>
      <c r="D24">
        <v>3</v>
      </c>
      <c r="F24">
        <v>3</v>
      </c>
      <c r="G24" t="s">
        <v>86</v>
      </c>
      <c r="H24" t="s">
        <v>141</v>
      </c>
      <c r="I24" t="s">
        <v>142</v>
      </c>
      <c r="J24" t="s">
        <v>94</v>
      </c>
      <c r="K24" t="s">
        <v>53</v>
      </c>
      <c r="L24">
        <v>1</v>
      </c>
      <c r="M24">
        <v>3</v>
      </c>
      <c r="N24">
        <v>3</v>
      </c>
      <c r="O24" t="s">
        <v>112</v>
      </c>
      <c r="P24" t="s">
        <v>83</v>
      </c>
      <c r="Q24" t="s">
        <v>97</v>
      </c>
      <c r="S24" t="s">
        <v>48</v>
      </c>
      <c r="T24">
        <v>1</v>
      </c>
      <c r="V24">
        <v>3</v>
      </c>
      <c r="W24" t="s">
        <v>126</v>
      </c>
      <c r="X24" t="s">
        <v>84</v>
      </c>
      <c r="Y24" t="s">
        <v>90</v>
      </c>
      <c r="Z24" t="s">
        <v>128</v>
      </c>
      <c r="AA24" t="s">
        <v>33</v>
      </c>
      <c r="AB24">
        <v>3</v>
      </c>
      <c r="AD24">
        <v>3</v>
      </c>
      <c r="AE24" t="s">
        <v>65</v>
      </c>
      <c r="AF24" t="s">
        <v>130</v>
      </c>
      <c r="AG24" t="s">
        <v>36</v>
      </c>
      <c r="AH24" t="s">
        <v>133</v>
      </c>
      <c r="AI24">
        <v>0</v>
      </c>
      <c r="AJ24">
        <v>37</v>
      </c>
    </row>
    <row r="25" spans="1:36" x14ac:dyDescent="0.25">
      <c r="A25" t="s">
        <v>1180</v>
      </c>
      <c r="B25">
        <v>23</v>
      </c>
      <c r="C25" t="s">
        <v>48</v>
      </c>
      <c r="D25">
        <v>3</v>
      </c>
      <c r="F25">
        <v>3</v>
      </c>
      <c r="G25" t="s">
        <v>126</v>
      </c>
      <c r="H25" t="s">
        <v>84</v>
      </c>
      <c r="I25" t="s">
        <v>51</v>
      </c>
      <c r="J25" t="s">
        <v>52</v>
      </c>
      <c r="K25" t="s">
        <v>53</v>
      </c>
      <c r="L25">
        <v>2</v>
      </c>
      <c r="M25">
        <v>3</v>
      </c>
      <c r="N25">
        <v>3</v>
      </c>
      <c r="O25" t="s">
        <v>112</v>
      </c>
      <c r="P25" t="s">
        <v>83</v>
      </c>
      <c r="Q25" t="s">
        <v>97</v>
      </c>
      <c r="S25" t="s">
        <v>33</v>
      </c>
      <c r="T25">
        <v>3</v>
      </c>
      <c r="V25">
        <v>3</v>
      </c>
      <c r="W25" t="s">
        <v>34</v>
      </c>
      <c r="X25" t="s">
        <v>130</v>
      </c>
      <c r="Y25" t="s">
        <v>132</v>
      </c>
      <c r="Z25" t="s">
        <v>133</v>
      </c>
      <c r="AA25" t="s">
        <v>63</v>
      </c>
      <c r="AB25">
        <v>2</v>
      </c>
      <c r="AD25">
        <v>1</v>
      </c>
      <c r="AE25" t="s">
        <v>145</v>
      </c>
      <c r="AF25" t="s">
        <v>91</v>
      </c>
      <c r="AG25" t="s">
        <v>148</v>
      </c>
      <c r="AH25" t="s">
        <v>151</v>
      </c>
      <c r="AI25">
        <v>0</v>
      </c>
      <c r="AJ25">
        <v>39</v>
      </c>
    </row>
    <row r="26" spans="1:36" x14ac:dyDescent="0.25">
      <c r="A26" t="s">
        <v>1181</v>
      </c>
      <c r="B26">
        <v>24</v>
      </c>
      <c r="C26" t="s">
        <v>33</v>
      </c>
      <c r="D26">
        <v>3</v>
      </c>
      <c r="F26">
        <v>3</v>
      </c>
      <c r="G26" t="s">
        <v>65</v>
      </c>
      <c r="H26" t="s">
        <v>130</v>
      </c>
      <c r="I26" t="s">
        <v>36</v>
      </c>
      <c r="J26" t="s">
        <v>133</v>
      </c>
      <c r="K26" t="s">
        <v>53</v>
      </c>
      <c r="L26">
        <v>1</v>
      </c>
      <c r="M26">
        <v>3</v>
      </c>
      <c r="N26">
        <v>3</v>
      </c>
      <c r="O26" t="s">
        <v>112</v>
      </c>
      <c r="P26" t="s">
        <v>55</v>
      </c>
      <c r="S26" t="s">
        <v>48</v>
      </c>
      <c r="T26">
        <v>3</v>
      </c>
      <c r="V26">
        <v>3</v>
      </c>
      <c r="W26" t="s">
        <v>126</v>
      </c>
      <c r="X26" t="s">
        <v>84</v>
      </c>
      <c r="Y26" t="s">
        <v>90</v>
      </c>
      <c r="Z26" t="s">
        <v>128</v>
      </c>
      <c r="AA26" t="s">
        <v>38</v>
      </c>
      <c r="AB26">
        <v>3</v>
      </c>
      <c r="AC26">
        <v>3</v>
      </c>
      <c r="AD26">
        <v>3</v>
      </c>
      <c r="AE26" t="s">
        <v>39</v>
      </c>
      <c r="AF26" t="s">
        <v>70</v>
      </c>
      <c r="AG26" t="s">
        <v>153</v>
      </c>
      <c r="AH26" t="s">
        <v>156</v>
      </c>
      <c r="AI26">
        <v>0</v>
      </c>
      <c r="AJ26">
        <v>38</v>
      </c>
    </row>
    <row r="27" spans="1:36" x14ac:dyDescent="0.25">
      <c r="A27" t="s">
        <v>1182</v>
      </c>
      <c r="B27">
        <v>25</v>
      </c>
      <c r="C27" t="s">
        <v>33</v>
      </c>
      <c r="D27">
        <v>3</v>
      </c>
      <c r="F27">
        <v>3</v>
      </c>
      <c r="G27" t="s">
        <v>65</v>
      </c>
      <c r="H27" t="s">
        <v>130</v>
      </c>
      <c r="I27" t="s">
        <v>36</v>
      </c>
      <c r="J27" t="s">
        <v>37</v>
      </c>
      <c r="K27" t="s">
        <v>53</v>
      </c>
      <c r="L27">
        <v>1</v>
      </c>
      <c r="M27">
        <v>3</v>
      </c>
      <c r="N27">
        <v>2</v>
      </c>
      <c r="O27" t="s">
        <v>112</v>
      </c>
      <c r="S27" t="s">
        <v>48</v>
      </c>
      <c r="T27">
        <v>3</v>
      </c>
      <c r="V27">
        <v>3</v>
      </c>
      <c r="W27" t="s">
        <v>126</v>
      </c>
      <c r="X27" t="s">
        <v>84</v>
      </c>
      <c r="Y27" t="s">
        <v>90</v>
      </c>
      <c r="Z27" t="s">
        <v>128</v>
      </c>
      <c r="AA27" t="s">
        <v>227</v>
      </c>
      <c r="AB27">
        <v>1</v>
      </c>
      <c r="AC27">
        <v>3</v>
      </c>
      <c r="AD27">
        <v>3</v>
      </c>
      <c r="AE27" t="s">
        <v>229</v>
      </c>
      <c r="AF27" t="s">
        <v>232</v>
      </c>
      <c r="AG27" t="s">
        <v>235</v>
      </c>
      <c r="AI27">
        <v>0</v>
      </c>
      <c r="AJ27">
        <v>32</v>
      </c>
    </row>
    <row r="28" spans="1:36" x14ac:dyDescent="0.25">
      <c r="A28" t="s">
        <v>1183</v>
      </c>
      <c r="B28">
        <v>26</v>
      </c>
      <c r="C28" t="s">
        <v>53</v>
      </c>
      <c r="D28">
        <v>3</v>
      </c>
      <c r="E28">
        <v>3</v>
      </c>
      <c r="F28">
        <v>3</v>
      </c>
      <c r="G28" t="s">
        <v>112</v>
      </c>
      <c r="H28" t="s">
        <v>55</v>
      </c>
      <c r="I28" t="s">
        <v>114</v>
      </c>
      <c r="J28" t="s">
        <v>115</v>
      </c>
      <c r="K28" t="s">
        <v>48</v>
      </c>
      <c r="L28">
        <v>3</v>
      </c>
      <c r="N28">
        <v>3</v>
      </c>
      <c r="O28" t="s">
        <v>126</v>
      </c>
      <c r="P28" t="s">
        <v>84</v>
      </c>
      <c r="Q28" t="s">
        <v>90</v>
      </c>
      <c r="R28" t="s">
        <v>52</v>
      </c>
      <c r="S28" t="s">
        <v>43</v>
      </c>
      <c r="T28">
        <v>3</v>
      </c>
      <c r="V28">
        <v>2</v>
      </c>
      <c r="W28" t="s">
        <v>73</v>
      </c>
      <c r="X28" t="s">
        <v>99</v>
      </c>
      <c r="Y28" t="s">
        <v>137</v>
      </c>
      <c r="Z28" t="s">
        <v>138</v>
      </c>
      <c r="AA28" t="s">
        <v>45</v>
      </c>
      <c r="AB28">
        <v>2</v>
      </c>
      <c r="AD28">
        <v>1</v>
      </c>
      <c r="AE28" t="s">
        <v>86</v>
      </c>
      <c r="AF28" t="s">
        <v>141</v>
      </c>
      <c r="AG28" t="s">
        <v>102</v>
      </c>
      <c r="AI28">
        <v>0</v>
      </c>
      <c r="AJ28">
        <v>43</v>
      </c>
    </row>
    <row r="29" spans="1:36" x14ac:dyDescent="0.25">
      <c r="A29" t="s">
        <v>1184</v>
      </c>
      <c r="B29">
        <v>27</v>
      </c>
      <c r="C29" t="s">
        <v>48</v>
      </c>
      <c r="D29">
        <v>3</v>
      </c>
      <c r="F29">
        <v>3</v>
      </c>
      <c r="G29" t="s">
        <v>126</v>
      </c>
      <c r="H29" t="s">
        <v>84</v>
      </c>
      <c r="I29" t="s">
        <v>90</v>
      </c>
      <c r="J29" t="s">
        <v>128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115</v>
      </c>
      <c r="S29" t="s">
        <v>43</v>
      </c>
      <c r="T29">
        <v>3</v>
      </c>
      <c r="V29">
        <v>3</v>
      </c>
      <c r="W29" t="s">
        <v>73</v>
      </c>
      <c r="X29" t="s">
        <v>136</v>
      </c>
      <c r="Y29" t="s">
        <v>100</v>
      </c>
      <c r="Z29" t="s">
        <v>138</v>
      </c>
      <c r="AA29" t="s">
        <v>63</v>
      </c>
      <c r="AB29">
        <v>3</v>
      </c>
      <c r="AD29">
        <v>3</v>
      </c>
      <c r="AE29" t="s">
        <v>103</v>
      </c>
      <c r="AF29" t="s">
        <v>91</v>
      </c>
      <c r="AG29" t="s">
        <v>148</v>
      </c>
      <c r="AH29" t="s">
        <v>151</v>
      </c>
      <c r="AI29">
        <v>0</v>
      </c>
      <c r="AJ29">
        <v>66</v>
      </c>
    </row>
    <row r="30" spans="1:36" x14ac:dyDescent="0.25">
      <c r="A30" t="s">
        <v>1185</v>
      </c>
      <c r="B30">
        <v>28</v>
      </c>
      <c r="C30" t="s">
        <v>38</v>
      </c>
      <c r="D30">
        <v>3</v>
      </c>
      <c r="E30">
        <v>3</v>
      </c>
      <c r="F30">
        <v>3</v>
      </c>
      <c r="G30" t="s">
        <v>39</v>
      </c>
      <c r="H30" t="s">
        <v>40</v>
      </c>
      <c r="I30" t="s">
        <v>154</v>
      </c>
      <c r="J30" t="s">
        <v>155</v>
      </c>
      <c r="K30" t="s">
        <v>53</v>
      </c>
      <c r="L30">
        <v>3</v>
      </c>
      <c r="M30">
        <v>3</v>
      </c>
      <c r="N30">
        <v>3</v>
      </c>
      <c r="O30" t="s">
        <v>112</v>
      </c>
      <c r="P30" t="s">
        <v>55</v>
      </c>
      <c r="Q30" t="s">
        <v>97</v>
      </c>
      <c r="R30" t="s">
        <v>98</v>
      </c>
      <c r="S30" t="s">
        <v>48</v>
      </c>
      <c r="T30">
        <v>3</v>
      </c>
      <c r="V30">
        <v>3</v>
      </c>
      <c r="W30" t="s">
        <v>126</v>
      </c>
      <c r="X30" t="s">
        <v>84</v>
      </c>
      <c r="Y30" t="s">
        <v>90</v>
      </c>
      <c r="Z30" t="s">
        <v>128</v>
      </c>
      <c r="AA30" t="s">
        <v>43</v>
      </c>
      <c r="AB30">
        <v>3</v>
      </c>
      <c r="AD30">
        <v>3</v>
      </c>
      <c r="AE30" t="s">
        <v>73</v>
      </c>
      <c r="AF30" t="s">
        <v>136</v>
      </c>
      <c r="AG30" t="s">
        <v>100</v>
      </c>
      <c r="AH30" t="s">
        <v>101</v>
      </c>
      <c r="AI30">
        <v>0</v>
      </c>
      <c r="AJ30">
        <v>59</v>
      </c>
    </row>
    <row r="31" spans="1:36" x14ac:dyDescent="0.25">
      <c r="A31" t="s">
        <v>1186</v>
      </c>
      <c r="B31">
        <v>29</v>
      </c>
      <c r="C31" t="s">
        <v>48</v>
      </c>
      <c r="D31">
        <v>3</v>
      </c>
      <c r="F31">
        <v>3</v>
      </c>
      <c r="G31" t="s">
        <v>126</v>
      </c>
      <c r="H31" t="s">
        <v>84</v>
      </c>
      <c r="I31" t="s">
        <v>90</v>
      </c>
      <c r="J31" t="s">
        <v>128</v>
      </c>
      <c r="K31" t="s">
        <v>53</v>
      </c>
      <c r="L31">
        <v>3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R31" t="s">
        <v>115</v>
      </c>
      <c r="S31" t="s">
        <v>43</v>
      </c>
      <c r="T31">
        <v>3</v>
      </c>
      <c r="V31">
        <v>3</v>
      </c>
      <c r="W31" t="s">
        <v>73</v>
      </c>
      <c r="X31" t="s">
        <v>136</v>
      </c>
      <c r="Y31" t="s">
        <v>100</v>
      </c>
      <c r="Z31" t="s">
        <v>101</v>
      </c>
      <c r="AA31" t="s">
        <v>227</v>
      </c>
      <c r="AB31">
        <v>3</v>
      </c>
      <c r="AC31">
        <v>1</v>
      </c>
      <c r="AD31">
        <v>1</v>
      </c>
      <c r="AE31" t="s">
        <v>228</v>
      </c>
      <c r="AF31" t="s">
        <v>231</v>
      </c>
      <c r="AI31">
        <v>0</v>
      </c>
      <c r="AJ31">
        <v>54</v>
      </c>
    </row>
    <row r="32" spans="1:36" x14ac:dyDescent="0.25">
      <c r="A32" t="s">
        <v>1187</v>
      </c>
      <c r="B32">
        <v>30</v>
      </c>
      <c r="C32" t="s">
        <v>53</v>
      </c>
      <c r="D32">
        <v>3</v>
      </c>
      <c r="E32">
        <v>3</v>
      </c>
      <c r="F32">
        <v>3</v>
      </c>
      <c r="G32" t="s">
        <v>112</v>
      </c>
      <c r="H32" t="s">
        <v>83</v>
      </c>
      <c r="I32" t="s">
        <v>97</v>
      </c>
      <c r="J32" t="s">
        <v>98</v>
      </c>
      <c r="K32" t="s">
        <v>48</v>
      </c>
      <c r="L32">
        <v>3</v>
      </c>
      <c r="N32">
        <v>3</v>
      </c>
      <c r="O32" t="s">
        <v>126</v>
      </c>
      <c r="P32" t="s">
        <v>84</v>
      </c>
      <c r="Q32" t="s">
        <v>90</v>
      </c>
      <c r="R32" t="s">
        <v>128</v>
      </c>
      <c r="S32" t="s">
        <v>45</v>
      </c>
      <c r="T32">
        <v>3</v>
      </c>
      <c r="V32">
        <v>3</v>
      </c>
      <c r="W32" t="s">
        <v>47</v>
      </c>
      <c r="X32" t="s">
        <v>92</v>
      </c>
      <c r="Y32" t="s">
        <v>142</v>
      </c>
      <c r="Z32" t="s">
        <v>143</v>
      </c>
      <c r="AA32" t="s">
        <v>63</v>
      </c>
      <c r="AB32">
        <v>3</v>
      </c>
      <c r="AD32">
        <v>3</v>
      </c>
      <c r="AE32" t="s">
        <v>145</v>
      </c>
      <c r="AF32" t="s">
        <v>91</v>
      </c>
      <c r="AG32" t="s">
        <v>148</v>
      </c>
      <c r="AH32" t="s">
        <v>151</v>
      </c>
      <c r="AI32">
        <v>0</v>
      </c>
      <c r="AJ32">
        <v>67</v>
      </c>
    </row>
    <row r="33" spans="1:36" x14ac:dyDescent="0.25">
      <c r="A33" t="s">
        <v>1188</v>
      </c>
      <c r="B33">
        <v>31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115</v>
      </c>
      <c r="K33" t="s">
        <v>48</v>
      </c>
      <c r="L33">
        <v>3</v>
      </c>
      <c r="N33">
        <v>3</v>
      </c>
      <c r="O33" t="s">
        <v>126</v>
      </c>
      <c r="P33" t="s">
        <v>84</v>
      </c>
      <c r="Q33" t="s">
        <v>90</v>
      </c>
      <c r="R33" t="s">
        <v>128</v>
      </c>
      <c r="S33" t="s">
        <v>45</v>
      </c>
      <c r="T33">
        <v>3</v>
      </c>
      <c r="V33">
        <v>3</v>
      </c>
      <c r="W33" t="s">
        <v>86</v>
      </c>
      <c r="X33" t="s">
        <v>76</v>
      </c>
      <c r="Y33" t="s">
        <v>93</v>
      </c>
      <c r="Z33" t="s">
        <v>94</v>
      </c>
      <c r="AA33" t="s">
        <v>38</v>
      </c>
      <c r="AB33">
        <v>3</v>
      </c>
      <c r="AC33">
        <v>2</v>
      </c>
      <c r="AD33">
        <v>3</v>
      </c>
      <c r="AE33" t="s">
        <v>39</v>
      </c>
      <c r="AF33" t="s">
        <v>96</v>
      </c>
      <c r="AG33" t="s">
        <v>154</v>
      </c>
      <c r="AH33" t="s">
        <v>156</v>
      </c>
      <c r="AI33">
        <v>0</v>
      </c>
      <c r="AJ33">
        <v>59</v>
      </c>
    </row>
    <row r="34" spans="1:36" x14ac:dyDescent="0.25">
      <c r="A34" t="s">
        <v>1189</v>
      </c>
      <c r="B34">
        <v>32</v>
      </c>
      <c r="C34" t="s">
        <v>45</v>
      </c>
      <c r="D34">
        <v>3</v>
      </c>
      <c r="F34">
        <v>3</v>
      </c>
      <c r="G34" t="s">
        <v>47</v>
      </c>
      <c r="H34" t="s">
        <v>141</v>
      </c>
      <c r="I34" t="s">
        <v>102</v>
      </c>
      <c r="J34" t="s">
        <v>143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55</v>
      </c>
      <c r="Q34" t="s">
        <v>97</v>
      </c>
      <c r="R34" t="s">
        <v>115</v>
      </c>
      <c r="S34" t="s">
        <v>48</v>
      </c>
      <c r="T34">
        <v>3</v>
      </c>
      <c r="V34">
        <v>3</v>
      </c>
      <c r="W34" t="s">
        <v>126</v>
      </c>
      <c r="X34" t="s">
        <v>84</v>
      </c>
      <c r="Y34" t="s">
        <v>90</v>
      </c>
      <c r="Z34" t="s">
        <v>128</v>
      </c>
      <c r="AA34" t="s">
        <v>227</v>
      </c>
      <c r="AB34">
        <v>3</v>
      </c>
      <c r="AC34">
        <v>3</v>
      </c>
      <c r="AD34">
        <v>2</v>
      </c>
      <c r="AE34" t="s">
        <v>228</v>
      </c>
      <c r="AF34" t="s">
        <v>231</v>
      </c>
      <c r="AG34" t="s">
        <v>235</v>
      </c>
      <c r="AH34" t="s">
        <v>238</v>
      </c>
      <c r="AI34">
        <v>0</v>
      </c>
      <c r="AJ34">
        <v>59</v>
      </c>
    </row>
    <row r="35" spans="1:36" x14ac:dyDescent="0.25">
      <c r="A35" t="s">
        <v>1190</v>
      </c>
      <c r="B35">
        <v>33</v>
      </c>
      <c r="C35" t="s">
        <v>53</v>
      </c>
      <c r="D35">
        <v>3</v>
      </c>
      <c r="E35">
        <v>3</v>
      </c>
      <c r="F35">
        <v>3</v>
      </c>
      <c r="G35" t="s">
        <v>112</v>
      </c>
      <c r="H35" t="s">
        <v>55</v>
      </c>
      <c r="I35" t="s">
        <v>97</v>
      </c>
      <c r="J35" t="s">
        <v>98</v>
      </c>
      <c r="K35" t="s">
        <v>48</v>
      </c>
      <c r="L35">
        <v>3</v>
      </c>
      <c r="N35">
        <v>3</v>
      </c>
      <c r="O35" t="s">
        <v>126</v>
      </c>
      <c r="P35" t="s">
        <v>84</v>
      </c>
      <c r="Q35" t="s">
        <v>90</v>
      </c>
      <c r="R35" t="s">
        <v>52</v>
      </c>
      <c r="S35" t="s">
        <v>63</v>
      </c>
      <c r="T35">
        <v>3</v>
      </c>
      <c r="V35">
        <v>3</v>
      </c>
      <c r="W35" t="s">
        <v>145</v>
      </c>
      <c r="X35" t="s">
        <v>91</v>
      </c>
      <c r="Y35" t="s">
        <v>148</v>
      </c>
      <c r="Z35" t="s">
        <v>151</v>
      </c>
      <c r="AA35" t="s">
        <v>38</v>
      </c>
      <c r="AB35">
        <v>2</v>
      </c>
      <c r="AC35">
        <v>3</v>
      </c>
      <c r="AD35">
        <v>3</v>
      </c>
      <c r="AE35" t="s">
        <v>39</v>
      </c>
      <c r="AF35" t="s">
        <v>40</v>
      </c>
      <c r="AG35" t="s">
        <v>153</v>
      </c>
      <c r="AH35" t="s">
        <v>42</v>
      </c>
      <c r="AI35">
        <v>0</v>
      </c>
      <c r="AJ35">
        <v>59</v>
      </c>
    </row>
    <row r="36" spans="1:36" x14ac:dyDescent="0.25">
      <c r="A36" t="s">
        <v>1191</v>
      </c>
      <c r="B36">
        <v>34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97</v>
      </c>
      <c r="J36" t="s">
        <v>115</v>
      </c>
      <c r="K36" t="s">
        <v>48</v>
      </c>
      <c r="L36">
        <v>3</v>
      </c>
      <c r="N36">
        <v>3</v>
      </c>
      <c r="O36" t="s">
        <v>126</v>
      </c>
      <c r="P36" t="s">
        <v>84</v>
      </c>
      <c r="Q36" t="s">
        <v>90</v>
      </c>
      <c r="R36" t="s">
        <v>128</v>
      </c>
      <c r="S36" t="s">
        <v>63</v>
      </c>
      <c r="T36">
        <v>3</v>
      </c>
      <c r="V36">
        <v>3</v>
      </c>
      <c r="W36" t="s">
        <v>145</v>
      </c>
      <c r="X36" t="s">
        <v>91</v>
      </c>
      <c r="Y36" t="s">
        <v>148</v>
      </c>
      <c r="Z36" t="s">
        <v>151</v>
      </c>
      <c r="AA36" t="s">
        <v>227</v>
      </c>
      <c r="AB36">
        <v>3</v>
      </c>
      <c r="AC36">
        <v>3</v>
      </c>
      <c r="AD36">
        <v>3</v>
      </c>
      <c r="AE36" t="s">
        <v>229</v>
      </c>
      <c r="AF36" t="s">
        <v>231</v>
      </c>
      <c r="AG36" t="s">
        <v>235</v>
      </c>
      <c r="AH36" t="s">
        <v>239</v>
      </c>
      <c r="AI36">
        <v>0</v>
      </c>
      <c r="AJ36">
        <v>66</v>
      </c>
    </row>
    <row r="37" spans="1:36" x14ac:dyDescent="0.25">
      <c r="A37" t="s">
        <v>1192</v>
      </c>
      <c r="B37">
        <v>35</v>
      </c>
      <c r="C37" t="s">
        <v>227</v>
      </c>
      <c r="D37">
        <v>3</v>
      </c>
      <c r="E37">
        <v>2</v>
      </c>
      <c r="F37">
        <v>1</v>
      </c>
      <c r="G37" t="s">
        <v>228</v>
      </c>
      <c r="H37" t="s">
        <v>232</v>
      </c>
      <c r="I37" t="s">
        <v>235</v>
      </c>
      <c r="K37" t="s">
        <v>53</v>
      </c>
      <c r="L37">
        <v>3</v>
      </c>
      <c r="M37">
        <v>3</v>
      </c>
      <c r="N37">
        <v>3</v>
      </c>
      <c r="O37" t="s">
        <v>112</v>
      </c>
      <c r="P37" t="s">
        <v>55</v>
      </c>
      <c r="Q37" t="s">
        <v>97</v>
      </c>
      <c r="R37" t="s">
        <v>115</v>
      </c>
      <c r="S37" t="s">
        <v>48</v>
      </c>
      <c r="T37">
        <v>3</v>
      </c>
      <c r="V37">
        <v>3</v>
      </c>
      <c r="W37" t="s">
        <v>126</v>
      </c>
      <c r="X37" t="s">
        <v>84</v>
      </c>
      <c r="Y37" t="s">
        <v>90</v>
      </c>
      <c r="Z37" t="s">
        <v>128</v>
      </c>
      <c r="AA37" t="s">
        <v>38</v>
      </c>
      <c r="AB37">
        <v>3</v>
      </c>
      <c r="AC37">
        <v>3</v>
      </c>
      <c r="AD37">
        <v>1</v>
      </c>
      <c r="AE37" t="s">
        <v>39</v>
      </c>
      <c r="AF37" t="s">
        <v>96</v>
      </c>
      <c r="AG37" t="s">
        <v>153</v>
      </c>
      <c r="AI37">
        <v>0</v>
      </c>
      <c r="AJ37">
        <v>51</v>
      </c>
    </row>
    <row r="38" spans="1:36" x14ac:dyDescent="0.25">
      <c r="A38" t="s">
        <v>1193</v>
      </c>
      <c r="B38">
        <v>36</v>
      </c>
      <c r="C38" t="s">
        <v>45</v>
      </c>
      <c r="D38">
        <v>3</v>
      </c>
      <c r="F38">
        <v>3</v>
      </c>
      <c r="G38" t="s">
        <v>86</v>
      </c>
      <c r="H38" t="s">
        <v>141</v>
      </c>
      <c r="I38" t="s">
        <v>142</v>
      </c>
      <c r="J38" t="s">
        <v>144</v>
      </c>
      <c r="K38" t="s">
        <v>53</v>
      </c>
      <c r="L38">
        <v>1</v>
      </c>
      <c r="M38">
        <v>3</v>
      </c>
      <c r="N38">
        <v>2</v>
      </c>
      <c r="O38" t="s">
        <v>112</v>
      </c>
      <c r="S38" t="s">
        <v>33</v>
      </c>
      <c r="T38">
        <v>3</v>
      </c>
      <c r="V38">
        <v>3</v>
      </c>
      <c r="W38" t="s">
        <v>65</v>
      </c>
      <c r="X38" t="s">
        <v>130</v>
      </c>
      <c r="Y38" t="s">
        <v>131</v>
      </c>
      <c r="Z38" t="s">
        <v>133</v>
      </c>
      <c r="AA38" t="s">
        <v>43</v>
      </c>
      <c r="AB38">
        <v>3</v>
      </c>
      <c r="AD38">
        <v>3</v>
      </c>
      <c r="AE38" t="s">
        <v>73</v>
      </c>
      <c r="AF38" t="s">
        <v>136</v>
      </c>
      <c r="AG38" t="s">
        <v>75</v>
      </c>
      <c r="AH38" t="s">
        <v>138</v>
      </c>
      <c r="AI38">
        <v>0</v>
      </c>
      <c r="AJ38">
        <v>40</v>
      </c>
    </row>
    <row r="39" spans="1:36" x14ac:dyDescent="0.25">
      <c r="A39" t="s">
        <v>1194</v>
      </c>
      <c r="B39">
        <v>37</v>
      </c>
      <c r="C39" t="s">
        <v>63</v>
      </c>
      <c r="D39">
        <v>3</v>
      </c>
      <c r="F39">
        <v>2</v>
      </c>
      <c r="G39" t="s">
        <v>145</v>
      </c>
      <c r="H39" t="s">
        <v>146</v>
      </c>
      <c r="I39" t="s">
        <v>148</v>
      </c>
      <c r="J39" t="s">
        <v>151</v>
      </c>
      <c r="K39" t="s">
        <v>53</v>
      </c>
      <c r="L39">
        <v>2</v>
      </c>
      <c r="M39">
        <v>3</v>
      </c>
      <c r="N39">
        <v>3</v>
      </c>
      <c r="O39" t="s">
        <v>112</v>
      </c>
      <c r="P39" t="s">
        <v>83</v>
      </c>
      <c r="S39" t="s">
        <v>33</v>
      </c>
      <c r="T39">
        <v>3</v>
      </c>
      <c r="V39">
        <v>3</v>
      </c>
      <c r="W39" t="s">
        <v>34</v>
      </c>
      <c r="X39" t="s">
        <v>66</v>
      </c>
      <c r="Y39" t="s">
        <v>131</v>
      </c>
      <c r="Z39" t="s">
        <v>37</v>
      </c>
      <c r="AA39" t="s">
        <v>43</v>
      </c>
      <c r="AB39">
        <v>1</v>
      </c>
      <c r="AD39">
        <v>2</v>
      </c>
      <c r="AE39" t="s">
        <v>135</v>
      </c>
      <c r="AF39" t="s">
        <v>136</v>
      </c>
      <c r="AG39" t="s">
        <v>100</v>
      </c>
      <c r="AH39" t="s">
        <v>139</v>
      </c>
      <c r="AI39">
        <v>0</v>
      </c>
      <c r="AJ39">
        <v>28</v>
      </c>
    </row>
    <row r="40" spans="1:36" x14ac:dyDescent="0.25">
      <c r="A40" t="s">
        <v>1195</v>
      </c>
      <c r="B40">
        <v>38</v>
      </c>
      <c r="C40" t="s">
        <v>33</v>
      </c>
      <c r="D40">
        <v>3</v>
      </c>
      <c r="F40">
        <v>3</v>
      </c>
      <c r="G40" t="s">
        <v>65</v>
      </c>
      <c r="H40" t="s">
        <v>130</v>
      </c>
      <c r="I40" t="s">
        <v>131</v>
      </c>
      <c r="J40" t="s">
        <v>133</v>
      </c>
      <c r="K40" t="s">
        <v>53</v>
      </c>
      <c r="L40">
        <v>3</v>
      </c>
      <c r="M40">
        <v>3</v>
      </c>
      <c r="N40">
        <v>3</v>
      </c>
      <c r="O40" t="s">
        <v>112</v>
      </c>
      <c r="P40" t="s">
        <v>83</v>
      </c>
      <c r="Q40" t="s">
        <v>97</v>
      </c>
      <c r="R40" t="s">
        <v>98</v>
      </c>
      <c r="S40" t="s">
        <v>43</v>
      </c>
      <c r="T40">
        <v>3</v>
      </c>
      <c r="V40">
        <v>3</v>
      </c>
      <c r="W40" t="s">
        <v>73</v>
      </c>
      <c r="X40" t="s">
        <v>136</v>
      </c>
      <c r="Y40" t="s">
        <v>100</v>
      </c>
      <c r="Z40" t="s">
        <v>139</v>
      </c>
      <c r="AA40" t="s">
        <v>38</v>
      </c>
      <c r="AB40">
        <v>3</v>
      </c>
      <c r="AC40">
        <v>3</v>
      </c>
      <c r="AD40">
        <v>3</v>
      </c>
      <c r="AE40" t="s">
        <v>39</v>
      </c>
      <c r="AF40" t="s">
        <v>40</v>
      </c>
      <c r="AG40" t="s">
        <v>153</v>
      </c>
      <c r="AH40" t="s">
        <v>156</v>
      </c>
      <c r="AI40">
        <v>0</v>
      </c>
      <c r="AJ40">
        <v>44</v>
      </c>
    </row>
    <row r="41" spans="1:36" x14ac:dyDescent="0.25">
      <c r="A41" t="s">
        <v>1196</v>
      </c>
      <c r="B41">
        <v>39</v>
      </c>
      <c r="C41" t="s">
        <v>33</v>
      </c>
      <c r="D41">
        <v>3</v>
      </c>
      <c r="F41">
        <v>3</v>
      </c>
      <c r="G41" t="s">
        <v>65</v>
      </c>
      <c r="H41" t="s">
        <v>130</v>
      </c>
      <c r="I41" t="s">
        <v>36</v>
      </c>
      <c r="J41" t="s">
        <v>133</v>
      </c>
      <c r="K41" t="s">
        <v>53</v>
      </c>
      <c r="L41">
        <v>1</v>
      </c>
      <c r="M41">
        <v>3</v>
      </c>
      <c r="N41">
        <v>3</v>
      </c>
      <c r="O41" t="s">
        <v>112</v>
      </c>
      <c r="P41" t="s">
        <v>55</v>
      </c>
      <c r="S41" t="s">
        <v>43</v>
      </c>
      <c r="T41">
        <v>2</v>
      </c>
      <c r="V41">
        <v>3</v>
      </c>
      <c r="W41" t="s">
        <v>44</v>
      </c>
      <c r="X41" t="s">
        <v>136</v>
      </c>
      <c r="Y41" t="s">
        <v>100</v>
      </c>
      <c r="AA41" t="s">
        <v>227</v>
      </c>
      <c r="AB41">
        <v>2</v>
      </c>
      <c r="AC41">
        <v>3</v>
      </c>
      <c r="AD41">
        <v>3</v>
      </c>
      <c r="AE41" t="s">
        <v>229</v>
      </c>
      <c r="AF41" t="s">
        <v>232</v>
      </c>
      <c r="AG41" t="s">
        <v>236</v>
      </c>
      <c r="AH41" t="s">
        <v>239</v>
      </c>
      <c r="AI41">
        <v>0</v>
      </c>
      <c r="AJ41">
        <v>32</v>
      </c>
    </row>
    <row r="42" spans="1:36" x14ac:dyDescent="0.25">
      <c r="A42" t="s">
        <v>1197</v>
      </c>
      <c r="B42">
        <v>40</v>
      </c>
      <c r="C42" t="s">
        <v>53</v>
      </c>
      <c r="D42">
        <v>3</v>
      </c>
      <c r="E42">
        <v>3</v>
      </c>
      <c r="F42">
        <v>3</v>
      </c>
      <c r="G42" t="s">
        <v>112</v>
      </c>
      <c r="H42" t="s">
        <v>83</v>
      </c>
      <c r="I42" t="s">
        <v>97</v>
      </c>
      <c r="J42" t="s">
        <v>98</v>
      </c>
      <c r="K42" t="s">
        <v>33</v>
      </c>
      <c r="L42">
        <v>3</v>
      </c>
      <c r="N42">
        <v>3</v>
      </c>
      <c r="O42" t="s">
        <v>65</v>
      </c>
      <c r="P42" t="s">
        <v>66</v>
      </c>
      <c r="Q42" t="s">
        <v>131</v>
      </c>
      <c r="R42" t="s">
        <v>133</v>
      </c>
      <c r="S42" t="s">
        <v>45</v>
      </c>
      <c r="T42">
        <v>2</v>
      </c>
      <c r="V42">
        <v>3</v>
      </c>
      <c r="W42" t="s">
        <v>86</v>
      </c>
      <c r="X42" t="s">
        <v>76</v>
      </c>
      <c r="Y42" t="s">
        <v>93</v>
      </c>
      <c r="Z42" t="s">
        <v>94</v>
      </c>
      <c r="AA42" t="s">
        <v>63</v>
      </c>
      <c r="AB42">
        <v>3</v>
      </c>
      <c r="AD42">
        <v>3</v>
      </c>
      <c r="AE42" t="s">
        <v>145</v>
      </c>
      <c r="AF42" t="s">
        <v>146</v>
      </c>
      <c r="AG42" t="s">
        <v>148</v>
      </c>
      <c r="AH42" t="s">
        <v>151</v>
      </c>
      <c r="AI42">
        <v>0</v>
      </c>
      <c r="AJ42">
        <v>47</v>
      </c>
    </row>
    <row r="43" spans="1:36" x14ac:dyDescent="0.25">
      <c r="A43" t="s">
        <v>1198</v>
      </c>
      <c r="B43">
        <v>41</v>
      </c>
      <c r="C43" t="s">
        <v>53</v>
      </c>
      <c r="D43">
        <v>2</v>
      </c>
      <c r="E43">
        <v>3</v>
      </c>
      <c r="F43">
        <v>3</v>
      </c>
      <c r="G43" t="s">
        <v>112</v>
      </c>
      <c r="H43" t="s">
        <v>83</v>
      </c>
      <c r="I43" t="s">
        <v>97</v>
      </c>
      <c r="J43" t="s">
        <v>115</v>
      </c>
      <c r="K43" t="s">
        <v>33</v>
      </c>
      <c r="L43">
        <v>3</v>
      </c>
      <c r="N43">
        <v>3</v>
      </c>
      <c r="O43" t="s">
        <v>65</v>
      </c>
      <c r="P43" t="s">
        <v>130</v>
      </c>
      <c r="Q43" t="s">
        <v>131</v>
      </c>
      <c r="R43" t="s">
        <v>133</v>
      </c>
      <c r="S43" t="s">
        <v>45</v>
      </c>
      <c r="T43">
        <v>3</v>
      </c>
      <c r="V43">
        <v>3</v>
      </c>
      <c r="W43" t="s">
        <v>86</v>
      </c>
      <c r="X43" t="s">
        <v>76</v>
      </c>
      <c r="Y43" t="s">
        <v>142</v>
      </c>
      <c r="Z43" t="s">
        <v>94</v>
      </c>
      <c r="AA43" t="s">
        <v>38</v>
      </c>
      <c r="AB43">
        <v>3</v>
      </c>
      <c r="AC43">
        <v>3</v>
      </c>
      <c r="AD43">
        <v>3</v>
      </c>
      <c r="AE43" t="s">
        <v>39</v>
      </c>
      <c r="AF43" t="s">
        <v>40</v>
      </c>
      <c r="AG43" t="s">
        <v>153</v>
      </c>
      <c r="AH43" t="s">
        <v>156</v>
      </c>
      <c r="AI43">
        <v>0</v>
      </c>
      <c r="AJ43">
        <v>50</v>
      </c>
    </row>
    <row r="44" spans="1:36" x14ac:dyDescent="0.25">
      <c r="A44" t="s">
        <v>1199</v>
      </c>
      <c r="B44">
        <v>42</v>
      </c>
      <c r="C44" t="s">
        <v>45</v>
      </c>
      <c r="D44">
        <v>3</v>
      </c>
      <c r="F44">
        <v>3</v>
      </c>
      <c r="G44" t="s">
        <v>86</v>
      </c>
      <c r="H44" t="s">
        <v>141</v>
      </c>
      <c r="I44" t="s">
        <v>102</v>
      </c>
      <c r="J44" t="s">
        <v>143</v>
      </c>
      <c r="K44" t="s">
        <v>53</v>
      </c>
      <c r="L44">
        <v>2</v>
      </c>
      <c r="M44">
        <v>3</v>
      </c>
      <c r="N44">
        <v>3</v>
      </c>
      <c r="O44" t="s">
        <v>112</v>
      </c>
      <c r="P44" t="s">
        <v>83</v>
      </c>
      <c r="Q44" t="s">
        <v>97</v>
      </c>
      <c r="R44" t="s">
        <v>115</v>
      </c>
      <c r="S44" t="s">
        <v>33</v>
      </c>
      <c r="T44">
        <v>3</v>
      </c>
      <c r="V44">
        <v>3</v>
      </c>
      <c r="W44" t="s">
        <v>65</v>
      </c>
      <c r="X44" t="s">
        <v>130</v>
      </c>
      <c r="Y44" t="s">
        <v>131</v>
      </c>
      <c r="Z44" t="s">
        <v>133</v>
      </c>
      <c r="AA44" t="s">
        <v>227</v>
      </c>
      <c r="AB44">
        <v>3</v>
      </c>
      <c r="AC44">
        <v>3</v>
      </c>
      <c r="AD44">
        <v>3</v>
      </c>
      <c r="AE44" t="s">
        <v>229</v>
      </c>
      <c r="AF44" t="s">
        <v>233</v>
      </c>
      <c r="AG44" t="s">
        <v>235</v>
      </c>
      <c r="AH44" t="s">
        <v>238</v>
      </c>
      <c r="AI44">
        <v>0</v>
      </c>
      <c r="AJ44">
        <v>42</v>
      </c>
    </row>
    <row r="45" spans="1:36" x14ac:dyDescent="0.25">
      <c r="A45" t="s">
        <v>1200</v>
      </c>
      <c r="B45">
        <v>43</v>
      </c>
      <c r="C45" t="s">
        <v>63</v>
      </c>
      <c r="D45">
        <v>3</v>
      </c>
      <c r="F45">
        <v>3</v>
      </c>
      <c r="G45" t="s">
        <v>145</v>
      </c>
      <c r="H45" t="s">
        <v>146</v>
      </c>
      <c r="I45" t="s">
        <v>148</v>
      </c>
      <c r="J45" t="s">
        <v>150</v>
      </c>
      <c r="K45" t="s">
        <v>53</v>
      </c>
      <c r="L45">
        <v>3</v>
      </c>
      <c r="M45">
        <v>3</v>
      </c>
      <c r="N45">
        <v>3</v>
      </c>
      <c r="O45" t="s">
        <v>112</v>
      </c>
      <c r="P45" t="s">
        <v>55</v>
      </c>
      <c r="Q45" t="s">
        <v>97</v>
      </c>
      <c r="R45" t="s">
        <v>115</v>
      </c>
      <c r="S45" t="s">
        <v>33</v>
      </c>
      <c r="T45">
        <v>3</v>
      </c>
      <c r="V45">
        <v>3</v>
      </c>
      <c r="W45" t="s">
        <v>65</v>
      </c>
      <c r="X45" t="s">
        <v>35</v>
      </c>
      <c r="Y45" t="s">
        <v>36</v>
      </c>
      <c r="Z45" t="s">
        <v>133</v>
      </c>
      <c r="AA45" t="s">
        <v>38</v>
      </c>
      <c r="AB45">
        <v>3</v>
      </c>
      <c r="AC45">
        <v>3</v>
      </c>
      <c r="AD45">
        <v>3</v>
      </c>
      <c r="AE45" t="s">
        <v>39</v>
      </c>
      <c r="AF45" t="s">
        <v>40</v>
      </c>
      <c r="AG45" t="s">
        <v>153</v>
      </c>
      <c r="AH45" t="s">
        <v>156</v>
      </c>
      <c r="AI45">
        <v>0</v>
      </c>
      <c r="AJ45">
        <v>50</v>
      </c>
    </row>
    <row r="46" spans="1:36" x14ac:dyDescent="0.25">
      <c r="A46" t="s">
        <v>1201</v>
      </c>
      <c r="B46">
        <v>44</v>
      </c>
      <c r="C46" t="s">
        <v>33</v>
      </c>
      <c r="D46">
        <v>3</v>
      </c>
      <c r="F46">
        <v>3</v>
      </c>
      <c r="G46" t="s">
        <v>34</v>
      </c>
      <c r="H46" t="s">
        <v>66</v>
      </c>
      <c r="I46" t="s">
        <v>131</v>
      </c>
      <c r="J46" t="s">
        <v>134</v>
      </c>
      <c r="K46" t="s">
        <v>53</v>
      </c>
      <c r="L46">
        <v>1</v>
      </c>
      <c r="M46">
        <v>3</v>
      </c>
      <c r="N46">
        <v>3</v>
      </c>
      <c r="O46" t="s">
        <v>112</v>
      </c>
      <c r="P46" t="s">
        <v>83</v>
      </c>
      <c r="S46" t="s">
        <v>63</v>
      </c>
      <c r="T46">
        <v>3</v>
      </c>
      <c r="V46">
        <v>2</v>
      </c>
      <c r="W46" t="s">
        <v>145</v>
      </c>
      <c r="X46" t="s">
        <v>91</v>
      </c>
      <c r="Y46" t="s">
        <v>148</v>
      </c>
      <c r="Z46" t="s">
        <v>151</v>
      </c>
      <c r="AA46" t="s">
        <v>227</v>
      </c>
      <c r="AB46">
        <v>2</v>
      </c>
      <c r="AC46">
        <v>2</v>
      </c>
      <c r="AD46">
        <v>2</v>
      </c>
      <c r="AE46" t="s">
        <v>228</v>
      </c>
      <c r="AF46" t="s">
        <v>232</v>
      </c>
      <c r="AG46" t="s">
        <v>235</v>
      </c>
      <c r="AH46" t="s">
        <v>238</v>
      </c>
      <c r="AI46">
        <v>0</v>
      </c>
      <c r="AJ46">
        <v>28</v>
      </c>
    </row>
    <row r="47" spans="1:36" x14ac:dyDescent="0.25">
      <c r="A47" t="s">
        <v>1202</v>
      </c>
      <c r="B47">
        <v>45</v>
      </c>
      <c r="C47" t="s">
        <v>227</v>
      </c>
      <c r="D47">
        <v>3</v>
      </c>
      <c r="E47">
        <v>3</v>
      </c>
      <c r="F47">
        <v>3</v>
      </c>
      <c r="G47" t="s">
        <v>229</v>
      </c>
      <c r="H47" t="s">
        <v>232</v>
      </c>
      <c r="I47" t="s">
        <v>235</v>
      </c>
      <c r="J47" t="s">
        <v>238</v>
      </c>
      <c r="K47" t="s">
        <v>53</v>
      </c>
      <c r="L47">
        <v>1</v>
      </c>
      <c r="M47">
        <v>3</v>
      </c>
      <c r="N47">
        <v>3</v>
      </c>
      <c r="O47" t="s">
        <v>112</v>
      </c>
      <c r="P47" t="s">
        <v>83</v>
      </c>
      <c r="S47" t="s">
        <v>33</v>
      </c>
      <c r="T47">
        <v>3</v>
      </c>
      <c r="V47">
        <v>3</v>
      </c>
      <c r="W47" t="s">
        <v>65</v>
      </c>
      <c r="X47" t="s">
        <v>130</v>
      </c>
      <c r="Y47" t="s">
        <v>131</v>
      </c>
      <c r="Z47" t="s">
        <v>133</v>
      </c>
      <c r="AA47" t="s">
        <v>38</v>
      </c>
      <c r="AB47">
        <v>3</v>
      </c>
      <c r="AC47">
        <v>3</v>
      </c>
      <c r="AD47">
        <v>3</v>
      </c>
      <c r="AE47" t="s">
        <v>39</v>
      </c>
      <c r="AF47" t="s">
        <v>40</v>
      </c>
      <c r="AG47" t="s">
        <v>153</v>
      </c>
      <c r="AH47" t="s">
        <v>156</v>
      </c>
      <c r="AI47">
        <v>0</v>
      </c>
      <c r="AJ47">
        <v>47</v>
      </c>
    </row>
    <row r="48" spans="1:36" x14ac:dyDescent="0.25">
      <c r="A48" t="s">
        <v>1203</v>
      </c>
      <c r="B48">
        <v>46</v>
      </c>
      <c r="C48" t="s">
        <v>53</v>
      </c>
      <c r="D48">
        <v>3</v>
      </c>
      <c r="E48">
        <v>3</v>
      </c>
      <c r="F48">
        <v>3</v>
      </c>
      <c r="G48" t="s">
        <v>112</v>
      </c>
      <c r="H48" t="s">
        <v>83</v>
      </c>
      <c r="I48" t="s">
        <v>97</v>
      </c>
      <c r="J48" t="s">
        <v>115</v>
      </c>
      <c r="K48" t="s">
        <v>43</v>
      </c>
      <c r="L48">
        <v>3</v>
      </c>
      <c r="N48">
        <v>2</v>
      </c>
      <c r="O48" t="s">
        <v>73</v>
      </c>
      <c r="P48" t="s">
        <v>136</v>
      </c>
      <c r="Q48" t="s">
        <v>100</v>
      </c>
      <c r="R48" t="s">
        <v>139</v>
      </c>
      <c r="S48" t="s">
        <v>45</v>
      </c>
      <c r="T48">
        <v>2</v>
      </c>
      <c r="V48">
        <v>2</v>
      </c>
      <c r="W48" t="s">
        <v>86</v>
      </c>
      <c r="X48" t="s">
        <v>141</v>
      </c>
      <c r="Y48" t="s">
        <v>102</v>
      </c>
      <c r="Z48" t="s">
        <v>94</v>
      </c>
      <c r="AA48" t="s">
        <v>63</v>
      </c>
      <c r="AB48">
        <v>3</v>
      </c>
      <c r="AD48">
        <v>3</v>
      </c>
      <c r="AE48" t="s">
        <v>103</v>
      </c>
      <c r="AF48" t="s">
        <v>91</v>
      </c>
      <c r="AG48" t="s">
        <v>148</v>
      </c>
      <c r="AH48" t="s">
        <v>151</v>
      </c>
      <c r="AI48">
        <v>0</v>
      </c>
      <c r="AJ48">
        <v>43</v>
      </c>
    </row>
    <row r="49" spans="1:36" x14ac:dyDescent="0.25">
      <c r="A49" t="s">
        <v>1204</v>
      </c>
      <c r="B49">
        <v>47</v>
      </c>
      <c r="C49" t="s">
        <v>53</v>
      </c>
      <c r="D49">
        <v>3</v>
      </c>
      <c r="E49">
        <v>3</v>
      </c>
      <c r="F49">
        <v>3</v>
      </c>
      <c r="G49" t="s">
        <v>112</v>
      </c>
      <c r="H49" t="s">
        <v>83</v>
      </c>
      <c r="I49" t="s">
        <v>97</v>
      </c>
      <c r="J49" t="s">
        <v>115</v>
      </c>
      <c r="K49" t="s">
        <v>43</v>
      </c>
      <c r="L49">
        <v>3</v>
      </c>
      <c r="N49">
        <v>3</v>
      </c>
      <c r="O49" t="s">
        <v>135</v>
      </c>
      <c r="P49" t="s">
        <v>74</v>
      </c>
      <c r="Q49" t="s">
        <v>137</v>
      </c>
      <c r="R49" t="s">
        <v>138</v>
      </c>
      <c r="S49" t="s">
        <v>45</v>
      </c>
      <c r="T49">
        <v>1</v>
      </c>
      <c r="V49">
        <v>1</v>
      </c>
      <c r="W49" t="s">
        <v>86</v>
      </c>
      <c r="X49" t="s">
        <v>92</v>
      </c>
      <c r="Y49" t="s">
        <v>102</v>
      </c>
      <c r="Z49" t="s">
        <v>143</v>
      </c>
      <c r="AA49" t="s">
        <v>38</v>
      </c>
      <c r="AB49">
        <v>3</v>
      </c>
      <c r="AC49">
        <v>3</v>
      </c>
      <c r="AD49">
        <v>3</v>
      </c>
      <c r="AE49" t="s">
        <v>39</v>
      </c>
      <c r="AF49" t="s">
        <v>40</v>
      </c>
      <c r="AG49" t="s">
        <v>153</v>
      </c>
      <c r="AH49" t="s">
        <v>42</v>
      </c>
      <c r="AI49">
        <v>0</v>
      </c>
      <c r="AJ49">
        <v>51</v>
      </c>
    </row>
    <row r="50" spans="1:36" x14ac:dyDescent="0.25">
      <c r="A50" t="s">
        <v>1205</v>
      </c>
      <c r="B50">
        <v>48</v>
      </c>
      <c r="C50" t="s">
        <v>53</v>
      </c>
      <c r="D50">
        <v>3</v>
      </c>
      <c r="E50">
        <v>3</v>
      </c>
      <c r="F50">
        <v>3</v>
      </c>
      <c r="G50" t="s">
        <v>112</v>
      </c>
      <c r="H50" t="s">
        <v>83</v>
      </c>
      <c r="I50" t="s">
        <v>97</v>
      </c>
      <c r="J50" t="s">
        <v>98</v>
      </c>
      <c r="K50" t="s">
        <v>43</v>
      </c>
      <c r="L50">
        <v>2</v>
      </c>
      <c r="N50">
        <v>3</v>
      </c>
      <c r="O50" t="s">
        <v>73</v>
      </c>
      <c r="P50" t="s">
        <v>136</v>
      </c>
      <c r="Q50" t="s">
        <v>75</v>
      </c>
      <c r="R50" t="s">
        <v>139</v>
      </c>
      <c r="S50" t="s">
        <v>45</v>
      </c>
      <c r="T50">
        <v>2</v>
      </c>
      <c r="V50">
        <v>2</v>
      </c>
      <c r="W50" t="s">
        <v>47</v>
      </c>
      <c r="X50" t="s">
        <v>92</v>
      </c>
      <c r="Y50" t="s">
        <v>102</v>
      </c>
      <c r="Z50" t="s">
        <v>144</v>
      </c>
      <c r="AA50" t="s">
        <v>227</v>
      </c>
      <c r="AB50">
        <v>3</v>
      </c>
      <c r="AC50">
        <v>3</v>
      </c>
      <c r="AD50">
        <v>3</v>
      </c>
      <c r="AE50" t="s">
        <v>228</v>
      </c>
      <c r="AF50" t="s">
        <v>231</v>
      </c>
      <c r="AG50" t="s">
        <v>235</v>
      </c>
      <c r="AH50" t="s">
        <v>238</v>
      </c>
      <c r="AI50">
        <v>0</v>
      </c>
      <c r="AJ50">
        <v>39</v>
      </c>
    </row>
    <row r="51" spans="1:36" x14ac:dyDescent="0.25">
      <c r="A51" t="s">
        <v>1206</v>
      </c>
      <c r="B51">
        <v>49</v>
      </c>
      <c r="C51" t="s">
        <v>38</v>
      </c>
      <c r="D51">
        <v>3</v>
      </c>
      <c r="E51">
        <v>3</v>
      </c>
      <c r="F51">
        <v>3</v>
      </c>
      <c r="G51" t="s">
        <v>39</v>
      </c>
      <c r="H51" t="s">
        <v>96</v>
      </c>
      <c r="I51" t="s">
        <v>41</v>
      </c>
      <c r="J51" t="s">
        <v>156</v>
      </c>
      <c r="K51" t="s">
        <v>53</v>
      </c>
      <c r="L51">
        <v>1</v>
      </c>
      <c r="M51">
        <v>3</v>
      </c>
      <c r="N51">
        <v>3</v>
      </c>
      <c r="O51" t="s">
        <v>112</v>
      </c>
      <c r="P51" t="s">
        <v>83</v>
      </c>
      <c r="Q51" t="s">
        <v>97</v>
      </c>
      <c r="S51" t="s">
        <v>43</v>
      </c>
      <c r="T51">
        <v>3</v>
      </c>
      <c r="V51">
        <v>3</v>
      </c>
      <c r="W51" t="s">
        <v>135</v>
      </c>
      <c r="X51" t="s">
        <v>74</v>
      </c>
      <c r="Y51" t="s">
        <v>137</v>
      </c>
      <c r="Z51" t="s">
        <v>139</v>
      </c>
      <c r="AA51" t="s">
        <v>63</v>
      </c>
      <c r="AB51">
        <v>3</v>
      </c>
      <c r="AD51">
        <v>3</v>
      </c>
      <c r="AE51" t="s">
        <v>145</v>
      </c>
      <c r="AF51" t="s">
        <v>91</v>
      </c>
      <c r="AG51" t="s">
        <v>148</v>
      </c>
      <c r="AH51" t="s">
        <v>151</v>
      </c>
      <c r="AI51">
        <v>0</v>
      </c>
      <c r="AJ51">
        <v>43</v>
      </c>
    </row>
    <row r="52" spans="1:36" x14ac:dyDescent="0.25">
      <c r="A52" t="s">
        <v>1207</v>
      </c>
      <c r="B52">
        <v>50</v>
      </c>
      <c r="C52" t="s">
        <v>227</v>
      </c>
      <c r="D52">
        <v>3</v>
      </c>
      <c r="E52">
        <v>3</v>
      </c>
      <c r="F52">
        <v>3</v>
      </c>
      <c r="G52" t="s">
        <v>229</v>
      </c>
      <c r="H52" t="s">
        <v>232</v>
      </c>
      <c r="I52" t="s">
        <v>235</v>
      </c>
      <c r="J52" t="s">
        <v>237</v>
      </c>
      <c r="K52" t="s">
        <v>53</v>
      </c>
      <c r="L52">
        <v>3</v>
      </c>
      <c r="M52">
        <v>3</v>
      </c>
      <c r="N52">
        <v>3</v>
      </c>
      <c r="O52" t="s">
        <v>112</v>
      </c>
      <c r="P52" t="s">
        <v>83</v>
      </c>
      <c r="Q52" t="s">
        <v>97</v>
      </c>
      <c r="R52" t="s">
        <v>115</v>
      </c>
      <c r="S52" t="s">
        <v>43</v>
      </c>
      <c r="T52">
        <v>3</v>
      </c>
      <c r="V52">
        <v>3</v>
      </c>
      <c r="W52" t="s">
        <v>44</v>
      </c>
      <c r="X52" t="s">
        <v>74</v>
      </c>
      <c r="Y52" t="s">
        <v>100</v>
      </c>
      <c r="Z52" t="s">
        <v>138</v>
      </c>
      <c r="AA52" t="s">
        <v>63</v>
      </c>
      <c r="AB52">
        <v>3</v>
      </c>
      <c r="AD52">
        <v>3</v>
      </c>
      <c r="AE52" t="s">
        <v>103</v>
      </c>
      <c r="AF52" t="s">
        <v>91</v>
      </c>
      <c r="AG52" t="s">
        <v>148</v>
      </c>
      <c r="AH52" t="s">
        <v>151</v>
      </c>
      <c r="AI52">
        <v>0</v>
      </c>
      <c r="AJ52">
        <v>59</v>
      </c>
    </row>
    <row r="53" spans="1:36" x14ac:dyDescent="0.25">
      <c r="A53" t="s">
        <v>1208</v>
      </c>
      <c r="B53">
        <v>51</v>
      </c>
      <c r="C53" t="s">
        <v>227</v>
      </c>
      <c r="D53">
        <v>3</v>
      </c>
      <c r="E53">
        <v>3</v>
      </c>
      <c r="F53">
        <v>3</v>
      </c>
      <c r="G53" t="s">
        <v>229</v>
      </c>
      <c r="H53" t="s">
        <v>231</v>
      </c>
      <c r="I53" t="s">
        <v>235</v>
      </c>
      <c r="J53" t="s">
        <v>238</v>
      </c>
      <c r="K53" t="s">
        <v>53</v>
      </c>
      <c r="L53">
        <v>3</v>
      </c>
      <c r="M53">
        <v>3</v>
      </c>
      <c r="N53">
        <v>3</v>
      </c>
      <c r="O53" t="s">
        <v>112</v>
      </c>
      <c r="P53" t="s">
        <v>83</v>
      </c>
      <c r="Q53" t="s">
        <v>97</v>
      </c>
      <c r="R53" t="s">
        <v>98</v>
      </c>
      <c r="S53" t="s">
        <v>43</v>
      </c>
      <c r="T53">
        <v>3</v>
      </c>
      <c r="V53">
        <v>3</v>
      </c>
      <c r="W53" t="s">
        <v>135</v>
      </c>
      <c r="X53" t="s">
        <v>74</v>
      </c>
      <c r="Y53" t="s">
        <v>137</v>
      </c>
      <c r="Z53" t="s">
        <v>138</v>
      </c>
      <c r="AA53" t="s">
        <v>38</v>
      </c>
      <c r="AB53">
        <v>3</v>
      </c>
      <c r="AC53">
        <v>3</v>
      </c>
      <c r="AD53">
        <v>3</v>
      </c>
      <c r="AE53" t="s">
        <v>39</v>
      </c>
      <c r="AF53" t="s">
        <v>40</v>
      </c>
      <c r="AG53" t="s">
        <v>153</v>
      </c>
      <c r="AH53" t="s">
        <v>156</v>
      </c>
      <c r="AI53">
        <v>0</v>
      </c>
      <c r="AJ53">
        <v>59</v>
      </c>
    </row>
    <row r="54" spans="1:36" x14ac:dyDescent="0.25">
      <c r="A54" t="s">
        <v>1209</v>
      </c>
      <c r="B54">
        <v>52</v>
      </c>
      <c r="C54" t="s">
        <v>53</v>
      </c>
      <c r="D54">
        <v>3</v>
      </c>
      <c r="E54">
        <v>3</v>
      </c>
      <c r="F54">
        <v>3</v>
      </c>
      <c r="G54" t="s">
        <v>112</v>
      </c>
      <c r="H54" t="s">
        <v>83</v>
      </c>
      <c r="I54" t="s">
        <v>97</v>
      </c>
      <c r="J54" t="s">
        <v>115</v>
      </c>
      <c r="K54" t="s">
        <v>45</v>
      </c>
      <c r="L54">
        <v>3</v>
      </c>
      <c r="N54">
        <v>3</v>
      </c>
      <c r="O54" t="s">
        <v>86</v>
      </c>
      <c r="P54" t="s">
        <v>141</v>
      </c>
      <c r="Q54" t="s">
        <v>93</v>
      </c>
      <c r="R54" t="s">
        <v>143</v>
      </c>
      <c r="S54" t="s">
        <v>63</v>
      </c>
      <c r="T54">
        <v>3</v>
      </c>
      <c r="V54">
        <v>3</v>
      </c>
      <c r="W54" t="s">
        <v>103</v>
      </c>
      <c r="X54" t="s">
        <v>91</v>
      </c>
      <c r="Y54" t="s">
        <v>148</v>
      </c>
      <c r="Z54" t="s">
        <v>151</v>
      </c>
      <c r="AA54" t="s">
        <v>38</v>
      </c>
      <c r="AB54">
        <v>3</v>
      </c>
      <c r="AC54">
        <v>3</v>
      </c>
      <c r="AD54">
        <v>3</v>
      </c>
      <c r="AE54" t="s">
        <v>39</v>
      </c>
      <c r="AF54" t="s">
        <v>70</v>
      </c>
      <c r="AG54" t="s">
        <v>154</v>
      </c>
      <c r="AH54" t="s">
        <v>156</v>
      </c>
      <c r="AI54">
        <v>0</v>
      </c>
      <c r="AJ54">
        <v>56</v>
      </c>
    </row>
    <row r="55" spans="1:36" x14ac:dyDescent="0.25">
      <c r="A55" t="s">
        <v>1210</v>
      </c>
      <c r="B55">
        <v>53</v>
      </c>
      <c r="C55" t="s">
        <v>63</v>
      </c>
      <c r="D55">
        <v>3</v>
      </c>
      <c r="F55">
        <v>3</v>
      </c>
      <c r="G55" t="s">
        <v>103</v>
      </c>
      <c r="H55" t="s">
        <v>91</v>
      </c>
      <c r="I55" t="s">
        <v>148</v>
      </c>
      <c r="J55" t="s">
        <v>151</v>
      </c>
      <c r="K55" t="s">
        <v>53</v>
      </c>
      <c r="L55">
        <v>3</v>
      </c>
      <c r="M55">
        <v>3</v>
      </c>
      <c r="N55">
        <v>3</v>
      </c>
      <c r="O55" t="s">
        <v>112</v>
      </c>
      <c r="P55" t="s">
        <v>55</v>
      </c>
      <c r="Q55" t="s">
        <v>97</v>
      </c>
      <c r="R55" t="s">
        <v>115</v>
      </c>
      <c r="S55" t="s">
        <v>45</v>
      </c>
      <c r="T55">
        <v>3</v>
      </c>
      <c r="V55">
        <v>3</v>
      </c>
      <c r="W55" t="s">
        <v>47</v>
      </c>
      <c r="X55" t="s">
        <v>76</v>
      </c>
      <c r="Y55" t="s">
        <v>93</v>
      </c>
      <c r="Z55" t="s">
        <v>143</v>
      </c>
      <c r="AA55" t="s">
        <v>227</v>
      </c>
      <c r="AB55">
        <v>3</v>
      </c>
      <c r="AC55">
        <v>3</v>
      </c>
      <c r="AD55">
        <v>3</v>
      </c>
      <c r="AE55" t="s">
        <v>229</v>
      </c>
      <c r="AF55" t="s">
        <v>233</v>
      </c>
      <c r="AG55" t="s">
        <v>235</v>
      </c>
      <c r="AH55" t="s">
        <v>238</v>
      </c>
      <c r="AI55">
        <v>0</v>
      </c>
      <c r="AJ55">
        <v>58</v>
      </c>
    </row>
    <row r="56" spans="1:36" x14ac:dyDescent="0.25">
      <c r="A56" t="s">
        <v>1211</v>
      </c>
      <c r="B56">
        <v>54</v>
      </c>
      <c r="C56" t="s">
        <v>227</v>
      </c>
      <c r="D56">
        <v>3</v>
      </c>
      <c r="E56">
        <v>3</v>
      </c>
      <c r="F56">
        <v>3</v>
      </c>
      <c r="G56" t="s">
        <v>228</v>
      </c>
      <c r="H56" t="s">
        <v>231</v>
      </c>
      <c r="I56" t="s">
        <v>235</v>
      </c>
      <c r="J56" t="s">
        <v>238</v>
      </c>
      <c r="K56" t="s">
        <v>53</v>
      </c>
      <c r="L56">
        <v>3</v>
      </c>
      <c r="M56">
        <v>3</v>
      </c>
      <c r="N56">
        <v>3</v>
      </c>
      <c r="O56" t="s">
        <v>112</v>
      </c>
      <c r="P56" t="s">
        <v>83</v>
      </c>
      <c r="Q56" t="s">
        <v>97</v>
      </c>
      <c r="R56" t="s">
        <v>98</v>
      </c>
      <c r="S56" t="s">
        <v>45</v>
      </c>
      <c r="T56">
        <v>3</v>
      </c>
      <c r="V56">
        <v>1</v>
      </c>
      <c r="W56" t="s">
        <v>86</v>
      </c>
      <c r="X56" t="s">
        <v>92</v>
      </c>
      <c r="Y56" t="s">
        <v>102</v>
      </c>
      <c r="Z56" t="s">
        <v>144</v>
      </c>
      <c r="AA56" t="s">
        <v>38</v>
      </c>
      <c r="AB56">
        <v>3</v>
      </c>
      <c r="AC56">
        <v>3</v>
      </c>
      <c r="AD56">
        <v>3</v>
      </c>
      <c r="AE56" t="s">
        <v>39</v>
      </c>
      <c r="AF56" t="s">
        <v>40</v>
      </c>
      <c r="AG56" t="s">
        <v>41</v>
      </c>
      <c r="AH56" t="s">
        <v>156</v>
      </c>
      <c r="AI56">
        <v>0</v>
      </c>
      <c r="AJ56">
        <v>49</v>
      </c>
    </row>
    <row r="57" spans="1:36" x14ac:dyDescent="0.25">
      <c r="A57" t="s">
        <v>1212</v>
      </c>
      <c r="B57">
        <v>55</v>
      </c>
      <c r="C57" t="s">
        <v>63</v>
      </c>
      <c r="D57">
        <v>3</v>
      </c>
      <c r="F57">
        <v>3</v>
      </c>
      <c r="G57" t="s">
        <v>103</v>
      </c>
      <c r="H57" t="s">
        <v>91</v>
      </c>
      <c r="I57" t="s">
        <v>148</v>
      </c>
      <c r="J57" t="s">
        <v>151</v>
      </c>
      <c r="K57" t="s">
        <v>53</v>
      </c>
      <c r="L57">
        <v>3</v>
      </c>
      <c r="M57">
        <v>3</v>
      </c>
      <c r="N57">
        <v>3</v>
      </c>
      <c r="O57" t="s">
        <v>112</v>
      </c>
      <c r="P57" t="s">
        <v>83</v>
      </c>
      <c r="Q57" t="s">
        <v>114</v>
      </c>
      <c r="R57" t="s">
        <v>115</v>
      </c>
      <c r="S57" t="s">
        <v>38</v>
      </c>
      <c r="T57">
        <v>3</v>
      </c>
      <c r="U57">
        <v>3</v>
      </c>
      <c r="V57">
        <v>3</v>
      </c>
      <c r="W57" t="s">
        <v>39</v>
      </c>
      <c r="X57" t="s">
        <v>40</v>
      </c>
      <c r="Y57" t="s">
        <v>154</v>
      </c>
      <c r="Z57" t="s">
        <v>156</v>
      </c>
      <c r="AA57" t="s">
        <v>227</v>
      </c>
      <c r="AB57">
        <v>3</v>
      </c>
      <c r="AC57">
        <v>3</v>
      </c>
      <c r="AD57">
        <v>3</v>
      </c>
      <c r="AE57" t="s">
        <v>229</v>
      </c>
      <c r="AF57" t="s">
        <v>232</v>
      </c>
      <c r="AG57" t="s">
        <v>235</v>
      </c>
      <c r="AH57" t="s">
        <v>239</v>
      </c>
      <c r="AI57">
        <v>0</v>
      </c>
      <c r="AJ57">
        <v>60</v>
      </c>
    </row>
    <row r="58" spans="1:36" x14ac:dyDescent="0.25">
      <c r="A58" t="s">
        <v>1213</v>
      </c>
      <c r="B58">
        <v>56</v>
      </c>
      <c r="C58" t="s">
        <v>33</v>
      </c>
      <c r="D58">
        <v>3</v>
      </c>
      <c r="F58">
        <v>3</v>
      </c>
      <c r="G58" t="s">
        <v>65</v>
      </c>
      <c r="H58" t="s">
        <v>130</v>
      </c>
      <c r="I58" t="s">
        <v>36</v>
      </c>
      <c r="J58" t="s">
        <v>37</v>
      </c>
      <c r="K58" t="s">
        <v>56</v>
      </c>
      <c r="L58">
        <v>3</v>
      </c>
      <c r="N58">
        <v>3</v>
      </c>
      <c r="O58" t="s">
        <v>120</v>
      </c>
      <c r="P58" t="s">
        <v>69</v>
      </c>
      <c r="Q58" t="s">
        <v>85</v>
      </c>
      <c r="R58" t="s">
        <v>88</v>
      </c>
      <c r="S58" t="s">
        <v>48</v>
      </c>
      <c r="T58">
        <v>1</v>
      </c>
      <c r="V58">
        <v>1</v>
      </c>
      <c r="W58" t="s">
        <v>126</v>
      </c>
      <c r="X58" t="s">
        <v>84</v>
      </c>
      <c r="Y58" t="s">
        <v>90</v>
      </c>
      <c r="Z58" t="s">
        <v>128</v>
      </c>
      <c r="AA58" t="s">
        <v>43</v>
      </c>
      <c r="AB58">
        <v>2</v>
      </c>
      <c r="AD58">
        <v>3</v>
      </c>
      <c r="AE58" t="s">
        <v>73</v>
      </c>
      <c r="AF58" t="s">
        <v>136</v>
      </c>
      <c r="AI58">
        <v>0</v>
      </c>
      <c r="AJ58">
        <v>27</v>
      </c>
    </row>
    <row r="59" spans="1:36" x14ac:dyDescent="0.25">
      <c r="A59" t="s">
        <v>1214</v>
      </c>
      <c r="B59">
        <v>57</v>
      </c>
      <c r="C59" t="s">
        <v>56</v>
      </c>
      <c r="D59">
        <v>3</v>
      </c>
      <c r="F59">
        <v>3</v>
      </c>
      <c r="G59" t="s">
        <v>120</v>
      </c>
      <c r="H59" t="s">
        <v>69</v>
      </c>
      <c r="I59" t="s">
        <v>87</v>
      </c>
      <c r="J59" t="s">
        <v>124</v>
      </c>
      <c r="K59" t="s">
        <v>48</v>
      </c>
      <c r="L59">
        <v>1</v>
      </c>
      <c r="N59">
        <v>1</v>
      </c>
      <c r="O59" t="s">
        <v>126</v>
      </c>
      <c r="P59" t="s">
        <v>84</v>
      </c>
      <c r="Q59" t="s">
        <v>90</v>
      </c>
      <c r="R59" t="s">
        <v>128</v>
      </c>
      <c r="S59" t="s">
        <v>33</v>
      </c>
      <c r="T59">
        <v>3</v>
      </c>
      <c r="V59">
        <v>3</v>
      </c>
      <c r="W59" t="s">
        <v>65</v>
      </c>
      <c r="X59" t="s">
        <v>130</v>
      </c>
      <c r="Y59" t="s">
        <v>131</v>
      </c>
      <c r="Z59" t="s">
        <v>133</v>
      </c>
      <c r="AA59" t="s">
        <v>45</v>
      </c>
      <c r="AB59">
        <v>3</v>
      </c>
      <c r="AD59">
        <v>3</v>
      </c>
      <c r="AE59" t="s">
        <v>86</v>
      </c>
      <c r="AF59" t="s">
        <v>141</v>
      </c>
      <c r="AG59" t="s">
        <v>142</v>
      </c>
      <c r="AH59" t="s">
        <v>144</v>
      </c>
      <c r="AI59">
        <v>0</v>
      </c>
      <c r="AJ59">
        <v>36</v>
      </c>
    </row>
    <row r="60" spans="1:36" x14ac:dyDescent="0.25">
      <c r="A60" t="s">
        <v>1215</v>
      </c>
      <c r="B60">
        <v>58</v>
      </c>
      <c r="C60" t="s">
        <v>33</v>
      </c>
      <c r="D60">
        <v>3</v>
      </c>
      <c r="F60">
        <v>3</v>
      </c>
      <c r="G60" t="s">
        <v>34</v>
      </c>
      <c r="H60" t="s">
        <v>130</v>
      </c>
      <c r="I60" t="s">
        <v>132</v>
      </c>
      <c r="J60" t="s">
        <v>133</v>
      </c>
      <c r="K60" t="s">
        <v>56</v>
      </c>
      <c r="L60">
        <v>3</v>
      </c>
      <c r="N60">
        <v>3</v>
      </c>
      <c r="O60" t="s">
        <v>120</v>
      </c>
      <c r="P60" t="s">
        <v>69</v>
      </c>
      <c r="Q60" t="s">
        <v>87</v>
      </c>
      <c r="R60" t="s">
        <v>125</v>
      </c>
      <c r="S60" t="s">
        <v>48</v>
      </c>
      <c r="T60">
        <v>1</v>
      </c>
      <c r="V60">
        <v>2</v>
      </c>
      <c r="W60" t="s">
        <v>126</v>
      </c>
      <c r="X60" t="s">
        <v>84</v>
      </c>
      <c r="Y60" t="s">
        <v>90</v>
      </c>
      <c r="AA60" t="s">
        <v>63</v>
      </c>
      <c r="AB60">
        <v>3</v>
      </c>
      <c r="AD60">
        <v>3</v>
      </c>
      <c r="AE60" t="s">
        <v>145</v>
      </c>
      <c r="AF60" t="s">
        <v>91</v>
      </c>
      <c r="AG60" t="s">
        <v>148</v>
      </c>
      <c r="AH60" t="s">
        <v>151</v>
      </c>
      <c r="AI60">
        <v>0</v>
      </c>
      <c r="AJ60">
        <v>32</v>
      </c>
    </row>
    <row r="61" spans="1:36" x14ac:dyDescent="0.25">
      <c r="A61" t="s">
        <v>1216</v>
      </c>
      <c r="B61">
        <v>59</v>
      </c>
      <c r="C61" t="s">
        <v>38</v>
      </c>
      <c r="D61">
        <v>3</v>
      </c>
      <c r="E61">
        <v>3</v>
      </c>
      <c r="F61">
        <v>3</v>
      </c>
      <c r="G61" t="s">
        <v>39</v>
      </c>
      <c r="H61" t="s">
        <v>40</v>
      </c>
      <c r="I61" t="s">
        <v>153</v>
      </c>
      <c r="J61" t="s">
        <v>156</v>
      </c>
      <c r="K61" t="s">
        <v>56</v>
      </c>
      <c r="L61">
        <v>2</v>
      </c>
      <c r="N61">
        <v>3</v>
      </c>
      <c r="O61" t="s">
        <v>120</v>
      </c>
      <c r="P61" t="s">
        <v>69</v>
      </c>
      <c r="Q61" t="s">
        <v>87</v>
      </c>
      <c r="R61" t="s">
        <v>88</v>
      </c>
      <c r="S61" t="s">
        <v>48</v>
      </c>
      <c r="T61">
        <v>1</v>
      </c>
      <c r="V61">
        <v>2</v>
      </c>
      <c r="W61" t="s">
        <v>126</v>
      </c>
      <c r="X61" t="s">
        <v>84</v>
      </c>
      <c r="Y61" t="s">
        <v>90</v>
      </c>
      <c r="AA61" t="s">
        <v>33</v>
      </c>
      <c r="AB61">
        <v>3</v>
      </c>
      <c r="AD61">
        <v>3</v>
      </c>
      <c r="AE61" t="s">
        <v>65</v>
      </c>
      <c r="AF61" t="s">
        <v>130</v>
      </c>
      <c r="AG61" t="s">
        <v>132</v>
      </c>
      <c r="AH61" t="s">
        <v>133</v>
      </c>
      <c r="AI61">
        <v>0</v>
      </c>
      <c r="AJ61">
        <v>32</v>
      </c>
    </row>
    <row r="62" spans="1:36" x14ac:dyDescent="0.25">
      <c r="A62" t="s">
        <v>1217</v>
      </c>
      <c r="B62">
        <v>60</v>
      </c>
      <c r="C62" t="s">
        <v>56</v>
      </c>
      <c r="D62">
        <v>3</v>
      </c>
      <c r="F62">
        <v>3</v>
      </c>
      <c r="G62" t="s">
        <v>120</v>
      </c>
      <c r="H62" t="s">
        <v>69</v>
      </c>
      <c r="I62" t="s">
        <v>87</v>
      </c>
      <c r="J62" t="s">
        <v>88</v>
      </c>
      <c r="K62" t="s">
        <v>48</v>
      </c>
      <c r="L62">
        <v>1</v>
      </c>
      <c r="N62">
        <v>1</v>
      </c>
      <c r="O62" t="s">
        <v>126</v>
      </c>
      <c r="P62" t="s">
        <v>84</v>
      </c>
      <c r="Q62" t="s">
        <v>90</v>
      </c>
      <c r="S62" t="s">
        <v>33</v>
      </c>
      <c r="T62">
        <v>2</v>
      </c>
      <c r="V62">
        <v>2</v>
      </c>
      <c r="W62" t="s">
        <v>65</v>
      </c>
      <c r="X62" t="s">
        <v>130</v>
      </c>
      <c r="Y62" t="s">
        <v>36</v>
      </c>
      <c r="Z62" t="s">
        <v>37</v>
      </c>
      <c r="AA62" t="s">
        <v>227</v>
      </c>
      <c r="AB62">
        <v>2</v>
      </c>
      <c r="AC62">
        <v>3</v>
      </c>
      <c r="AD62">
        <v>3</v>
      </c>
      <c r="AE62" t="s">
        <v>229</v>
      </c>
      <c r="AF62" t="s">
        <v>233</v>
      </c>
      <c r="AG62" t="s">
        <v>235</v>
      </c>
      <c r="AH62" t="s">
        <v>238</v>
      </c>
      <c r="AI62">
        <v>0</v>
      </c>
      <c r="AJ62">
        <v>27</v>
      </c>
    </row>
    <row r="63" spans="1:36" x14ac:dyDescent="0.25">
      <c r="A63" t="s">
        <v>1218</v>
      </c>
      <c r="B63">
        <v>61</v>
      </c>
      <c r="C63" t="s">
        <v>43</v>
      </c>
      <c r="D63">
        <v>3</v>
      </c>
      <c r="F63">
        <v>3</v>
      </c>
      <c r="G63" t="s">
        <v>73</v>
      </c>
      <c r="H63" t="s">
        <v>136</v>
      </c>
      <c r="I63" t="s">
        <v>100</v>
      </c>
      <c r="J63" t="s">
        <v>138</v>
      </c>
      <c r="K63" t="s">
        <v>56</v>
      </c>
      <c r="L63">
        <v>3</v>
      </c>
      <c r="N63">
        <v>3</v>
      </c>
      <c r="O63" t="s">
        <v>120</v>
      </c>
      <c r="P63" t="s">
        <v>69</v>
      </c>
      <c r="Q63" t="s">
        <v>87</v>
      </c>
      <c r="R63" t="s">
        <v>88</v>
      </c>
      <c r="S63" t="s">
        <v>48</v>
      </c>
      <c r="T63">
        <v>1</v>
      </c>
      <c r="V63">
        <v>1</v>
      </c>
      <c r="W63" t="s">
        <v>126</v>
      </c>
      <c r="X63" t="s">
        <v>84</v>
      </c>
      <c r="AA63" t="s">
        <v>45</v>
      </c>
      <c r="AB63">
        <v>3</v>
      </c>
      <c r="AD63">
        <v>3</v>
      </c>
      <c r="AE63" t="s">
        <v>86</v>
      </c>
      <c r="AF63" t="s">
        <v>141</v>
      </c>
      <c r="AG63" t="s">
        <v>142</v>
      </c>
      <c r="AH63" t="s">
        <v>144</v>
      </c>
      <c r="AI63">
        <v>0</v>
      </c>
      <c r="AJ63">
        <v>40</v>
      </c>
    </row>
    <row r="64" spans="1:36" x14ac:dyDescent="0.25">
      <c r="A64" t="s">
        <v>1219</v>
      </c>
      <c r="B64">
        <v>62</v>
      </c>
      <c r="C64" t="s">
        <v>43</v>
      </c>
      <c r="D64">
        <v>3</v>
      </c>
      <c r="F64">
        <v>3</v>
      </c>
      <c r="G64" t="s">
        <v>73</v>
      </c>
      <c r="H64" t="s">
        <v>74</v>
      </c>
      <c r="I64" t="s">
        <v>75</v>
      </c>
      <c r="J64" t="s">
        <v>101</v>
      </c>
      <c r="K64" t="s">
        <v>56</v>
      </c>
      <c r="L64">
        <v>3</v>
      </c>
      <c r="N64">
        <v>3</v>
      </c>
      <c r="O64" t="s">
        <v>120</v>
      </c>
      <c r="P64" t="s">
        <v>121</v>
      </c>
      <c r="Q64" t="s">
        <v>123</v>
      </c>
      <c r="R64" t="s">
        <v>88</v>
      </c>
      <c r="S64" t="s">
        <v>48</v>
      </c>
      <c r="T64">
        <v>3</v>
      </c>
      <c r="V64">
        <v>3</v>
      </c>
      <c r="W64" t="s">
        <v>126</v>
      </c>
      <c r="X64" t="s">
        <v>84</v>
      </c>
      <c r="Y64" t="s">
        <v>90</v>
      </c>
      <c r="Z64" t="s">
        <v>128</v>
      </c>
      <c r="AA64" t="s">
        <v>63</v>
      </c>
      <c r="AB64">
        <v>3</v>
      </c>
      <c r="AD64">
        <v>3</v>
      </c>
      <c r="AE64" t="s">
        <v>145</v>
      </c>
      <c r="AF64" t="s">
        <v>91</v>
      </c>
      <c r="AG64" t="s">
        <v>148</v>
      </c>
      <c r="AH64" t="s">
        <v>151</v>
      </c>
      <c r="AI64">
        <v>0</v>
      </c>
      <c r="AJ64">
        <v>49</v>
      </c>
    </row>
    <row r="65" spans="1:36" x14ac:dyDescent="0.25">
      <c r="A65" t="s">
        <v>1220</v>
      </c>
      <c r="B65">
        <v>63</v>
      </c>
      <c r="C65" t="s">
        <v>56</v>
      </c>
      <c r="D65">
        <v>3</v>
      </c>
      <c r="F65">
        <v>3</v>
      </c>
      <c r="G65" t="s">
        <v>120</v>
      </c>
      <c r="H65" t="s">
        <v>122</v>
      </c>
      <c r="I65" t="s">
        <v>123</v>
      </c>
      <c r="J65" t="s">
        <v>125</v>
      </c>
      <c r="K65" t="s">
        <v>48</v>
      </c>
      <c r="L65">
        <v>3</v>
      </c>
      <c r="N65">
        <v>3</v>
      </c>
      <c r="O65" t="s">
        <v>126</v>
      </c>
      <c r="P65" t="s">
        <v>84</v>
      </c>
      <c r="Q65" t="s">
        <v>90</v>
      </c>
      <c r="R65" t="s">
        <v>128</v>
      </c>
      <c r="S65" t="s">
        <v>43</v>
      </c>
      <c r="T65">
        <v>3</v>
      </c>
      <c r="V65">
        <v>3</v>
      </c>
      <c r="W65" t="s">
        <v>73</v>
      </c>
      <c r="X65" t="s">
        <v>74</v>
      </c>
      <c r="Y65" t="s">
        <v>137</v>
      </c>
      <c r="Z65" t="s">
        <v>138</v>
      </c>
      <c r="AA65" t="s">
        <v>38</v>
      </c>
      <c r="AB65">
        <v>3</v>
      </c>
      <c r="AC65">
        <v>3</v>
      </c>
      <c r="AD65">
        <v>3</v>
      </c>
      <c r="AE65" t="s">
        <v>39</v>
      </c>
      <c r="AF65" t="s">
        <v>40</v>
      </c>
      <c r="AG65" t="s">
        <v>154</v>
      </c>
      <c r="AH65" t="s">
        <v>156</v>
      </c>
      <c r="AI65">
        <v>0</v>
      </c>
      <c r="AJ65">
        <v>54</v>
      </c>
    </row>
    <row r="66" spans="1:36" x14ac:dyDescent="0.25">
      <c r="A66" t="s">
        <v>1221</v>
      </c>
      <c r="B66">
        <v>64</v>
      </c>
      <c r="C66" t="s">
        <v>48</v>
      </c>
      <c r="D66">
        <v>3</v>
      </c>
      <c r="F66">
        <v>3</v>
      </c>
      <c r="G66" t="s">
        <v>126</v>
      </c>
      <c r="H66" t="s">
        <v>84</v>
      </c>
      <c r="I66" t="s">
        <v>90</v>
      </c>
      <c r="J66" t="s">
        <v>128</v>
      </c>
      <c r="K66" t="s">
        <v>56</v>
      </c>
      <c r="L66">
        <v>3</v>
      </c>
      <c r="N66">
        <v>3</v>
      </c>
      <c r="O66" t="s">
        <v>120</v>
      </c>
      <c r="P66" t="s">
        <v>69</v>
      </c>
      <c r="Q66" t="s">
        <v>123</v>
      </c>
      <c r="R66" t="s">
        <v>125</v>
      </c>
      <c r="S66" t="s">
        <v>43</v>
      </c>
      <c r="T66">
        <v>3</v>
      </c>
      <c r="V66">
        <v>2</v>
      </c>
      <c r="W66" t="s">
        <v>73</v>
      </c>
      <c r="X66" t="s">
        <v>136</v>
      </c>
      <c r="Y66" t="s">
        <v>100</v>
      </c>
      <c r="Z66" t="s">
        <v>138</v>
      </c>
      <c r="AA66" t="s">
        <v>227</v>
      </c>
      <c r="AB66">
        <v>3</v>
      </c>
      <c r="AC66">
        <v>3</v>
      </c>
      <c r="AD66">
        <v>3</v>
      </c>
      <c r="AE66" t="s">
        <v>229</v>
      </c>
      <c r="AF66" t="s">
        <v>233</v>
      </c>
      <c r="AG66" t="s">
        <v>235</v>
      </c>
      <c r="AH66" t="s">
        <v>238</v>
      </c>
      <c r="AI66">
        <v>0</v>
      </c>
      <c r="AJ66">
        <v>48</v>
      </c>
    </row>
    <row r="67" spans="1:36" x14ac:dyDescent="0.25">
      <c r="A67" t="s">
        <v>1222</v>
      </c>
      <c r="B67">
        <v>65</v>
      </c>
      <c r="C67" t="s">
        <v>45</v>
      </c>
      <c r="D67">
        <v>3</v>
      </c>
      <c r="F67">
        <v>3</v>
      </c>
      <c r="G67" t="s">
        <v>86</v>
      </c>
      <c r="H67" t="s">
        <v>141</v>
      </c>
      <c r="I67" t="s">
        <v>93</v>
      </c>
      <c r="J67" t="s">
        <v>94</v>
      </c>
      <c r="K67" t="s">
        <v>56</v>
      </c>
      <c r="L67">
        <v>3</v>
      </c>
      <c r="N67">
        <v>3</v>
      </c>
      <c r="O67" t="s">
        <v>57</v>
      </c>
      <c r="P67" t="s">
        <v>122</v>
      </c>
      <c r="Q67" t="s">
        <v>123</v>
      </c>
      <c r="R67" t="s">
        <v>88</v>
      </c>
      <c r="S67" t="s">
        <v>48</v>
      </c>
      <c r="T67">
        <v>3</v>
      </c>
      <c r="V67">
        <v>3</v>
      </c>
      <c r="W67" t="s">
        <v>126</v>
      </c>
      <c r="X67" t="s">
        <v>84</v>
      </c>
      <c r="Y67" t="s">
        <v>90</v>
      </c>
      <c r="Z67" t="s">
        <v>52</v>
      </c>
      <c r="AA67" t="s">
        <v>63</v>
      </c>
      <c r="AB67">
        <v>3</v>
      </c>
      <c r="AD67">
        <v>3</v>
      </c>
      <c r="AE67" t="s">
        <v>145</v>
      </c>
      <c r="AF67" t="s">
        <v>146</v>
      </c>
      <c r="AG67" t="s">
        <v>148</v>
      </c>
      <c r="AH67" t="s">
        <v>149</v>
      </c>
      <c r="AI67">
        <v>0</v>
      </c>
      <c r="AJ67">
        <v>46</v>
      </c>
    </row>
    <row r="68" spans="1:36" x14ac:dyDescent="0.25">
      <c r="A68" t="s">
        <v>1223</v>
      </c>
      <c r="B68">
        <v>66</v>
      </c>
      <c r="C68" t="s">
        <v>48</v>
      </c>
      <c r="D68">
        <v>3</v>
      </c>
      <c r="F68">
        <v>3</v>
      </c>
      <c r="G68" t="s">
        <v>126</v>
      </c>
      <c r="H68" t="s">
        <v>84</v>
      </c>
      <c r="I68" t="s">
        <v>90</v>
      </c>
      <c r="J68" t="s">
        <v>128</v>
      </c>
      <c r="K68" t="s">
        <v>56</v>
      </c>
      <c r="L68">
        <v>3</v>
      </c>
      <c r="N68">
        <v>3</v>
      </c>
      <c r="O68" t="s">
        <v>120</v>
      </c>
      <c r="P68" t="s">
        <v>69</v>
      </c>
      <c r="Q68" t="s">
        <v>87</v>
      </c>
      <c r="R68" t="s">
        <v>124</v>
      </c>
      <c r="S68" t="s">
        <v>45</v>
      </c>
      <c r="T68">
        <v>3</v>
      </c>
      <c r="V68">
        <v>3</v>
      </c>
      <c r="W68" t="s">
        <v>86</v>
      </c>
      <c r="X68" t="s">
        <v>76</v>
      </c>
      <c r="Y68" t="s">
        <v>93</v>
      </c>
      <c r="Z68" t="s">
        <v>143</v>
      </c>
      <c r="AA68" t="s">
        <v>38</v>
      </c>
      <c r="AB68">
        <v>3</v>
      </c>
      <c r="AC68">
        <v>3</v>
      </c>
      <c r="AD68">
        <v>3</v>
      </c>
      <c r="AE68" t="s">
        <v>39</v>
      </c>
      <c r="AF68" t="s">
        <v>96</v>
      </c>
      <c r="AG68" t="s">
        <v>154</v>
      </c>
      <c r="AH68" t="s">
        <v>42</v>
      </c>
      <c r="AI68">
        <v>0</v>
      </c>
      <c r="AJ68">
        <v>44</v>
      </c>
    </row>
    <row r="69" spans="1:36" x14ac:dyDescent="0.25">
      <c r="A69" t="s">
        <v>1224</v>
      </c>
      <c r="B69">
        <v>67</v>
      </c>
      <c r="C69" t="s">
        <v>48</v>
      </c>
      <c r="D69">
        <v>3</v>
      </c>
      <c r="F69">
        <v>3</v>
      </c>
      <c r="G69" t="s">
        <v>126</v>
      </c>
      <c r="H69" t="s">
        <v>84</v>
      </c>
      <c r="I69" t="s">
        <v>90</v>
      </c>
      <c r="J69" t="s">
        <v>128</v>
      </c>
      <c r="K69" t="s">
        <v>56</v>
      </c>
      <c r="L69">
        <v>3</v>
      </c>
      <c r="N69">
        <v>3</v>
      </c>
      <c r="O69" t="s">
        <v>120</v>
      </c>
      <c r="P69" t="s">
        <v>122</v>
      </c>
      <c r="Q69" t="s">
        <v>87</v>
      </c>
      <c r="R69" t="s">
        <v>125</v>
      </c>
      <c r="S69" t="s">
        <v>45</v>
      </c>
      <c r="T69">
        <v>3</v>
      </c>
      <c r="V69">
        <v>2</v>
      </c>
      <c r="W69" t="s">
        <v>47</v>
      </c>
      <c r="X69" t="s">
        <v>76</v>
      </c>
      <c r="Y69" t="s">
        <v>142</v>
      </c>
      <c r="Z69" t="s">
        <v>143</v>
      </c>
      <c r="AA69" t="s">
        <v>227</v>
      </c>
      <c r="AB69">
        <v>3</v>
      </c>
      <c r="AC69">
        <v>3</v>
      </c>
      <c r="AD69">
        <v>3</v>
      </c>
      <c r="AE69" t="s">
        <v>229</v>
      </c>
      <c r="AF69" t="s">
        <v>231</v>
      </c>
      <c r="AG69" t="s">
        <v>235</v>
      </c>
      <c r="AH69" t="s">
        <v>238</v>
      </c>
      <c r="AI69">
        <v>0</v>
      </c>
      <c r="AJ69">
        <v>48</v>
      </c>
    </row>
    <row r="70" spans="1:36" x14ac:dyDescent="0.25">
      <c r="A70" t="s">
        <v>1225</v>
      </c>
      <c r="B70">
        <v>68</v>
      </c>
      <c r="C70" t="s">
        <v>63</v>
      </c>
      <c r="D70">
        <v>3</v>
      </c>
      <c r="F70">
        <v>3</v>
      </c>
      <c r="G70" t="s">
        <v>145</v>
      </c>
      <c r="H70" t="s">
        <v>91</v>
      </c>
      <c r="I70" t="s">
        <v>148</v>
      </c>
      <c r="J70" t="s">
        <v>151</v>
      </c>
      <c r="K70" t="s">
        <v>56</v>
      </c>
      <c r="L70">
        <v>3</v>
      </c>
      <c r="N70">
        <v>1</v>
      </c>
      <c r="O70" t="s">
        <v>57</v>
      </c>
      <c r="P70" t="s">
        <v>122</v>
      </c>
      <c r="Q70" t="s">
        <v>85</v>
      </c>
      <c r="R70" t="s">
        <v>88</v>
      </c>
      <c r="S70" t="s">
        <v>48</v>
      </c>
      <c r="T70">
        <v>3</v>
      </c>
      <c r="V70">
        <v>1</v>
      </c>
      <c r="W70" t="s">
        <v>126</v>
      </c>
      <c r="X70" t="s">
        <v>84</v>
      </c>
      <c r="Y70" t="s">
        <v>127</v>
      </c>
      <c r="AA70" t="s">
        <v>38</v>
      </c>
      <c r="AB70">
        <v>3</v>
      </c>
      <c r="AC70">
        <v>3</v>
      </c>
      <c r="AD70">
        <v>3</v>
      </c>
      <c r="AE70" t="s">
        <v>39</v>
      </c>
      <c r="AF70" t="s">
        <v>96</v>
      </c>
      <c r="AG70" t="s">
        <v>41</v>
      </c>
      <c r="AH70" t="s">
        <v>42</v>
      </c>
      <c r="AI70">
        <v>0</v>
      </c>
      <c r="AJ70">
        <v>31</v>
      </c>
    </row>
    <row r="71" spans="1:36" x14ac:dyDescent="0.25">
      <c r="A71" t="s">
        <v>1226</v>
      </c>
      <c r="B71">
        <v>69</v>
      </c>
      <c r="C71" t="s">
        <v>227</v>
      </c>
      <c r="D71">
        <v>3</v>
      </c>
      <c r="E71">
        <v>2</v>
      </c>
      <c r="F71">
        <v>3</v>
      </c>
      <c r="G71" t="s">
        <v>229</v>
      </c>
      <c r="H71" t="s">
        <v>231</v>
      </c>
      <c r="I71" t="s">
        <v>235</v>
      </c>
      <c r="J71" t="s">
        <v>238</v>
      </c>
      <c r="K71" t="s">
        <v>56</v>
      </c>
      <c r="L71">
        <v>3</v>
      </c>
      <c r="N71">
        <v>3</v>
      </c>
      <c r="O71" t="s">
        <v>120</v>
      </c>
      <c r="P71" t="s">
        <v>121</v>
      </c>
      <c r="Q71" t="s">
        <v>123</v>
      </c>
      <c r="R71" t="s">
        <v>88</v>
      </c>
      <c r="S71" t="s">
        <v>48</v>
      </c>
      <c r="T71">
        <v>3</v>
      </c>
      <c r="V71">
        <v>3</v>
      </c>
      <c r="W71" t="s">
        <v>126</v>
      </c>
      <c r="X71" t="s">
        <v>84</v>
      </c>
      <c r="Y71" t="s">
        <v>127</v>
      </c>
      <c r="Z71" t="s">
        <v>128</v>
      </c>
      <c r="AA71" t="s">
        <v>63</v>
      </c>
      <c r="AB71">
        <v>1</v>
      </c>
      <c r="AD71">
        <v>2</v>
      </c>
      <c r="AE71" t="s">
        <v>145</v>
      </c>
      <c r="AF71" t="s">
        <v>91</v>
      </c>
      <c r="AG71" t="s">
        <v>148</v>
      </c>
      <c r="AH71" t="s">
        <v>151</v>
      </c>
      <c r="AI71">
        <v>0</v>
      </c>
      <c r="AJ71">
        <v>33</v>
      </c>
    </row>
    <row r="72" spans="1:36" x14ac:dyDescent="0.25">
      <c r="A72" t="s">
        <v>1227</v>
      </c>
      <c r="B72">
        <v>70</v>
      </c>
      <c r="C72" t="s">
        <v>56</v>
      </c>
      <c r="D72">
        <v>3</v>
      </c>
      <c r="F72">
        <v>3</v>
      </c>
      <c r="G72" t="s">
        <v>120</v>
      </c>
      <c r="H72" t="s">
        <v>122</v>
      </c>
      <c r="I72" t="s">
        <v>123</v>
      </c>
      <c r="J72" t="s">
        <v>124</v>
      </c>
      <c r="K72" t="s">
        <v>48</v>
      </c>
      <c r="L72">
        <v>3</v>
      </c>
      <c r="N72">
        <v>3</v>
      </c>
      <c r="O72" t="s">
        <v>126</v>
      </c>
      <c r="P72" t="s">
        <v>84</v>
      </c>
      <c r="Q72" t="s">
        <v>127</v>
      </c>
      <c r="R72" t="s">
        <v>128</v>
      </c>
      <c r="S72" t="s">
        <v>38</v>
      </c>
      <c r="T72">
        <v>2</v>
      </c>
      <c r="U72">
        <v>1</v>
      </c>
      <c r="V72">
        <v>2</v>
      </c>
      <c r="W72" t="s">
        <v>39</v>
      </c>
      <c r="X72" t="s">
        <v>40</v>
      </c>
      <c r="Y72" t="s">
        <v>153</v>
      </c>
      <c r="Z72" t="s">
        <v>42</v>
      </c>
      <c r="AA72" t="s">
        <v>227</v>
      </c>
      <c r="AB72">
        <v>3</v>
      </c>
      <c r="AC72">
        <v>3</v>
      </c>
      <c r="AD72">
        <v>3</v>
      </c>
      <c r="AE72" t="s">
        <v>229</v>
      </c>
      <c r="AF72" t="s">
        <v>231</v>
      </c>
      <c r="AG72" t="s">
        <v>235</v>
      </c>
      <c r="AH72" t="s">
        <v>238</v>
      </c>
      <c r="AI72">
        <v>0</v>
      </c>
      <c r="AJ72">
        <v>42</v>
      </c>
    </row>
    <row r="73" spans="1:36" x14ac:dyDescent="0.25">
      <c r="A73" t="s">
        <v>1228</v>
      </c>
      <c r="B73">
        <v>71</v>
      </c>
      <c r="C73" t="s">
        <v>56</v>
      </c>
      <c r="D73">
        <v>3</v>
      </c>
      <c r="F73">
        <v>3</v>
      </c>
      <c r="G73" t="s">
        <v>120</v>
      </c>
      <c r="H73" t="s">
        <v>69</v>
      </c>
      <c r="I73" t="s">
        <v>87</v>
      </c>
      <c r="K73" t="s">
        <v>33</v>
      </c>
      <c r="L73">
        <v>3</v>
      </c>
      <c r="N73">
        <v>3</v>
      </c>
      <c r="O73" t="s">
        <v>65</v>
      </c>
      <c r="P73" t="s">
        <v>66</v>
      </c>
      <c r="Q73" t="s">
        <v>131</v>
      </c>
      <c r="R73" t="s">
        <v>133</v>
      </c>
      <c r="S73" t="s">
        <v>43</v>
      </c>
      <c r="T73">
        <v>1</v>
      </c>
      <c r="V73">
        <v>1</v>
      </c>
      <c r="W73" t="s">
        <v>73</v>
      </c>
      <c r="X73" t="s">
        <v>136</v>
      </c>
      <c r="Y73" t="s">
        <v>100</v>
      </c>
      <c r="Z73" t="s">
        <v>138</v>
      </c>
      <c r="AA73" t="s">
        <v>45</v>
      </c>
      <c r="AB73">
        <v>3</v>
      </c>
      <c r="AD73">
        <v>3</v>
      </c>
      <c r="AE73" t="s">
        <v>86</v>
      </c>
      <c r="AF73" t="s">
        <v>141</v>
      </c>
      <c r="AG73" t="s">
        <v>142</v>
      </c>
      <c r="AH73" t="s">
        <v>144</v>
      </c>
      <c r="AI73">
        <v>0</v>
      </c>
      <c r="AJ73">
        <v>28</v>
      </c>
    </row>
    <row r="74" spans="1:36" x14ac:dyDescent="0.25">
      <c r="A74" t="s">
        <v>1229</v>
      </c>
      <c r="B74">
        <v>72</v>
      </c>
      <c r="C74" t="s">
        <v>56</v>
      </c>
      <c r="D74">
        <v>3</v>
      </c>
      <c r="F74">
        <v>3</v>
      </c>
      <c r="G74" t="s">
        <v>120</v>
      </c>
      <c r="H74" t="s">
        <v>69</v>
      </c>
      <c r="I74" t="s">
        <v>87</v>
      </c>
      <c r="J74" t="s">
        <v>88</v>
      </c>
      <c r="K74" t="s">
        <v>33</v>
      </c>
      <c r="L74">
        <v>1</v>
      </c>
      <c r="N74">
        <v>2</v>
      </c>
      <c r="O74" t="s">
        <v>34</v>
      </c>
      <c r="S74" t="s">
        <v>43</v>
      </c>
      <c r="T74">
        <v>3</v>
      </c>
      <c r="V74">
        <v>3</v>
      </c>
      <c r="W74" t="s">
        <v>44</v>
      </c>
      <c r="X74" t="s">
        <v>136</v>
      </c>
      <c r="Y74" t="s">
        <v>137</v>
      </c>
      <c r="Z74" t="s">
        <v>139</v>
      </c>
      <c r="AA74" t="s">
        <v>63</v>
      </c>
      <c r="AB74">
        <v>3</v>
      </c>
      <c r="AD74">
        <v>3</v>
      </c>
      <c r="AE74" t="s">
        <v>145</v>
      </c>
      <c r="AF74" t="s">
        <v>146</v>
      </c>
      <c r="AG74" t="s">
        <v>148</v>
      </c>
      <c r="AH74" t="s">
        <v>151</v>
      </c>
      <c r="AI74">
        <v>0</v>
      </c>
      <c r="AJ74">
        <v>41</v>
      </c>
    </row>
    <row r="75" spans="1:36" x14ac:dyDescent="0.25">
      <c r="A75" t="s">
        <v>1230</v>
      </c>
      <c r="B75">
        <v>73</v>
      </c>
      <c r="C75" t="s">
        <v>33</v>
      </c>
      <c r="D75">
        <v>3</v>
      </c>
      <c r="F75">
        <v>3</v>
      </c>
      <c r="G75" t="s">
        <v>65</v>
      </c>
      <c r="H75" t="s">
        <v>66</v>
      </c>
      <c r="I75" t="s">
        <v>36</v>
      </c>
      <c r="J75" t="s">
        <v>133</v>
      </c>
      <c r="K75" t="s">
        <v>56</v>
      </c>
      <c r="L75">
        <v>3</v>
      </c>
      <c r="N75">
        <v>3</v>
      </c>
      <c r="O75" t="s">
        <v>120</v>
      </c>
      <c r="P75" t="s">
        <v>69</v>
      </c>
      <c r="Q75" t="s">
        <v>87</v>
      </c>
      <c r="R75" t="s">
        <v>88</v>
      </c>
      <c r="S75" t="s">
        <v>43</v>
      </c>
      <c r="T75">
        <v>2</v>
      </c>
      <c r="V75">
        <v>3</v>
      </c>
      <c r="W75" t="s">
        <v>44</v>
      </c>
      <c r="X75" t="s">
        <v>136</v>
      </c>
      <c r="Y75" t="s">
        <v>100</v>
      </c>
      <c r="Z75" t="s">
        <v>101</v>
      </c>
      <c r="AA75" t="s">
        <v>38</v>
      </c>
      <c r="AB75">
        <v>3</v>
      </c>
      <c r="AC75">
        <v>2</v>
      </c>
      <c r="AD75">
        <v>3</v>
      </c>
      <c r="AE75" t="s">
        <v>39</v>
      </c>
      <c r="AF75" t="s">
        <v>40</v>
      </c>
      <c r="AG75" t="s">
        <v>153</v>
      </c>
      <c r="AH75" t="s">
        <v>156</v>
      </c>
      <c r="AI75">
        <v>0</v>
      </c>
      <c r="AJ75">
        <v>35</v>
      </c>
    </row>
    <row r="76" spans="1:36" x14ac:dyDescent="0.25">
      <c r="A76" t="s">
        <v>1231</v>
      </c>
      <c r="B76">
        <v>74</v>
      </c>
      <c r="C76" t="s">
        <v>33</v>
      </c>
      <c r="D76">
        <v>3</v>
      </c>
      <c r="F76">
        <v>3</v>
      </c>
      <c r="G76" t="s">
        <v>65</v>
      </c>
      <c r="H76" t="s">
        <v>66</v>
      </c>
      <c r="I76" t="s">
        <v>131</v>
      </c>
      <c r="J76" t="s">
        <v>37</v>
      </c>
      <c r="K76" t="s">
        <v>56</v>
      </c>
      <c r="L76">
        <v>3</v>
      </c>
      <c r="N76">
        <v>3</v>
      </c>
      <c r="O76" t="s">
        <v>120</v>
      </c>
      <c r="P76" t="s">
        <v>69</v>
      </c>
      <c r="Q76" t="s">
        <v>87</v>
      </c>
      <c r="R76" t="s">
        <v>88</v>
      </c>
      <c r="S76" t="s">
        <v>43</v>
      </c>
      <c r="T76">
        <v>1</v>
      </c>
      <c r="V76">
        <v>3</v>
      </c>
      <c r="W76" t="s">
        <v>73</v>
      </c>
      <c r="X76" t="s">
        <v>136</v>
      </c>
      <c r="Y76" t="s">
        <v>100</v>
      </c>
      <c r="Z76" t="s">
        <v>139</v>
      </c>
      <c r="AA76" t="s">
        <v>227</v>
      </c>
      <c r="AB76">
        <v>1</v>
      </c>
      <c r="AC76">
        <v>3</v>
      </c>
      <c r="AD76">
        <v>3</v>
      </c>
      <c r="AE76" t="s">
        <v>229</v>
      </c>
      <c r="AF76" t="s">
        <v>233</v>
      </c>
      <c r="AG76" t="s">
        <v>235</v>
      </c>
      <c r="AH76" t="s">
        <v>238</v>
      </c>
      <c r="AI76">
        <v>0</v>
      </c>
      <c r="AJ76">
        <v>36</v>
      </c>
    </row>
    <row r="77" spans="1:36" x14ac:dyDescent="0.25">
      <c r="A77" t="s">
        <v>1232</v>
      </c>
      <c r="B77">
        <v>75</v>
      </c>
      <c r="C77" t="s">
        <v>45</v>
      </c>
      <c r="D77">
        <v>3</v>
      </c>
      <c r="F77">
        <v>3</v>
      </c>
      <c r="G77" t="s">
        <v>86</v>
      </c>
      <c r="H77" t="s">
        <v>141</v>
      </c>
      <c r="I77" t="s">
        <v>142</v>
      </c>
      <c r="J77" t="s">
        <v>144</v>
      </c>
      <c r="K77" t="s">
        <v>56</v>
      </c>
      <c r="L77">
        <v>3</v>
      </c>
      <c r="N77">
        <v>3</v>
      </c>
      <c r="O77" t="s">
        <v>57</v>
      </c>
      <c r="P77" t="s">
        <v>69</v>
      </c>
      <c r="Q77" t="s">
        <v>87</v>
      </c>
      <c r="S77" t="s">
        <v>33</v>
      </c>
      <c r="T77">
        <v>2</v>
      </c>
      <c r="V77">
        <v>3</v>
      </c>
      <c r="W77" t="s">
        <v>34</v>
      </c>
      <c r="X77" t="s">
        <v>66</v>
      </c>
      <c r="Y77" t="s">
        <v>131</v>
      </c>
      <c r="Z77" t="s">
        <v>37</v>
      </c>
      <c r="AA77" t="s">
        <v>63</v>
      </c>
      <c r="AB77">
        <v>1</v>
      </c>
      <c r="AD77">
        <v>2</v>
      </c>
      <c r="AE77" t="s">
        <v>145</v>
      </c>
      <c r="AF77" t="s">
        <v>146</v>
      </c>
      <c r="AI77">
        <v>0</v>
      </c>
      <c r="AJ77">
        <v>25</v>
      </c>
    </row>
    <row r="78" spans="1:36" x14ac:dyDescent="0.25">
      <c r="A78" t="s">
        <v>1233</v>
      </c>
      <c r="B78">
        <v>76</v>
      </c>
      <c r="C78" t="s">
        <v>38</v>
      </c>
      <c r="D78">
        <v>3</v>
      </c>
      <c r="E78">
        <v>3</v>
      </c>
      <c r="F78">
        <v>3</v>
      </c>
      <c r="G78" t="s">
        <v>39</v>
      </c>
      <c r="H78" t="s">
        <v>40</v>
      </c>
      <c r="I78" t="s">
        <v>153</v>
      </c>
      <c r="J78" t="s">
        <v>156</v>
      </c>
      <c r="K78" t="s">
        <v>56</v>
      </c>
      <c r="L78">
        <v>2</v>
      </c>
      <c r="N78">
        <v>3</v>
      </c>
      <c r="O78" t="s">
        <v>120</v>
      </c>
      <c r="P78" t="s">
        <v>69</v>
      </c>
      <c r="Q78" t="s">
        <v>87</v>
      </c>
      <c r="R78" t="s">
        <v>125</v>
      </c>
      <c r="S78" t="s">
        <v>33</v>
      </c>
      <c r="T78">
        <v>3</v>
      </c>
      <c r="V78">
        <v>3</v>
      </c>
      <c r="W78" t="s">
        <v>65</v>
      </c>
      <c r="X78" t="s">
        <v>66</v>
      </c>
      <c r="Y78" t="s">
        <v>131</v>
      </c>
      <c r="Z78" t="s">
        <v>133</v>
      </c>
      <c r="AA78" t="s">
        <v>45</v>
      </c>
      <c r="AB78">
        <v>3</v>
      </c>
      <c r="AD78">
        <v>3</v>
      </c>
      <c r="AE78" t="s">
        <v>86</v>
      </c>
      <c r="AF78" t="s">
        <v>141</v>
      </c>
      <c r="AG78" t="s">
        <v>142</v>
      </c>
      <c r="AH78" t="s">
        <v>144</v>
      </c>
      <c r="AI78">
        <v>0</v>
      </c>
      <c r="AJ78">
        <v>36</v>
      </c>
    </row>
    <row r="79" spans="1:36" x14ac:dyDescent="0.25">
      <c r="A79" t="s">
        <v>1234</v>
      </c>
      <c r="B79">
        <v>77</v>
      </c>
      <c r="C79" t="s">
        <v>45</v>
      </c>
      <c r="D79">
        <v>3</v>
      </c>
      <c r="F79">
        <v>2</v>
      </c>
      <c r="G79" t="s">
        <v>86</v>
      </c>
      <c r="H79" t="s">
        <v>141</v>
      </c>
      <c r="I79" t="s">
        <v>142</v>
      </c>
      <c r="J79" t="s">
        <v>144</v>
      </c>
      <c r="K79" t="s">
        <v>56</v>
      </c>
      <c r="L79">
        <v>2</v>
      </c>
      <c r="N79">
        <v>3</v>
      </c>
      <c r="O79" t="s">
        <v>120</v>
      </c>
      <c r="P79" t="s">
        <v>69</v>
      </c>
      <c r="S79" t="s">
        <v>33</v>
      </c>
      <c r="T79">
        <v>3</v>
      </c>
      <c r="V79">
        <v>3</v>
      </c>
      <c r="W79" t="s">
        <v>65</v>
      </c>
      <c r="X79" t="s">
        <v>66</v>
      </c>
      <c r="Y79" t="s">
        <v>131</v>
      </c>
      <c r="Z79" t="s">
        <v>37</v>
      </c>
      <c r="AA79" t="s">
        <v>227</v>
      </c>
      <c r="AB79">
        <v>1</v>
      </c>
      <c r="AC79">
        <v>2</v>
      </c>
      <c r="AD79">
        <v>3</v>
      </c>
      <c r="AE79" t="s">
        <v>229</v>
      </c>
      <c r="AI79">
        <v>0</v>
      </c>
      <c r="AJ79">
        <v>25</v>
      </c>
    </row>
    <row r="80" spans="1:36" x14ac:dyDescent="0.25">
      <c r="A80" t="s">
        <v>1235</v>
      </c>
      <c r="B80">
        <v>78</v>
      </c>
      <c r="C80" t="s">
        <v>38</v>
      </c>
      <c r="D80">
        <v>3</v>
      </c>
      <c r="E80">
        <v>3</v>
      </c>
      <c r="F80">
        <v>3</v>
      </c>
      <c r="G80" t="s">
        <v>39</v>
      </c>
      <c r="H80" t="s">
        <v>40</v>
      </c>
      <c r="I80" t="s">
        <v>153</v>
      </c>
      <c r="J80" t="s">
        <v>156</v>
      </c>
      <c r="K80" t="s">
        <v>56</v>
      </c>
      <c r="L80">
        <v>3</v>
      </c>
      <c r="N80">
        <v>3</v>
      </c>
      <c r="O80" t="s">
        <v>57</v>
      </c>
      <c r="P80" t="s">
        <v>69</v>
      </c>
      <c r="Q80" t="s">
        <v>123</v>
      </c>
      <c r="R80" t="s">
        <v>88</v>
      </c>
      <c r="S80" t="s">
        <v>33</v>
      </c>
      <c r="T80">
        <v>3</v>
      </c>
      <c r="V80">
        <v>3</v>
      </c>
      <c r="W80" t="s">
        <v>65</v>
      </c>
      <c r="X80" t="s">
        <v>66</v>
      </c>
      <c r="Y80" t="s">
        <v>36</v>
      </c>
      <c r="Z80" t="s">
        <v>133</v>
      </c>
      <c r="AA80" t="s">
        <v>63</v>
      </c>
      <c r="AB80">
        <v>1</v>
      </c>
      <c r="AD80">
        <v>3</v>
      </c>
      <c r="AE80" t="s">
        <v>145</v>
      </c>
      <c r="AF80" t="s">
        <v>146</v>
      </c>
      <c r="AG80" t="s">
        <v>104</v>
      </c>
      <c r="AH80" t="s">
        <v>151</v>
      </c>
      <c r="AI80">
        <v>0</v>
      </c>
      <c r="AJ80">
        <v>35</v>
      </c>
    </row>
    <row r="81" spans="1:36" x14ac:dyDescent="0.25">
      <c r="A81" t="s">
        <v>1236</v>
      </c>
      <c r="B81">
        <v>79</v>
      </c>
      <c r="C81" t="s">
        <v>63</v>
      </c>
      <c r="D81">
        <v>2</v>
      </c>
      <c r="F81">
        <v>1</v>
      </c>
      <c r="G81" t="s">
        <v>145</v>
      </c>
      <c r="H81" t="s">
        <v>146</v>
      </c>
      <c r="I81" t="s">
        <v>147</v>
      </c>
      <c r="J81" t="s">
        <v>149</v>
      </c>
      <c r="K81" t="s">
        <v>56</v>
      </c>
      <c r="L81">
        <v>3</v>
      </c>
      <c r="N81">
        <v>1</v>
      </c>
      <c r="O81" t="s">
        <v>57</v>
      </c>
      <c r="P81" t="s">
        <v>69</v>
      </c>
      <c r="Q81" t="s">
        <v>87</v>
      </c>
      <c r="S81" t="s">
        <v>33</v>
      </c>
      <c r="T81">
        <v>2</v>
      </c>
      <c r="V81">
        <v>2</v>
      </c>
      <c r="W81" t="s">
        <v>34</v>
      </c>
      <c r="AA81" t="s">
        <v>227</v>
      </c>
      <c r="AB81">
        <v>1</v>
      </c>
      <c r="AC81">
        <v>1</v>
      </c>
      <c r="AD81">
        <v>2</v>
      </c>
      <c r="AE81" t="s">
        <v>228</v>
      </c>
      <c r="AI81">
        <v>0</v>
      </c>
      <c r="AJ81">
        <v>17</v>
      </c>
    </row>
    <row r="82" spans="1:36" x14ac:dyDescent="0.25">
      <c r="A82" t="s">
        <v>1237</v>
      </c>
      <c r="B82">
        <v>80</v>
      </c>
      <c r="C82" t="s">
        <v>56</v>
      </c>
      <c r="D82">
        <v>3</v>
      </c>
      <c r="F82">
        <v>3</v>
      </c>
      <c r="G82" t="s">
        <v>120</v>
      </c>
      <c r="H82" t="s">
        <v>69</v>
      </c>
      <c r="I82" t="s">
        <v>87</v>
      </c>
      <c r="J82" t="s">
        <v>88</v>
      </c>
      <c r="K82" t="s">
        <v>33</v>
      </c>
      <c r="L82">
        <v>3</v>
      </c>
      <c r="N82">
        <v>3</v>
      </c>
      <c r="O82" t="s">
        <v>65</v>
      </c>
      <c r="P82" t="s">
        <v>66</v>
      </c>
      <c r="Q82" t="s">
        <v>131</v>
      </c>
      <c r="R82" t="s">
        <v>133</v>
      </c>
      <c r="S82" t="s">
        <v>38</v>
      </c>
      <c r="T82">
        <v>3</v>
      </c>
      <c r="U82">
        <v>3</v>
      </c>
      <c r="V82">
        <v>3</v>
      </c>
      <c r="W82" t="s">
        <v>39</v>
      </c>
      <c r="X82" t="s">
        <v>40</v>
      </c>
      <c r="Y82" t="s">
        <v>153</v>
      </c>
      <c r="Z82" t="s">
        <v>156</v>
      </c>
      <c r="AA82" t="s">
        <v>227</v>
      </c>
      <c r="AB82">
        <v>3</v>
      </c>
      <c r="AC82">
        <v>3</v>
      </c>
      <c r="AD82">
        <v>3</v>
      </c>
      <c r="AE82" t="s">
        <v>229</v>
      </c>
      <c r="AF82" t="s">
        <v>233</v>
      </c>
      <c r="AG82" t="s">
        <v>235</v>
      </c>
      <c r="AH82" t="s">
        <v>238</v>
      </c>
      <c r="AI82">
        <v>0</v>
      </c>
      <c r="AJ82">
        <v>43</v>
      </c>
    </row>
    <row r="83" spans="1:36" x14ac:dyDescent="0.25">
      <c r="A83" t="s">
        <v>1238</v>
      </c>
      <c r="B83">
        <v>81</v>
      </c>
      <c r="C83" t="s">
        <v>43</v>
      </c>
      <c r="D83">
        <v>3</v>
      </c>
      <c r="F83">
        <v>3</v>
      </c>
      <c r="G83" t="s">
        <v>73</v>
      </c>
      <c r="H83" t="s">
        <v>136</v>
      </c>
      <c r="I83" t="s">
        <v>75</v>
      </c>
      <c r="J83" t="s">
        <v>139</v>
      </c>
      <c r="K83" t="s">
        <v>56</v>
      </c>
      <c r="L83">
        <v>3</v>
      </c>
      <c r="N83">
        <v>3</v>
      </c>
      <c r="O83" t="s">
        <v>120</v>
      </c>
      <c r="P83" t="s">
        <v>69</v>
      </c>
      <c r="Q83" t="s">
        <v>87</v>
      </c>
      <c r="R83" t="s">
        <v>88</v>
      </c>
      <c r="S83" t="s">
        <v>45</v>
      </c>
      <c r="T83">
        <v>3</v>
      </c>
      <c r="V83">
        <v>3</v>
      </c>
      <c r="W83" t="s">
        <v>86</v>
      </c>
      <c r="X83" t="s">
        <v>141</v>
      </c>
      <c r="Y83" t="s">
        <v>142</v>
      </c>
      <c r="Z83" t="s">
        <v>94</v>
      </c>
      <c r="AA83" t="s">
        <v>63</v>
      </c>
      <c r="AB83">
        <v>3</v>
      </c>
      <c r="AD83">
        <v>3</v>
      </c>
      <c r="AE83" t="s">
        <v>145</v>
      </c>
      <c r="AF83" t="s">
        <v>146</v>
      </c>
      <c r="AG83" t="s">
        <v>148</v>
      </c>
      <c r="AH83" t="s">
        <v>150</v>
      </c>
      <c r="AI83">
        <v>0</v>
      </c>
      <c r="AJ83">
        <v>50</v>
      </c>
    </row>
    <row r="84" spans="1:36" x14ac:dyDescent="0.25">
      <c r="A84" t="s">
        <v>1239</v>
      </c>
      <c r="B84">
        <v>82</v>
      </c>
      <c r="C84" t="s">
        <v>45</v>
      </c>
      <c r="D84">
        <v>3</v>
      </c>
      <c r="F84">
        <v>3</v>
      </c>
      <c r="G84" t="s">
        <v>86</v>
      </c>
      <c r="H84" t="s">
        <v>76</v>
      </c>
      <c r="I84" t="s">
        <v>102</v>
      </c>
      <c r="J84" t="s">
        <v>144</v>
      </c>
      <c r="K84" t="s">
        <v>56</v>
      </c>
      <c r="L84">
        <v>3</v>
      </c>
      <c r="N84">
        <v>3</v>
      </c>
      <c r="O84" t="s">
        <v>120</v>
      </c>
      <c r="P84" t="s">
        <v>69</v>
      </c>
      <c r="Q84" t="s">
        <v>87</v>
      </c>
      <c r="R84" t="s">
        <v>125</v>
      </c>
      <c r="S84" t="s">
        <v>43</v>
      </c>
      <c r="T84">
        <v>1</v>
      </c>
      <c r="V84">
        <v>1</v>
      </c>
      <c r="W84" t="s">
        <v>73</v>
      </c>
      <c r="X84" t="s">
        <v>136</v>
      </c>
      <c r="Y84" t="s">
        <v>100</v>
      </c>
      <c r="AA84" t="s">
        <v>38</v>
      </c>
      <c r="AB84">
        <v>2</v>
      </c>
      <c r="AC84">
        <v>1</v>
      </c>
      <c r="AD84">
        <v>3</v>
      </c>
      <c r="AE84" t="s">
        <v>39</v>
      </c>
      <c r="AF84" t="s">
        <v>40</v>
      </c>
      <c r="AG84" t="s">
        <v>153</v>
      </c>
      <c r="AH84" t="s">
        <v>156</v>
      </c>
      <c r="AI84">
        <v>0</v>
      </c>
      <c r="AJ84">
        <v>29</v>
      </c>
    </row>
    <row r="85" spans="1:36" x14ac:dyDescent="0.25">
      <c r="A85" t="s">
        <v>1240</v>
      </c>
      <c r="B85">
        <v>83</v>
      </c>
      <c r="C85" t="s">
        <v>227</v>
      </c>
      <c r="D85">
        <v>3</v>
      </c>
      <c r="E85">
        <v>3</v>
      </c>
      <c r="F85">
        <v>3</v>
      </c>
      <c r="G85" t="s">
        <v>229</v>
      </c>
      <c r="H85" t="s">
        <v>232</v>
      </c>
      <c r="I85" t="s">
        <v>235</v>
      </c>
      <c r="J85" t="s">
        <v>238</v>
      </c>
      <c r="K85" t="s">
        <v>56</v>
      </c>
      <c r="L85">
        <v>3</v>
      </c>
      <c r="N85">
        <v>3</v>
      </c>
      <c r="O85" t="s">
        <v>120</v>
      </c>
      <c r="P85" t="s">
        <v>69</v>
      </c>
      <c r="Q85" t="s">
        <v>87</v>
      </c>
      <c r="R85" t="s">
        <v>88</v>
      </c>
      <c r="S85" t="s">
        <v>43</v>
      </c>
      <c r="T85">
        <v>1</v>
      </c>
      <c r="V85">
        <v>3</v>
      </c>
      <c r="W85" t="s">
        <v>135</v>
      </c>
      <c r="X85" t="s">
        <v>136</v>
      </c>
      <c r="Y85" t="s">
        <v>100</v>
      </c>
      <c r="Z85" t="s">
        <v>138</v>
      </c>
      <c r="AA85" t="s">
        <v>45</v>
      </c>
      <c r="AB85">
        <v>3</v>
      </c>
      <c r="AD85">
        <v>3</v>
      </c>
      <c r="AE85" t="s">
        <v>86</v>
      </c>
      <c r="AF85" t="s">
        <v>76</v>
      </c>
      <c r="AG85" t="s">
        <v>142</v>
      </c>
      <c r="AH85" t="s">
        <v>144</v>
      </c>
      <c r="AI85">
        <v>0</v>
      </c>
      <c r="AJ85">
        <v>42</v>
      </c>
    </row>
    <row r="86" spans="1:36" x14ac:dyDescent="0.25">
      <c r="A86" t="s">
        <v>1241</v>
      </c>
      <c r="B86">
        <v>84</v>
      </c>
      <c r="C86" t="s">
        <v>43</v>
      </c>
      <c r="D86">
        <v>2</v>
      </c>
      <c r="F86">
        <v>2</v>
      </c>
      <c r="G86" t="s">
        <v>44</v>
      </c>
      <c r="H86" t="s">
        <v>136</v>
      </c>
      <c r="I86" t="s">
        <v>100</v>
      </c>
      <c r="J86" t="s">
        <v>139</v>
      </c>
      <c r="K86" t="s">
        <v>56</v>
      </c>
      <c r="L86">
        <v>3</v>
      </c>
      <c r="N86">
        <v>3</v>
      </c>
      <c r="O86" t="s">
        <v>120</v>
      </c>
      <c r="P86" t="s">
        <v>69</v>
      </c>
      <c r="Q86" t="s">
        <v>87</v>
      </c>
      <c r="R86" t="s">
        <v>88</v>
      </c>
      <c r="S86" t="s">
        <v>63</v>
      </c>
      <c r="T86">
        <v>3</v>
      </c>
      <c r="V86">
        <v>3</v>
      </c>
      <c r="W86" t="s">
        <v>103</v>
      </c>
      <c r="X86" t="s">
        <v>146</v>
      </c>
      <c r="Y86" t="s">
        <v>148</v>
      </c>
      <c r="Z86" t="s">
        <v>151</v>
      </c>
      <c r="AA86" t="s">
        <v>38</v>
      </c>
      <c r="AB86">
        <v>3</v>
      </c>
      <c r="AC86">
        <v>3</v>
      </c>
      <c r="AD86">
        <v>3</v>
      </c>
      <c r="AE86" t="s">
        <v>39</v>
      </c>
      <c r="AF86" t="s">
        <v>40</v>
      </c>
      <c r="AG86" t="s">
        <v>153</v>
      </c>
      <c r="AH86" t="s">
        <v>156</v>
      </c>
      <c r="AI86">
        <v>0</v>
      </c>
      <c r="AJ86">
        <v>53</v>
      </c>
    </row>
    <row r="87" spans="1:36" x14ac:dyDescent="0.25">
      <c r="A87" t="s">
        <v>1242</v>
      </c>
      <c r="B87">
        <v>85</v>
      </c>
      <c r="C87" t="s">
        <v>43</v>
      </c>
      <c r="D87">
        <v>3</v>
      </c>
      <c r="F87">
        <v>3</v>
      </c>
      <c r="G87" t="s">
        <v>73</v>
      </c>
      <c r="H87" t="s">
        <v>136</v>
      </c>
      <c r="I87" t="s">
        <v>137</v>
      </c>
      <c r="J87" t="s">
        <v>139</v>
      </c>
      <c r="K87" t="s">
        <v>56</v>
      </c>
      <c r="L87">
        <v>3</v>
      </c>
      <c r="N87">
        <v>3</v>
      </c>
      <c r="O87" t="s">
        <v>120</v>
      </c>
      <c r="P87" t="s">
        <v>69</v>
      </c>
      <c r="Q87" t="s">
        <v>87</v>
      </c>
      <c r="R87" t="s">
        <v>88</v>
      </c>
      <c r="S87" t="s">
        <v>63</v>
      </c>
      <c r="T87">
        <v>1</v>
      </c>
      <c r="V87">
        <v>1</v>
      </c>
      <c r="W87" t="s">
        <v>145</v>
      </c>
      <c r="X87" t="s">
        <v>91</v>
      </c>
      <c r="Y87" t="s">
        <v>148</v>
      </c>
      <c r="Z87" t="s">
        <v>151</v>
      </c>
      <c r="AA87" t="s">
        <v>227</v>
      </c>
      <c r="AB87">
        <v>2</v>
      </c>
      <c r="AC87">
        <v>3</v>
      </c>
      <c r="AD87">
        <v>3</v>
      </c>
      <c r="AE87" t="s">
        <v>229</v>
      </c>
      <c r="AF87" t="s">
        <v>231</v>
      </c>
      <c r="AG87" t="s">
        <v>235</v>
      </c>
      <c r="AI87">
        <v>0</v>
      </c>
      <c r="AJ87">
        <v>33</v>
      </c>
    </row>
    <row r="88" spans="1:36" x14ac:dyDescent="0.25">
      <c r="A88" t="s">
        <v>1243</v>
      </c>
      <c r="B88">
        <v>86</v>
      </c>
      <c r="C88" t="s">
        <v>56</v>
      </c>
      <c r="D88">
        <v>3</v>
      </c>
      <c r="F88">
        <v>3</v>
      </c>
      <c r="G88" t="s">
        <v>120</v>
      </c>
      <c r="H88" t="s">
        <v>69</v>
      </c>
      <c r="I88" t="s">
        <v>123</v>
      </c>
      <c r="J88" t="s">
        <v>88</v>
      </c>
      <c r="K88" t="s">
        <v>43</v>
      </c>
      <c r="L88">
        <v>3</v>
      </c>
      <c r="N88">
        <v>3</v>
      </c>
      <c r="O88" t="s">
        <v>73</v>
      </c>
      <c r="P88" t="s">
        <v>136</v>
      </c>
      <c r="Q88" t="s">
        <v>75</v>
      </c>
      <c r="R88" t="s">
        <v>138</v>
      </c>
      <c r="S88" t="s">
        <v>38</v>
      </c>
      <c r="T88">
        <v>3</v>
      </c>
      <c r="U88">
        <v>3</v>
      </c>
      <c r="V88">
        <v>3</v>
      </c>
      <c r="W88" t="s">
        <v>39</v>
      </c>
      <c r="X88" t="s">
        <v>40</v>
      </c>
      <c r="Y88" t="s">
        <v>153</v>
      </c>
      <c r="Z88" t="s">
        <v>156</v>
      </c>
      <c r="AA88" t="s">
        <v>227</v>
      </c>
      <c r="AB88">
        <v>2</v>
      </c>
      <c r="AC88">
        <v>1</v>
      </c>
      <c r="AD88">
        <v>3</v>
      </c>
      <c r="AE88" t="s">
        <v>229</v>
      </c>
      <c r="AF88" t="s">
        <v>231</v>
      </c>
      <c r="AG88" t="s">
        <v>235</v>
      </c>
      <c r="AH88" t="s">
        <v>238</v>
      </c>
      <c r="AI88">
        <v>0</v>
      </c>
      <c r="AJ88">
        <v>42</v>
      </c>
    </row>
    <row r="89" spans="1:36" x14ac:dyDescent="0.25">
      <c r="A89" t="s">
        <v>1244</v>
      </c>
      <c r="B89">
        <v>87</v>
      </c>
      <c r="C89" t="s">
        <v>56</v>
      </c>
      <c r="D89">
        <v>3</v>
      </c>
      <c r="F89">
        <v>3</v>
      </c>
      <c r="G89" t="s">
        <v>57</v>
      </c>
      <c r="H89" t="s">
        <v>69</v>
      </c>
      <c r="I89" t="s">
        <v>85</v>
      </c>
      <c r="J89" t="s">
        <v>124</v>
      </c>
      <c r="K89" t="s">
        <v>45</v>
      </c>
      <c r="L89">
        <v>2</v>
      </c>
      <c r="N89">
        <v>2</v>
      </c>
      <c r="O89" t="s">
        <v>86</v>
      </c>
      <c r="P89" t="s">
        <v>141</v>
      </c>
      <c r="Q89" t="s">
        <v>142</v>
      </c>
      <c r="R89" t="s">
        <v>144</v>
      </c>
      <c r="S89" t="s">
        <v>63</v>
      </c>
      <c r="T89">
        <v>3</v>
      </c>
      <c r="V89">
        <v>3</v>
      </c>
      <c r="W89" t="s">
        <v>145</v>
      </c>
      <c r="X89" t="s">
        <v>146</v>
      </c>
      <c r="Y89" t="s">
        <v>147</v>
      </c>
      <c r="Z89" t="s">
        <v>151</v>
      </c>
      <c r="AA89" t="s">
        <v>38</v>
      </c>
      <c r="AB89">
        <v>3</v>
      </c>
      <c r="AC89">
        <v>2</v>
      </c>
      <c r="AD89">
        <v>2</v>
      </c>
      <c r="AE89" t="s">
        <v>39</v>
      </c>
      <c r="AF89" t="s">
        <v>40</v>
      </c>
      <c r="AG89" t="s">
        <v>153</v>
      </c>
      <c r="AH89" t="s">
        <v>156</v>
      </c>
      <c r="AI89">
        <v>0</v>
      </c>
      <c r="AJ89">
        <v>33</v>
      </c>
    </row>
    <row r="90" spans="1:36" x14ac:dyDescent="0.25">
      <c r="A90" t="s">
        <v>1245</v>
      </c>
      <c r="B90">
        <v>88</v>
      </c>
      <c r="C90" t="s">
        <v>63</v>
      </c>
      <c r="D90">
        <v>3</v>
      </c>
      <c r="F90">
        <v>3</v>
      </c>
      <c r="G90" t="s">
        <v>145</v>
      </c>
      <c r="H90" t="s">
        <v>146</v>
      </c>
      <c r="I90" t="s">
        <v>148</v>
      </c>
      <c r="J90" t="s">
        <v>150</v>
      </c>
      <c r="K90" t="s">
        <v>56</v>
      </c>
      <c r="L90">
        <v>3</v>
      </c>
      <c r="N90">
        <v>3</v>
      </c>
      <c r="O90" t="s">
        <v>57</v>
      </c>
      <c r="P90" t="s">
        <v>69</v>
      </c>
      <c r="Q90" t="s">
        <v>87</v>
      </c>
      <c r="R90" t="s">
        <v>125</v>
      </c>
      <c r="S90" t="s">
        <v>45</v>
      </c>
      <c r="T90">
        <v>3</v>
      </c>
      <c r="V90">
        <v>3</v>
      </c>
      <c r="W90" t="s">
        <v>86</v>
      </c>
      <c r="X90" t="s">
        <v>141</v>
      </c>
      <c r="Y90" t="s">
        <v>142</v>
      </c>
      <c r="Z90" t="s">
        <v>94</v>
      </c>
      <c r="AA90" t="s">
        <v>227</v>
      </c>
      <c r="AB90">
        <v>1</v>
      </c>
      <c r="AC90">
        <v>3</v>
      </c>
      <c r="AD90">
        <v>3</v>
      </c>
      <c r="AE90" t="s">
        <v>229</v>
      </c>
      <c r="AF90" t="s">
        <v>233</v>
      </c>
      <c r="AG90" t="s">
        <v>235</v>
      </c>
      <c r="AH90" t="s">
        <v>238</v>
      </c>
      <c r="AI90">
        <v>0</v>
      </c>
      <c r="AJ90">
        <v>50</v>
      </c>
    </row>
    <row r="91" spans="1:36" x14ac:dyDescent="0.25">
      <c r="A91" t="s">
        <v>1246</v>
      </c>
      <c r="B91">
        <v>89</v>
      </c>
      <c r="C91" t="s">
        <v>45</v>
      </c>
      <c r="D91">
        <v>3</v>
      </c>
      <c r="F91">
        <v>3</v>
      </c>
      <c r="G91" t="s">
        <v>86</v>
      </c>
      <c r="H91" t="s">
        <v>76</v>
      </c>
      <c r="I91" t="s">
        <v>142</v>
      </c>
      <c r="J91" t="s">
        <v>94</v>
      </c>
      <c r="K91" t="s">
        <v>56</v>
      </c>
      <c r="L91">
        <v>3</v>
      </c>
      <c r="N91">
        <v>3</v>
      </c>
      <c r="O91" t="s">
        <v>57</v>
      </c>
      <c r="P91" t="s">
        <v>122</v>
      </c>
      <c r="Q91" t="s">
        <v>87</v>
      </c>
      <c r="R91" t="s">
        <v>124</v>
      </c>
      <c r="S91" t="s">
        <v>38</v>
      </c>
      <c r="T91">
        <v>2</v>
      </c>
      <c r="U91">
        <v>1</v>
      </c>
      <c r="V91">
        <v>3</v>
      </c>
      <c r="W91" t="s">
        <v>39</v>
      </c>
      <c r="X91" t="s">
        <v>96</v>
      </c>
      <c r="Y91" t="s">
        <v>41</v>
      </c>
      <c r="AA91" t="s">
        <v>227</v>
      </c>
      <c r="AB91">
        <v>2</v>
      </c>
      <c r="AC91">
        <v>1</v>
      </c>
      <c r="AD91">
        <v>3</v>
      </c>
      <c r="AE91" t="s">
        <v>229</v>
      </c>
      <c r="AF91" t="s">
        <v>231</v>
      </c>
      <c r="AG91" t="s">
        <v>235</v>
      </c>
      <c r="AI91">
        <v>0</v>
      </c>
      <c r="AJ91">
        <v>29</v>
      </c>
    </row>
    <row r="92" spans="1:36" x14ac:dyDescent="0.25">
      <c r="A92" t="s">
        <v>1247</v>
      </c>
      <c r="B92">
        <v>90</v>
      </c>
      <c r="C92" t="s">
        <v>38</v>
      </c>
      <c r="D92">
        <v>3</v>
      </c>
      <c r="E92">
        <v>3</v>
      </c>
      <c r="F92">
        <v>3</v>
      </c>
      <c r="G92" t="s">
        <v>39</v>
      </c>
      <c r="H92" t="s">
        <v>96</v>
      </c>
      <c r="I92" t="s">
        <v>41</v>
      </c>
      <c r="J92" t="s">
        <v>156</v>
      </c>
      <c r="K92" t="s">
        <v>56</v>
      </c>
      <c r="L92">
        <v>3</v>
      </c>
      <c r="N92">
        <v>3</v>
      </c>
      <c r="O92" t="s">
        <v>57</v>
      </c>
      <c r="P92" t="s">
        <v>122</v>
      </c>
      <c r="Q92" t="s">
        <v>85</v>
      </c>
      <c r="R92" t="s">
        <v>88</v>
      </c>
      <c r="S92" t="s">
        <v>63</v>
      </c>
      <c r="T92">
        <v>3</v>
      </c>
      <c r="V92">
        <v>3</v>
      </c>
      <c r="W92" t="s">
        <v>103</v>
      </c>
      <c r="X92" t="s">
        <v>91</v>
      </c>
      <c r="Y92" t="s">
        <v>147</v>
      </c>
      <c r="Z92" t="s">
        <v>151</v>
      </c>
      <c r="AA92" t="s">
        <v>227</v>
      </c>
      <c r="AB92">
        <v>2</v>
      </c>
      <c r="AC92">
        <v>3</v>
      </c>
      <c r="AD92">
        <v>3</v>
      </c>
      <c r="AE92" t="s">
        <v>229</v>
      </c>
      <c r="AF92" t="s">
        <v>231</v>
      </c>
      <c r="AG92" t="s">
        <v>235</v>
      </c>
      <c r="AH92" t="s">
        <v>238</v>
      </c>
      <c r="AI92">
        <v>0</v>
      </c>
      <c r="AJ92">
        <v>53</v>
      </c>
    </row>
    <row r="93" spans="1:36" x14ac:dyDescent="0.25">
      <c r="A93" t="s">
        <v>1248</v>
      </c>
      <c r="B93">
        <v>91</v>
      </c>
      <c r="C93" t="s">
        <v>45</v>
      </c>
      <c r="D93">
        <v>3</v>
      </c>
      <c r="F93">
        <v>3</v>
      </c>
      <c r="G93" t="s">
        <v>86</v>
      </c>
      <c r="H93" t="s">
        <v>92</v>
      </c>
      <c r="I93" t="s">
        <v>142</v>
      </c>
      <c r="J93" t="s">
        <v>143</v>
      </c>
      <c r="K93" t="s">
        <v>48</v>
      </c>
      <c r="L93">
        <v>1</v>
      </c>
      <c r="N93">
        <v>3</v>
      </c>
      <c r="O93" t="s">
        <v>126</v>
      </c>
      <c r="P93" t="s">
        <v>84</v>
      </c>
      <c r="Q93" t="s">
        <v>90</v>
      </c>
      <c r="S93" t="s">
        <v>33</v>
      </c>
      <c r="T93">
        <v>3</v>
      </c>
      <c r="V93">
        <v>3</v>
      </c>
      <c r="W93" t="s">
        <v>65</v>
      </c>
      <c r="X93" t="s">
        <v>130</v>
      </c>
      <c r="Y93" t="s">
        <v>131</v>
      </c>
      <c r="Z93" t="s">
        <v>37</v>
      </c>
      <c r="AA93" t="s">
        <v>43</v>
      </c>
      <c r="AB93">
        <v>2</v>
      </c>
      <c r="AD93">
        <v>3</v>
      </c>
      <c r="AE93" t="s">
        <v>73</v>
      </c>
      <c r="AF93" t="s">
        <v>136</v>
      </c>
      <c r="AG93" t="s">
        <v>100</v>
      </c>
      <c r="AH93" t="s">
        <v>139</v>
      </c>
      <c r="AI93">
        <v>0</v>
      </c>
      <c r="AJ93">
        <v>32</v>
      </c>
    </row>
    <row r="94" spans="1:36" x14ac:dyDescent="0.25">
      <c r="A94" t="s">
        <v>1249</v>
      </c>
      <c r="B94">
        <v>92</v>
      </c>
      <c r="C94" t="s">
        <v>48</v>
      </c>
      <c r="D94">
        <v>3</v>
      </c>
      <c r="F94">
        <v>3</v>
      </c>
      <c r="G94" t="s">
        <v>126</v>
      </c>
      <c r="H94" t="s">
        <v>84</v>
      </c>
      <c r="I94" t="s">
        <v>90</v>
      </c>
      <c r="J94" t="s">
        <v>128</v>
      </c>
      <c r="K94" t="s">
        <v>33</v>
      </c>
      <c r="L94">
        <v>3</v>
      </c>
      <c r="N94">
        <v>3</v>
      </c>
      <c r="O94" t="s">
        <v>65</v>
      </c>
      <c r="P94" t="s">
        <v>130</v>
      </c>
      <c r="Q94" t="s">
        <v>131</v>
      </c>
      <c r="R94" t="s">
        <v>37</v>
      </c>
      <c r="S94" t="s">
        <v>43</v>
      </c>
      <c r="T94">
        <v>3</v>
      </c>
      <c r="V94">
        <v>3</v>
      </c>
      <c r="W94" t="s">
        <v>73</v>
      </c>
      <c r="X94" t="s">
        <v>136</v>
      </c>
      <c r="Y94" t="s">
        <v>100</v>
      </c>
      <c r="Z94" t="s">
        <v>139</v>
      </c>
      <c r="AA94" t="s">
        <v>63</v>
      </c>
      <c r="AB94">
        <v>3</v>
      </c>
      <c r="AD94">
        <v>3</v>
      </c>
      <c r="AE94" t="s">
        <v>145</v>
      </c>
      <c r="AF94" t="s">
        <v>146</v>
      </c>
      <c r="AG94" t="s">
        <v>148</v>
      </c>
      <c r="AH94" t="s">
        <v>151</v>
      </c>
      <c r="AI94">
        <v>0</v>
      </c>
      <c r="AJ94">
        <v>60</v>
      </c>
    </row>
    <row r="95" spans="1:36" x14ac:dyDescent="0.25">
      <c r="A95" t="s">
        <v>1250</v>
      </c>
      <c r="B95">
        <v>93</v>
      </c>
      <c r="C95" t="s">
        <v>33</v>
      </c>
      <c r="D95">
        <v>3</v>
      </c>
      <c r="F95">
        <v>3</v>
      </c>
      <c r="G95" t="s">
        <v>65</v>
      </c>
      <c r="H95" t="s">
        <v>130</v>
      </c>
      <c r="I95" t="s">
        <v>36</v>
      </c>
      <c r="J95" t="s">
        <v>133</v>
      </c>
      <c r="K95" t="s">
        <v>48</v>
      </c>
      <c r="L95">
        <v>1</v>
      </c>
      <c r="N95">
        <v>1</v>
      </c>
      <c r="O95" t="s">
        <v>126</v>
      </c>
      <c r="P95" t="s">
        <v>84</v>
      </c>
      <c r="Q95" t="s">
        <v>90</v>
      </c>
      <c r="R95" t="s">
        <v>128</v>
      </c>
      <c r="S95" t="s">
        <v>43</v>
      </c>
      <c r="T95">
        <v>3</v>
      </c>
      <c r="V95">
        <v>3</v>
      </c>
      <c r="W95" t="s">
        <v>73</v>
      </c>
      <c r="X95" t="s">
        <v>136</v>
      </c>
      <c r="Y95" t="s">
        <v>100</v>
      </c>
      <c r="Z95" t="s">
        <v>138</v>
      </c>
      <c r="AA95" t="s">
        <v>38</v>
      </c>
      <c r="AB95">
        <v>3</v>
      </c>
      <c r="AC95">
        <v>3</v>
      </c>
      <c r="AD95">
        <v>3</v>
      </c>
      <c r="AE95" t="s">
        <v>39</v>
      </c>
      <c r="AF95" t="s">
        <v>96</v>
      </c>
      <c r="AG95" t="s">
        <v>154</v>
      </c>
      <c r="AH95" t="s">
        <v>156</v>
      </c>
      <c r="AI95">
        <v>0</v>
      </c>
      <c r="AJ95">
        <v>36</v>
      </c>
    </row>
    <row r="96" spans="1:36" x14ac:dyDescent="0.25">
      <c r="A96" t="s">
        <v>1251</v>
      </c>
      <c r="B96">
        <v>94</v>
      </c>
      <c r="C96" t="s">
        <v>33</v>
      </c>
      <c r="D96">
        <v>3</v>
      </c>
      <c r="F96">
        <v>3</v>
      </c>
      <c r="G96" t="s">
        <v>65</v>
      </c>
      <c r="H96" t="s">
        <v>130</v>
      </c>
      <c r="I96" t="s">
        <v>36</v>
      </c>
      <c r="J96" t="s">
        <v>37</v>
      </c>
      <c r="K96" t="s">
        <v>48</v>
      </c>
      <c r="L96">
        <v>3</v>
      </c>
      <c r="N96">
        <v>3</v>
      </c>
      <c r="O96" t="s">
        <v>126</v>
      </c>
      <c r="P96" t="s">
        <v>84</v>
      </c>
      <c r="Q96" t="s">
        <v>90</v>
      </c>
      <c r="R96" t="s">
        <v>128</v>
      </c>
      <c r="S96" t="s">
        <v>43</v>
      </c>
      <c r="T96">
        <v>1</v>
      </c>
      <c r="V96">
        <v>3</v>
      </c>
      <c r="W96" t="s">
        <v>44</v>
      </c>
      <c r="X96" t="s">
        <v>136</v>
      </c>
      <c r="Y96" t="s">
        <v>100</v>
      </c>
      <c r="AA96" t="s">
        <v>227</v>
      </c>
      <c r="AB96">
        <v>1</v>
      </c>
      <c r="AC96">
        <v>3</v>
      </c>
      <c r="AD96">
        <v>3</v>
      </c>
      <c r="AE96" t="s">
        <v>229</v>
      </c>
      <c r="AF96" t="s">
        <v>233</v>
      </c>
      <c r="AG96" t="s">
        <v>235</v>
      </c>
      <c r="AH96" t="s">
        <v>238</v>
      </c>
      <c r="AI96">
        <v>0</v>
      </c>
      <c r="AJ96">
        <v>40</v>
      </c>
    </row>
    <row r="97" spans="1:36" x14ac:dyDescent="0.25">
      <c r="A97" t="s">
        <v>1252</v>
      </c>
      <c r="B97">
        <v>95</v>
      </c>
      <c r="C97" t="s">
        <v>63</v>
      </c>
      <c r="D97">
        <v>3</v>
      </c>
      <c r="F97">
        <v>3</v>
      </c>
      <c r="G97" t="s">
        <v>145</v>
      </c>
      <c r="H97" t="s">
        <v>146</v>
      </c>
      <c r="I97" t="s">
        <v>148</v>
      </c>
      <c r="J97" t="s">
        <v>150</v>
      </c>
      <c r="K97" t="s">
        <v>48</v>
      </c>
      <c r="L97">
        <v>3</v>
      </c>
      <c r="N97">
        <v>3</v>
      </c>
      <c r="O97" t="s">
        <v>126</v>
      </c>
      <c r="P97" t="s">
        <v>84</v>
      </c>
      <c r="Q97" t="s">
        <v>90</v>
      </c>
      <c r="R97" t="s">
        <v>52</v>
      </c>
      <c r="S97" t="s">
        <v>33</v>
      </c>
      <c r="T97">
        <v>3</v>
      </c>
      <c r="V97">
        <v>3</v>
      </c>
      <c r="W97" t="s">
        <v>65</v>
      </c>
      <c r="X97" t="s">
        <v>130</v>
      </c>
      <c r="Y97" t="s">
        <v>131</v>
      </c>
      <c r="Z97" t="s">
        <v>37</v>
      </c>
      <c r="AA97" t="s">
        <v>45</v>
      </c>
      <c r="AB97">
        <v>3</v>
      </c>
      <c r="AD97">
        <v>3</v>
      </c>
      <c r="AE97" t="s">
        <v>86</v>
      </c>
      <c r="AF97" t="s">
        <v>141</v>
      </c>
      <c r="AG97" t="s">
        <v>142</v>
      </c>
      <c r="AH97" t="s">
        <v>94</v>
      </c>
      <c r="AI97">
        <v>0</v>
      </c>
      <c r="AJ97">
        <v>52</v>
      </c>
    </row>
    <row r="98" spans="1:36" x14ac:dyDescent="0.25">
      <c r="A98" t="s">
        <v>1253</v>
      </c>
      <c r="B98">
        <v>96</v>
      </c>
      <c r="C98" t="s">
        <v>45</v>
      </c>
      <c r="D98">
        <v>3</v>
      </c>
      <c r="F98">
        <v>3</v>
      </c>
      <c r="G98" t="s">
        <v>86</v>
      </c>
      <c r="H98" t="s">
        <v>76</v>
      </c>
      <c r="I98" t="s">
        <v>102</v>
      </c>
      <c r="J98" t="s">
        <v>144</v>
      </c>
      <c r="K98" t="s">
        <v>48</v>
      </c>
      <c r="L98">
        <v>1</v>
      </c>
      <c r="N98">
        <v>2</v>
      </c>
      <c r="O98" t="s">
        <v>126</v>
      </c>
      <c r="P98" t="s">
        <v>84</v>
      </c>
      <c r="Q98" t="s">
        <v>90</v>
      </c>
      <c r="S98" t="s">
        <v>33</v>
      </c>
      <c r="T98">
        <v>3</v>
      </c>
      <c r="V98">
        <v>3</v>
      </c>
      <c r="W98" t="s">
        <v>65</v>
      </c>
      <c r="X98" t="s">
        <v>130</v>
      </c>
      <c r="Y98" t="s">
        <v>131</v>
      </c>
      <c r="Z98" t="s">
        <v>133</v>
      </c>
      <c r="AA98" t="s">
        <v>38</v>
      </c>
      <c r="AB98">
        <v>3</v>
      </c>
      <c r="AC98">
        <v>3</v>
      </c>
      <c r="AD98">
        <v>3</v>
      </c>
      <c r="AE98" t="s">
        <v>39</v>
      </c>
      <c r="AF98" t="s">
        <v>40</v>
      </c>
      <c r="AG98" t="s">
        <v>41</v>
      </c>
      <c r="AH98" t="s">
        <v>156</v>
      </c>
      <c r="AI98">
        <v>0</v>
      </c>
      <c r="AJ98">
        <v>33</v>
      </c>
    </row>
    <row r="99" spans="1:36" x14ac:dyDescent="0.25">
      <c r="A99" t="s">
        <v>1254</v>
      </c>
      <c r="B99">
        <v>97</v>
      </c>
      <c r="C99" t="s">
        <v>45</v>
      </c>
      <c r="D99">
        <v>3</v>
      </c>
      <c r="F99">
        <v>3</v>
      </c>
      <c r="G99" t="s">
        <v>86</v>
      </c>
      <c r="H99" t="s">
        <v>141</v>
      </c>
      <c r="I99" t="s">
        <v>142</v>
      </c>
      <c r="J99" t="s">
        <v>144</v>
      </c>
      <c r="K99" t="s">
        <v>48</v>
      </c>
      <c r="L99">
        <v>1</v>
      </c>
      <c r="N99">
        <v>1</v>
      </c>
      <c r="O99" t="s">
        <v>126</v>
      </c>
      <c r="P99" t="s">
        <v>84</v>
      </c>
      <c r="Q99" t="s">
        <v>90</v>
      </c>
      <c r="R99" t="s">
        <v>128</v>
      </c>
      <c r="S99" t="s">
        <v>33</v>
      </c>
      <c r="T99">
        <v>3</v>
      </c>
      <c r="V99">
        <v>2</v>
      </c>
      <c r="W99" t="s">
        <v>65</v>
      </c>
      <c r="X99" t="s">
        <v>130</v>
      </c>
      <c r="Y99" t="s">
        <v>131</v>
      </c>
      <c r="Z99" t="s">
        <v>133</v>
      </c>
      <c r="AA99" t="s">
        <v>227</v>
      </c>
      <c r="AB99">
        <v>2</v>
      </c>
      <c r="AC99">
        <v>3</v>
      </c>
      <c r="AD99">
        <v>3</v>
      </c>
      <c r="AE99" t="s">
        <v>229</v>
      </c>
      <c r="AF99" t="s">
        <v>232</v>
      </c>
      <c r="AG99" t="s">
        <v>236</v>
      </c>
      <c r="AH99" t="s">
        <v>238</v>
      </c>
      <c r="AI99">
        <v>0</v>
      </c>
      <c r="AJ99">
        <v>29</v>
      </c>
    </row>
    <row r="100" spans="1:36" x14ac:dyDescent="0.25">
      <c r="A100" t="s">
        <v>1255</v>
      </c>
      <c r="B100">
        <v>98</v>
      </c>
      <c r="C100" t="s">
        <v>33</v>
      </c>
      <c r="D100">
        <v>3</v>
      </c>
      <c r="F100">
        <v>3</v>
      </c>
      <c r="G100" t="s">
        <v>65</v>
      </c>
      <c r="H100" t="s">
        <v>130</v>
      </c>
      <c r="I100" t="s">
        <v>131</v>
      </c>
      <c r="J100" t="s">
        <v>37</v>
      </c>
      <c r="K100" t="s">
        <v>48</v>
      </c>
      <c r="L100">
        <v>3</v>
      </c>
      <c r="N100">
        <v>3</v>
      </c>
      <c r="O100" t="s">
        <v>126</v>
      </c>
      <c r="P100" t="s">
        <v>84</v>
      </c>
      <c r="Q100" t="s">
        <v>90</v>
      </c>
      <c r="R100" t="s">
        <v>52</v>
      </c>
      <c r="S100" t="s">
        <v>63</v>
      </c>
      <c r="T100">
        <v>3</v>
      </c>
      <c r="V100">
        <v>3</v>
      </c>
      <c r="W100" t="s">
        <v>145</v>
      </c>
      <c r="X100" t="s">
        <v>146</v>
      </c>
      <c r="Y100" t="s">
        <v>148</v>
      </c>
      <c r="Z100" t="s">
        <v>150</v>
      </c>
      <c r="AA100" t="s">
        <v>38</v>
      </c>
      <c r="AB100">
        <v>3</v>
      </c>
      <c r="AC100">
        <v>3</v>
      </c>
      <c r="AD100">
        <v>3</v>
      </c>
      <c r="AE100" t="s">
        <v>39</v>
      </c>
      <c r="AF100" t="s">
        <v>40</v>
      </c>
      <c r="AG100" t="s">
        <v>153</v>
      </c>
      <c r="AH100" t="s">
        <v>156</v>
      </c>
      <c r="AI100">
        <v>0</v>
      </c>
      <c r="AJ100">
        <v>53</v>
      </c>
    </row>
    <row r="101" spans="1:36" x14ac:dyDescent="0.25">
      <c r="A101" t="s">
        <v>1256</v>
      </c>
      <c r="B101">
        <v>99</v>
      </c>
      <c r="C101" t="s">
        <v>33</v>
      </c>
      <c r="D101">
        <v>3</v>
      </c>
      <c r="F101">
        <v>3</v>
      </c>
      <c r="G101" t="s">
        <v>34</v>
      </c>
      <c r="H101" t="s">
        <v>130</v>
      </c>
      <c r="I101" t="s">
        <v>132</v>
      </c>
      <c r="J101" t="s">
        <v>133</v>
      </c>
      <c r="K101" t="s">
        <v>48</v>
      </c>
      <c r="L101">
        <v>2</v>
      </c>
      <c r="N101">
        <v>2</v>
      </c>
      <c r="O101" t="s">
        <v>126</v>
      </c>
      <c r="P101" t="s">
        <v>84</v>
      </c>
      <c r="Q101" t="s">
        <v>127</v>
      </c>
      <c r="R101" t="s">
        <v>52</v>
      </c>
      <c r="S101" t="s">
        <v>63</v>
      </c>
      <c r="T101">
        <v>3</v>
      </c>
      <c r="V101">
        <v>3</v>
      </c>
      <c r="W101" t="s">
        <v>145</v>
      </c>
      <c r="X101" t="s">
        <v>91</v>
      </c>
      <c r="Y101" t="s">
        <v>148</v>
      </c>
      <c r="Z101" t="s">
        <v>151</v>
      </c>
      <c r="AA101" t="s">
        <v>227</v>
      </c>
      <c r="AB101">
        <v>1</v>
      </c>
      <c r="AC101">
        <v>2</v>
      </c>
      <c r="AD101">
        <v>2</v>
      </c>
      <c r="AE101" t="s">
        <v>229</v>
      </c>
      <c r="AF101" t="s">
        <v>232</v>
      </c>
      <c r="AG101" t="s">
        <v>235</v>
      </c>
      <c r="AH101" t="s">
        <v>238</v>
      </c>
      <c r="AI101">
        <v>0</v>
      </c>
      <c r="AJ101">
        <v>31</v>
      </c>
    </row>
    <row r="102" spans="1:36" x14ac:dyDescent="0.25">
      <c r="A102" t="s">
        <v>1257</v>
      </c>
      <c r="B102">
        <v>100</v>
      </c>
      <c r="C102" t="s">
        <v>33</v>
      </c>
      <c r="D102">
        <v>3</v>
      </c>
      <c r="F102">
        <v>3</v>
      </c>
      <c r="G102" t="s">
        <v>65</v>
      </c>
      <c r="H102" t="s">
        <v>130</v>
      </c>
      <c r="I102" t="s">
        <v>36</v>
      </c>
      <c r="J102" t="s">
        <v>133</v>
      </c>
      <c r="K102" t="s">
        <v>48</v>
      </c>
      <c r="L102">
        <v>1</v>
      </c>
      <c r="N102">
        <v>2</v>
      </c>
      <c r="O102" t="s">
        <v>126</v>
      </c>
      <c r="P102" t="s">
        <v>84</v>
      </c>
      <c r="Q102" t="s">
        <v>90</v>
      </c>
      <c r="S102" t="s">
        <v>38</v>
      </c>
      <c r="T102">
        <v>3</v>
      </c>
      <c r="U102">
        <v>3</v>
      </c>
      <c r="V102">
        <v>3</v>
      </c>
      <c r="W102" t="s">
        <v>39</v>
      </c>
      <c r="X102" t="s">
        <v>40</v>
      </c>
      <c r="Y102" t="s">
        <v>153</v>
      </c>
      <c r="Z102" t="s">
        <v>156</v>
      </c>
      <c r="AA102" t="s">
        <v>227</v>
      </c>
      <c r="AB102">
        <v>2</v>
      </c>
      <c r="AC102">
        <v>3</v>
      </c>
      <c r="AD102">
        <v>3</v>
      </c>
      <c r="AE102" t="s">
        <v>229</v>
      </c>
      <c r="AF102" t="s">
        <v>233</v>
      </c>
      <c r="AG102" t="s">
        <v>235</v>
      </c>
      <c r="AH102" t="s">
        <v>238</v>
      </c>
      <c r="AI102">
        <v>0</v>
      </c>
      <c r="AJ102">
        <v>35</v>
      </c>
    </row>
    <row r="103" spans="1:36" x14ac:dyDescent="0.25">
      <c r="A103" t="s">
        <v>1258</v>
      </c>
      <c r="B103">
        <v>101</v>
      </c>
      <c r="C103" t="s">
        <v>45</v>
      </c>
      <c r="D103">
        <v>3</v>
      </c>
      <c r="F103">
        <v>3</v>
      </c>
      <c r="G103" t="s">
        <v>86</v>
      </c>
      <c r="H103" t="s">
        <v>92</v>
      </c>
      <c r="I103" t="s">
        <v>102</v>
      </c>
      <c r="J103" t="s">
        <v>94</v>
      </c>
      <c r="K103" t="s">
        <v>48</v>
      </c>
      <c r="L103">
        <v>3</v>
      </c>
      <c r="N103">
        <v>3</v>
      </c>
      <c r="O103" t="s">
        <v>126</v>
      </c>
      <c r="P103" t="s">
        <v>84</v>
      </c>
      <c r="Q103" t="s">
        <v>90</v>
      </c>
      <c r="R103" t="s">
        <v>52</v>
      </c>
      <c r="S103" t="s">
        <v>43</v>
      </c>
      <c r="T103">
        <v>3</v>
      </c>
      <c r="V103">
        <v>3</v>
      </c>
      <c r="W103" t="s">
        <v>44</v>
      </c>
      <c r="X103" t="s">
        <v>136</v>
      </c>
      <c r="Y103" t="s">
        <v>137</v>
      </c>
      <c r="Z103" t="s">
        <v>139</v>
      </c>
      <c r="AA103" t="s">
        <v>63</v>
      </c>
      <c r="AB103">
        <v>3</v>
      </c>
      <c r="AD103">
        <v>3</v>
      </c>
      <c r="AE103" t="s">
        <v>145</v>
      </c>
      <c r="AF103" t="s">
        <v>146</v>
      </c>
      <c r="AG103" t="s">
        <v>148</v>
      </c>
      <c r="AH103" t="s">
        <v>150</v>
      </c>
      <c r="AI103">
        <v>0</v>
      </c>
      <c r="AJ103">
        <v>45</v>
      </c>
    </row>
    <row r="104" spans="1:36" x14ac:dyDescent="0.25">
      <c r="A104" t="s">
        <v>1259</v>
      </c>
      <c r="B104">
        <v>102</v>
      </c>
      <c r="C104" t="s">
        <v>48</v>
      </c>
      <c r="D104">
        <v>3</v>
      </c>
      <c r="F104">
        <v>3</v>
      </c>
      <c r="G104" t="s">
        <v>126</v>
      </c>
      <c r="H104" t="s">
        <v>84</v>
      </c>
      <c r="I104" t="s">
        <v>90</v>
      </c>
      <c r="J104" t="s">
        <v>128</v>
      </c>
      <c r="K104" t="s">
        <v>43</v>
      </c>
      <c r="L104">
        <v>2</v>
      </c>
      <c r="N104">
        <v>3</v>
      </c>
      <c r="O104" t="s">
        <v>73</v>
      </c>
      <c r="P104" t="s">
        <v>74</v>
      </c>
      <c r="Q104" t="s">
        <v>100</v>
      </c>
      <c r="R104" t="s">
        <v>138</v>
      </c>
      <c r="S104" t="s">
        <v>45</v>
      </c>
      <c r="T104">
        <v>3</v>
      </c>
      <c r="V104">
        <v>2</v>
      </c>
      <c r="W104" t="s">
        <v>86</v>
      </c>
      <c r="X104" t="s">
        <v>92</v>
      </c>
      <c r="Y104" t="s">
        <v>93</v>
      </c>
      <c r="Z104" t="s">
        <v>143</v>
      </c>
      <c r="AA104" t="s">
        <v>38</v>
      </c>
      <c r="AB104">
        <v>3</v>
      </c>
      <c r="AC104">
        <v>3</v>
      </c>
      <c r="AD104">
        <v>3</v>
      </c>
      <c r="AE104" t="s">
        <v>39</v>
      </c>
      <c r="AF104" t="s">
        <v>40</v>
      </c>
      <c r="AG104" t="s">
        <v>154</v>
      </c>
      <c r="AH104" t="s">
        <v>42</v>
      </c>
      <c r="AI104">
        <v>0</v>
      </c>
      <c r="AJ104">
        <v>34</v>
      </c>
    </row>
    <row r="105" spans="1:36" x14ac:dyDescent="0.25">
      <c r="A105" t="s">
        <v>1260</v>
      </c>
      <c r="B105">
        <v>103</v>
      </c>
      <c r="C105" t="s">
        <v>45</v>
      </c>
      <c r="D105">
        <v>3</v>
      </c>
      <c r="F105">
        <v>3</v>
      </c>
      <c r="G105" t="s">
        <v>86</v>
      </c>
      <c r="H105" t="s">
        <v>76</v>
      </c>
      <c r="I105" t="s">
        <v>142</v>
      </c>
      <c r="J105" t="s">
        <v>144</v>
      </c>
      <c r="K105" t="s">
        <v>48</v>
      </c>
      <c r="L105">
        <v>1</v>
      </c>
      <c r="N105">
        <v>1</v>
      </c>
      <c r="O105" t="s">
        <v>126</v>
      </c>
      <c r="P105" t="s">
        <v>84</v>
      </c>
      <c r="S105" t="s">
        <v>43</v>
      </c>
      <c r="T105">
        <v>3</v>
      </c>
      <c r="V105">
        <v>3</v>
      </c>
      <c r="W105" t="s">
        <v>73</v>
      </c>
      <c r="X105" t="s">
        <v>136</v>
      </c>
      <c r="Y105" t="s">
        <v>75</v>
      </c>
      <c r="Z105" t="s">
        <v>138</v>
      </c>
      <c r="AA105" t="s">
        <v>227</v>
      </c>
      <c r="AB105">
        <v>3</v>
      </c>
      <c r="AC105">
        <v>2</v>
      </c>
      <c r="AD105">
        <v>3</v>
      </c>
      <c r="AE105" t="s">
        <v>229</v>
      </c>
      <c r="AF105" t="s">
        <v>231</v>
      </c>
      <c r="AG105" t="s">
        <v>235</v>
      </c>
      <c r="AH105" t="s">
        <v>238</v>
      </c>
      <c r="AI105">
        <v>0</v>
      </c>
      <c r="AJ105">
        <v>28</v>
      </c>
    </row>
    <row r="106" spans="1:36" x14ac:dyDescent="0.25">
      <c r="A106" t="s">
        <v>1261</v>
      </c>
      <c r="B106">
        <v>104</v>
      </c>
      <c r="C106" t="s">
        <v>63</v>
      </c>
      <c r="D106">
        <v>3</v>
      </c>
      <c r="F106">
        <v>3</v>
      </c>
      <c r="G106" t="s">
        <v>145</v>
      </c>
      <c r="H106" t="s">
        <v>146</v>
      </c>
      <c r="I106" t="s">
        <v>148</v>
      </c>
      <c r="J106" t="s">
        <v>149</v>
      </c>
      <c r="K106" t="s">
        <v>48</v>
      </c>
      <c r="L106">
        <v>3</v>
      </c>
      <c r="N106">
        <v>3</v>
      </c>
      <c r="O106" t="s">
        <v>126</v>
      </c>
      <c r="P106" t="s">
        <v>84</v>
      </c>
      <c r="Q106" t="s">
        <v>90</v>
      </c>
      <c r="R106" t="s">
        <v>128</v>
      </c>
      <c r="S106" t="s">
        <v>43</v>
      </c>
      <c r="T106">
        <v>3</v>
      </c>
      <c r="V106">
        <v>3</v>
      </c>
      <c r="W106" t="s">
        <v>44</v>
      </c>
      <c r="X106" t="s">
        <v>136</v>
      </c>
      <c r="Y106" t="s">
        <v>75</v>
      </c>
      <c r="Z106" t="s">
        <v>101</v>
      </c>
      <c r="AA106" t="s">
        <v>38</v>
      </c>
      <c r="AB106">
        <v>3</v>
      </c>
      <c r="AC106">
        <v>3</v>
      </c>
      <c r="AD106">
        <v>2</v>
      </c>
      <c r="AE106" t="s">
        <v>39</v>
      </c>
      <c r="AF106" t="s">
        <v>40</v>
      </c>
      <c r="AG106" t="s">
        <v>153</v>
      </c>
      <c r="AH106" t="s">
        <v>42</v>
      </c>
      <c r="AI106">
        <v>0</v>
      </c>
      <c r="AJ106">
        <v>47</v>
      </c>
    </row>
    <row r="107" spans="1:36" x14ac:dyDescent="0.25">
      <c r="A107" t="s">
        <v>1262</v>
      </c>
      <c r="B107">
        <v>105</v>
      </c>
      <c r="C107" t="s">
        <v>63</v>
      </c>
      <c r="D107">
        <v>3</v>
      </c>
      <c r="F107">
        <v>3</v>
      </c>
      <c r="G107" t="s">
        <v>145</v>
      </c>
      <c r="H107" t="s">
        <v>91</v>
      </c>
      <c r="I107" t="s">
        <v>148</v>
      </c>
      <c r="J107" t="s">
        <v>151</v>
      </c>
      <c r="K107" t="s">
        <v>48</v>
      </c>
      <c r="L107">
        <v>1</v>
      </c>
      <c r="N107">
        <v>1</v>
      </c>
      <c r="O107" t="s">
        <v>126</v>
      </c>
      <c r="P107" t="s">
        <v>84</v>
      </c>
      <c r="Q107" t="s">
        <v>127</v>
      </c>
      <c r="R107" t="s">
        <v>128</v>
      </c>
      <c r="S107" t="s">
        <v>43</v>
      </c>
      <c r="T107">
        <v>3</v>
      </c>
      <c r="V107">
        <v>3</v>
      </c>
      <c r="W107" t="s">
        <v>44</v>
      </c>
      <c r="X107" t="s">
        <v>136</v>
      </c>
      <c r="Y107" t="s">
        <v>137</v>
      </c>
      <c r="Z107" t="s">
        <v>139</v>
      </c>
      <c r="AA107" t="s">
        <v>227</v>
      </c>
      <c r="AB107">
        <v>1</v>
      </c>
      <c r="AC107">
        <v>3</v>
      </c>
      <c r="AD107">
        <v>3</v>
      </c>
      <c r="AE107" t="s">
        <v>229</v>
      </c>
      <c r="AF107" t="s">
        <v>231</v>
      </c>
      <c r="AG107" t="s">
        <v>235</v>
      </c>
      <c r="AH107" t="s">
        <v>238</v>
      </c>
      <c r="AI107">
        <v>0</v>
      </c>
      <c r="AJ107">
        <v>38</v>
      </c>
    </row>
    <row r="108" spans="1:36" x14ac:dyDescent="0.25">
      <c r="A108" t="s">
        <v>1263</v>
      </c>
      <c r="B108">
        <v>106</v>
      </c>
      <c r="C108" t="s">
        <v>38</v>
      </c>
      <c r="D108">
        <v>3</v>
      </c>
      <c r="E108">
        <v>3</v>
      </c>
      <c r="F108">
        <v>3</v>
      </c>
      <c r="G108" t="s">
        <v>39</v>
      </c>
      <c r="H108" t="s">
        <v>40</v>
      </c>
      <c r="I108" t="s">
        <v>153</v>
      </c>
      <c r="J108" t="s">
        <v>156</v>
      </c>
      <c r="K108" t="s">
        <v>48</v>
      </c>
      <c r="L108">
        <v>2</v>
      </c>
      <c r="N108">
        <v>1</v>
      </c>
      <c r="O108" t="s">
        <v>126</v>
      </c>
      <c r="P108" t="s">
        <v>84</v>
      </c>
      <c r="Q108" t="s">
        <v>90</v>
      </c>
      <c r="R108" t="s">
        <v>128</v>
      </c>
      <c r="S108" t="s">
        <v>43</v>
      </c>
      <c r="T108">
        <v>3</v>
      </c>
      <c r="V108">
        <v>3</v>
      </c>
      <c r="W108" t="s">
        <v>73</v>
      </c>
      <c r="X108" t="s">
        <v>136</v>
      </c>
      <c r="Y108" t="s">
        <v>137</v>
      </c>
      <c r="Z108" t="s">
        <v>138</v>
      </c>
      <c r="AA108" t="s">
        <v>227</v>
      </c>
      <c r="AB108">
        <v>3</v>
      </c>
      <c r="AC108">
        <v>3</v>
      </c>
      <c r="AD108">
        <v>3</v>
      </c>
      <c r="AE108" t="s">
        <v>229</v>
      </c>
      <c r="AF108" t="s">
        <v>231</v>
      </c>
      <c r="AG108" t="s">
        <v>235</v>
      </c>
      <c r="AH108" t="s">
        <v>238</v>
      </c>
      <c r="AI108">
        <v>0</v>
      </c>
      <c r="AJ108">
        <v>43</v>
      </c>
    </row>
    <row r="109" spans="1:36" x14ac:dyDescent="0.25">
      <c r="A109" t="s">
        <v>1264</v>
      </c>
      <c r="B109">
        <v>107</v>
      </c>
      <c r="C109" t="s">
        <v>38</v>
      </c>
      <c r="D109">
        <v>2</v>
      </c>
      <c r="E109">
        <v>2</v>
      </c>
      <c r="F109">
        <v>3</v>
      </c>
      <c r="G109" t="s">
        <v>39</v>
      </c>
      <c r="H109" t="s">
        <v>40</v>
      </c>
      <c r="I109" t="s">
        <v>154</v>
      </c>
      <c r="J109" t="s">
        <v>156</v>
      </c>
      <c r="K109" t="s">
        <v>48</v>
      </c>
      <c r="L109">
        <v>3</v>
      </c>
      <c r="N109">
        <v>1</v>
      </c>
      <c r="O109" t="s">
        <v>126</v>
      </c>
      <c r="P109" t="s">
        <v>84</v>
      </c>
      <c r="Q109" t="s">
        <v>127</v>
      </c>
      <c r="S109" t="s">
        <v>45</v>
      </c>
      <c r="T109">
        <v>3</v>
      </c>
      <c r="V109">
        <v>2</v>
      </c>
      <c r="W109" t="s">
        <v>86</v>
      </c>
      <c r="X109" t="s">
        <v>141</v>
      </c>
      <c r="Y109" t="s">
        <v>102</v>
      </c>
      <c r="Z109" t="s">
        <v>144</v>
      </c>
      <c r="AA109" t="s">
        <v>63</v>
      </c>
      <c r="AB109">
        <v>1</v>
      </c>
      <c r="AD109">
        <v>1</v>
      </c>
      <c r="AE109" t="s">
        <v>145</v>
      </c>
      <c r="AF109" t="s">
        <v>91</v>
      </c>
      <c r="AG109" t="s">
        <v>148</v>
      </c>
      <c r="AH109" t="s">
        <v>151</v>
      </c>
      <c r="AI109">
        <v>0</v>
      </c>
      <c r="AJ109">
        <v>24</v>
      </c>
    </row>
    <row r="110" spans="1:36" x14ac:dyDescent="0.25">
      <c r="A110" t="s">
        <v>1265</v>
      </c>
      <c r="B110">
        <v>108</v>
      </c>
      <c r="C110" t="s">
        <v>48</v>
      </c>
      <c r="D110">
        <v>3</v>
      </c>
      <c r="F110">
        <v>3</v>
      </c>
      <c r="G110" t="s">
        <v>126</v>
      </c>
      <c r="H110" t="s">
        <v>84</v>
      </c>
      <c r="I110" t="s">
        <v>127</v>
      </c>
      <c r="J110" t="s">
        <v>52</v>
      </c>
      <c r="K110" t="s">
        <v>45</v>
      </c>
      <c r="L110">
        <v>3</v>
      </c>
      <c r="N110">
        <v>3</v>
      </c>
      <c r="O110" t="s">
        <v>86</v>
      </c>
      <c r="P110" t="s">
        <v>141</v>
      </c>
      <c r="Q110" t="s">
        <v>102</v>
      </c>
      <c r="R110" t="s">
        <v>144</v>
      </c>
      <c r="S110" t="s">
        <v>63</v>
      </c>
      <c r="T110">
        <v>3</v>
      </c>
      <c r="V110">
        <v>3</v>
      </c>
      <c r="W110" t="s">
        <v>103</v>
      </c>
      <c r="X110" t="s">
        <v>91</v>
      </c>
      <c r="Y110" t="s">
        <v>148</v>
      </c>
      <c r="Z110" t="s">
        <v>151</v>
      </c>
      <c r="AA110" t="s">
        <v>227</v>
      </c>
      <c r="AB110">
        <v>1</v>
      </c>
      <c r="AC110">
        <v>3</v>
      </c>
      <c r="AD110">
        <v>3</v>
      </c>
      <c r="AE110" t="s">
        <v>229</v>
      </c>
      <c r="AF110" t="s">
        <v>231</v>
      </c>
      <c r="AG110" t="s">
        <v>235</v>
      </c>
      <c r="AH110" t="s">
        <v>238</v>
      </c>
      <c r="AI110">
        <v>0</v>
      </c>
      <c r="AJ110">
        <v>42</v>
      </c>
    </row>
    <row r="111" spans="1:36" x14ac:dyDescent="0.25">
      <c r="A111" t="s">
        <v>1266</v>
      </c>
      <c r="B111">
        <v>109</v>
      </c>
      <c r="C111" t="s">
        <v>48</v>
      </c>
      <c r="D111">
        <v>3</v>
      </c>
      <c r="F111">
        <v>3</v>
      </c>
      <c r="G111" t="s">
        <v>126</v>
      </c>
      <c r="H111" t="s">
        <v>84</v>
      </c>
      <c r="I111" t="s">
        <v>90</v>
      </c>
      <c r="J111" t="s">
        <v>128</v>
      </c>
      <c r="K111" t="s">
        <v>45</v>
      </c>
      <c r="L111">
        <v>3</v>
      </c>
      <c r="N111">
        <v>3</v>
      </c>
      <c r="O111" t="s">
        <v>86</v>
      </c>
      <c r="P111" t="s">
        <v>92</v>
      </c>
      <c r="Q111" t="s">
        <v>142</v>
      </c>
      <c r="R111" t="s">
        <v>143</v>
      </c>
      <c r="S111" t="s">
        <v>38</v>
      </c>
      <c r="T111">
        <v>2</v>
      </c>
      <c r="U111">
        <v>2</v>
      </c>
      <c r="V111">
        <v>3</v>
      </c>
      <c r="W111" t="s">
        <v>39</v>
      </c>
      <c r="X111" t="s">
        <v>40</v>
      </c>
      <c r="Y111" t="s">
        <v>153</v>
      </c>
      <c r="Z111" t="s">
        <v>155</v>
      </c>
      <c r="AA111" t="s">
        <v>227</v>
      </c>
      <c r="AB111">
        <v>3</v>
      </c>
      <c r="AC111">
        <v>3</v>
      </c>
      <c r="AD111">
        <v>3</v>
      </c>
      <c r="AE111" t="s">
        <v>229</v>
      </c>
      <c r="AF111" t="s">
        <v>231</v>
      </c>
      <c r="AG111" t="s">
        <v>235</v>
      </c>
      <c r="AH111" t="s">
        <v>238</v>
      </c>
      <c r="AI111">
        <v>0</v>
      </c>
      <c r="AJ111">
        <v>44</v>
      </c>
    </row>
    <row r="112" spans="1:36" x14ac:dyDescent="0.25">
      <c r="A112" t="s">
        <v>1267</v>
      </c>
      <c r="B112">
        <v>110</v>
      </c>
      <c r="C112" t="s">
        <v>38</v>
      </c>
      <c r="D112">
        <v>3</v>
      </c>
      <c r="E112">
        <v>3</v>
      </c>
      <c r="F112">
        <v>3</v>
      </c>
      <c r="G112" t="s">
        <v>39</v>
      </c>
      <c r="H112" t="s">
        <v>96</v>
      </c>
      <c r="I112" t="s">
        <v>41</v>
      </c>
      <c r="J112" t="s">
        <v>156</v>
      </c>
      <c r="K112" t="s">
        <v>48</v>
      </c>
      <c r="L112">
        <v>3</v>
      </c>
      <c r="N112">
        <v>3</v>
      </c>
      <c r="O112" t="s">
        <v>126</v>
      </c>
      <c r="P112" t="s">
        <v>84</v>
      </c>
      <c r="Q112" t="s">
        <v>127</v>
      </c>
      <c r="R112" t="s">
        <v>128</v>
      </c>
      <c r="S112" t="s">
        <v>63</v>
      </c>
      <c r="T112">
        <v>3</v>
      </c>
      <c r="V112">
        <v>3</v>
      </c>
      <c r="W112" t="s">
        <v>145</v>
      </c>
      <c r="X112" t="s">
        <v>91</v>
      </c>
      <c r="Y112" t="s">
        <v>148</v>
      </c>
      <c r="Z112" t="s">
        <v>151</v>
      </c>
      <c r="AA112" t="s">
        <v>227</v>
      </c>
      <c r="AB112">
        <v>3</v>
      </c>
      <c r="AC112">
        <v>3</v>
      </c>
      <c r="AD112">
        <v>3</v>
      </c>
      <c r="AE112" t="s">
        <v>229</v>
      </c>
      <c r="AF112" t="s">
        <v>231</v>
      </c>
      <c r="AG112" t="s">
        <v>235</v>
      </c>
      <c r="AH112" t="s">
        <v>237</v>
      </c>
      <c r="AI112">
        <v>0</v>
      </c>
      <c r="AJ112">
        <v>52</v>
      </c>
    </row>
    <row r="113" spans="1:36" x14ac:dyDescent="0.25">
      <c r="A113" t="s">
        <v>1268</v>
      </c>
      <c r="B113">
        <v>111</v>
      </c>
      <c r="C113" t="s">
        <v>63</v>
      </c>
      <c r="D113">
        <v>1</v>
      </c>
      <c r="F113">
        <v>1</v>
      </c>
      <c r="G113" t="s">
        <v>145</v>
      </c>
      <c r="H113" t="s">
        <v>146</v>
      </c>
      <c r="I113" t="s">
        <v>148</v>
      </c>
      <c r="J113" t="s">
        <v>150</v>
      </c>
      <c r="K113" t="s">
        <v>33</v>
      </c>
      <c r="L113">
        <v>3</v>
      </c>
      <c r="N113">
        <v>3</v>
      </c>
      <c r="O113" t="s">
        <v>65</v>
      </c>
      <c r="P113" t="s">
        <v>66</v>
      </c>
      <c r="Q113" t="s">
        <v>131</v>
      </c>
      <c r="R113" t="s">
        <v>133</v>
      </c>
      <c r="S113" t="s">
        <v>43</v>
      </c>
      <c r="T113">
        <v>3</v>
      </c>
      <c r="V113">
        <v>3</v>
      </c>
      <c r="W113" t="s">
        <v>73</v>
      </c>
      <c r="X113" t="s">
        <v>136</v>
      </c>
      <c r="Y113" t="s">
        <v>100</v>
      </c>
      <c r="Z113" t="s">
        <v>138</v>
      </c>
      <c r="AA113" t="s">
        <v>45</v>
      </c>
      <c r="AB113">
        <v>3</v>
      </c>
      <c r="AD113">
        <v>3</v>
      </c>
      <c r="AE113" t="s">
        <v>86</v>
      </c>
      <c r="AF113" t="s">
        <v>141</v>
      </c>
      <c r="AG113" t="s">
        <v>142</v>
      </c>
      <c r="AH113" t="s">
        <v>144</v>
      </c>
      <c r="AI113">
        <v>0</v>
      </c>
      <c r="AJ113">
        <v>39</v>
      </c>
    </row>
    <row r="114" spans="1:36" x14ac:dyDescent="0.25">
      <c r="A114" t="s">
        <v>1269</v>
      </c>
      <c r="B114">
        <v>112</v>
      </c>
      <c r="C114" t="s">
        <v>38</v>
      </c>
      <c r="D114">
        <v>3</v>
      </c>
      <c r="E114">
        <v>3</v>
      </c>
      <c r="F114">
        <v>3</v>
      </c>
      <c r="G114" t="s">
        <v>39</v>
      </c>
      <c r="H114" t="s">
        <v>96</v>
      </c>
      <c r="I114" t="s">
        <v>41</v>
      </c>
      <c r="J114" t="s">
        <v>156</v>
      </c>
      <c r="K114" t="s">
        <v>33</v>
      </c>
      <c r="L114">
        <v>2</v>
      </c>
      <c r="N114">
        <v>3</v>
      </c>
      <c r="O114" t="s">
        <v>65</v>
      </c>
      <c r="P114" t="s">
        <v>35</v>
      </c>
      <c r="Q114" t="s">
        <v>131</v>
      </c>
      <c r="R114" t="s">
        <v>133</v>
      </c>
      <c r="S114" t="s">
        <v>43</v>
      </c>
      <c r="T114">
        <v>1</v>
      </c>
      <c r="V114">
        <v>2</v>
      </c>
      <c r="W114" t="s">
        <v>73</v>
      </c>
      <c r="X114" t="s">
        <v>136</v>
      </c>
      <c r="Y114" t="s">
        <v>100</v>
      </c>
      <c r="AA114" t="s">
        <v>45</v>
      </c>
      <c r="AB114">
        <v>3</v>
      </c>
      <c r="AD114">
        <v>3</v>
      </c>
      <c r="AE114" t="s">
        <v>47</v>
      </c>
      <c r="AF114" t="s">
        <v>76</v>
      </c>
      <c r="AG114" t="s">
        <v>142</v>
      </c>
      <c r="AH114" t="s">
        <v>144</v>
      </c>
      <c r="AI114">
        <v>0</v>
      </c>
      <c r="AJ114">
        <v>30</v>
      </c>
    </row>
    <row r="115" spans="1:36" x14ac:dyDescent="0.25">
      <c r="A115" t="s">
        <v>1270</v>
      </c>
      <c r="B115">
        <v>113</v>
      </c>
      <c r="C115" t="s">
        <v>33</v>
      </c>
      <c r="D115">
        <v>3</v>
      </c>
      <c r="F115">
        <v>3</v>
      </c>
      <c r="G115" t="s">
        <v>65</v>
      </c>
      <c r="H115" t="s">
        <v>130</v>
      </c>
      <c r="I115" t="s">
        <v>36</v>
      </c>
      <c r="J115" t="s">
        <v>133</v>
      </c>
      <c r="K115" t="s">
        <v>43</v>
      </c>
      <c r="L115">
        <v>1</v>
      </c>
      <c r="N115">
        <v>1</v>
      </c>
      <c r="O115" t="s">
        <v>73</v>
      </c>
      <c r="P115" t="s">
        <v>136</v>
      </c>
      <c r="Q115" t="s">
        <v>100</v>
      </c>
      <c r="S115" t="s">
        <v>45</v>
      </c>
      <c r="T115">
        <v>3</v>
      </c>
      <c r="V115">
        <v>1</v>
      </c>
      <c r="W115" t="s">
        <v>86</v>
      </c>
      <c r="X115" t="s">
        <v>141</v>
      </c>
      <c r="AA115" t="s">
        <v>227</v>
      </c>
      <c r="AB115">
        <v>1</v>
      </c>
      <c r="AC115">
        <v>3</v>
      </c>
      <c r="AD115">
        <v>3</v>
      </c>
      <c r="AE115" t="s">
        <v>229</v>
      </c>
      <c r="AF115" t="s">
        <v>232</v>
      </c>
      <c r="AG115" t="s">
        <v>236</v>
      </c>
      <c r="AI115">
        <v>0</v>
      </c>
      <c r="AJ115">
        <v>23</v>
      </c>
    </row>
    <row r="116" spans="1:36" x14ac:dyDescent="0.25">
      <c r="A116" t="s">
        <v>1271</v>
      </c>
      <c r="B116">
        <v>114</v>
      </c>
      <c r="C116" t="s">
        <v>43</v>
      </c>
      <c r="D116">
        <v>3</v>
      </c>
      <c r="F116">
        <v>3</v>
      </c>
      <c r="G116" t="s">
        <v>73</v>
      </c>
      <c r="H116" t="s">
        <v>136</v>
      </c>
      <c r="I116" t="s">
        <v>100</v>
      </c>
      <c r="J116" t="s">
        <v>139</v>
      </c>
      <c r="K116" t="s">
        <v>33</v>
      </c>
      <c r="L116">
        <v>3</v>
      </c>
      <c r="N116">
        <v>3</v>
      </c>
      <c r="O116" t="s">
        <v>65</v>
      </c>
      <c r="P116" t="s">
        <v>66</v>
      </c>
      <c r="Q116" t="s">
        <v>36</v>
      </c>
      <c r="R116" t="s">
        <v>133</v>
      </c>
      <c r="S116" t="s">
        <v>63</v>
      </c>
      <c r="T116">
        <v>3</v>
      </c>
      <c r="V116">
        <v>3</v>
      </c>
      <c r="W116" t="s">
        <v>145</v>
      </c>
      <c r="X116" t="s">
        <v>146</v>
      </c>
      <c r="Y116" t="s">
        <v>148</v>
      </c>
      <c r="Z116" t="s">
        <v>150</v>
      </c>
      <c r="AA116" t="s">
        <v>38</v>
      </c>
      <c r="AB116">
        <v>3</v>
      </c>
      <c r="AC116">
        <v>3</v>
      </c>
      <c r="AD116">
        <v>3</v>
      </c>
      <c r="AE116" t="s">
        <v>39</v>
      </c>
      <c r="AF116" t="s">
        <v>70</v>
      </c>
      <c r="AG116" t="s">
        <v>153</v>
      </c>
      <c r="AH116" t="s">
        <v>156</v>
      </c>
      <c r="AI116">
        <v>0</v>
      </c>
      <c r="AJ116">
        <v>54</v>
      </c>
    </row>
    <row r="117" spans="1:36" x14ac:dyDescent="0.25">
      <c r="A117" t="s">
        <v>1272</v>
      </c>
      <c r="B117">
        <v>115</v>
      </c>
      <c r="C117" t="s">
        <v>33</v>
      </c>
      <c r="D117">
        <v>3</v>
      </c>
      <c r="F117">
        <v>3</v>
      </c>
      <c r="G117" t="s">
        <v>34</v>
      </c>
      <c r="H117" t="s">
        <v>66</v>
      </c>
      <c r="I117" t="s">
        <v>131</v>
      </c>
      <c r="J117" t="s">
        <v>37</v>
      </c>
      <c r="K117" t="s">
        <v>43</v>
      </c>
      <c r="L117">
        <v>3</v>
      </c>
      <c r="N117">
        <v>2</v>
      </c>
      <c r="O117" t="s">
        <v>44</v>
      </c>
      <c r="P117" t="s">
        <v>136</v>
      </c>
      <c r="S117" t="s">
        <v>63</v>
      </c>
      <c r="T117">
        <v>3</v>
      </c>
      <c r="V117">
        <v>3</v>
      </c>
      <c r="W117" t="s">
        <v>145</v>
      </c>
      <c r="X117" t="s">
        <v>146</v>
      </c>
      <c r="Y117" t="s">
        <v>148</v>
      </c>
      <c r="Z117" t="s">
        <v>151</v>
      </c>
      <c r="AA117" t="s">
        <v>227</v>
      </c>
      <c r="AB117">
        <v>1</v>
      </c>
      <c r="AC117">
        <v>2</v>
      </c>
      <c r="AD117">
        <v>3</v>
      </c>
      <c r="AE117" t="s">
        <v>229</v>
      </c>
      <c r="AF117" t="s">
        <v>232</v>
      </c>
      <c r="AG117" t="s">
        <v>235</v>
      </c>
      <c r="AH117" t="s">
        <v>239</v>
      </c>
      <c r="AI117">
        <v>0</v>
      </c>
      <c r="AJ117">
        <v>29</v>
      </c>
    </row>
    <row r="118" spans="1:36" x14ac:dyDescent="0.25">
      <c r="A118" t="s">
        <v>1273</v>
      </c>
      <c r="B118">
        <v>116</v>
      </c>
      <c r="C118" t="s">
        <v>227</v>
      </c>
      <c r="D118">
        <v>3</v>
      </c>
      <c r="E118">
        <v>3</v>
      </c>
      <c r="F118">
        <v>3</v>
      </c>
      <c r="G118" t="s">
        <v>229</v>
      </c>
      <c r="H118" t="s">
        <v>232</v>
      </c>
      <c r="I118" t="s">
        <v>235</v>
      </c>
      <c r="J118" t="s">
        <v>238</v>
      </c>
      <c r="K118" t="s">
        <v>33</v>
      </c>
      <c r="L118">
        <v>3</v>
      </c>
      <c r="N118">
        <v>3</v>
      </c>
      <c r="O118" t="s">
        <v>65</v>
      </c>
      <c r="P118" t="s">
        <v>66</v>
      </c>
      <c r="Q118" t="s">
        <v>131</v>
      </c>
      <c r="R118" t="s">
        <v>133</v>
      </c>
      <c r="S118" t="s">
        <v>43</v>
      </c>
      <c r="T118">
        <v>3</v>
      </c>
      <c r="V118">
        <v>3</v>
      </c>
      <c r="W118" t="s">
        <v>44</v>
      </c>
      <c r="X118" t="s">
        <v>136</v>
      </c>
      <c r="Y118" t="s">
        <v>100</v>
      </c>
      <c r="Z118" t="s">
        <v>138</v>
      </c>
      <c r="AA118" t="s">
        <v>38</v>
      </c>
      <c r="AB118">
        <v>3</v>
      </c>
      <c r="AC118">
        <v>3</v>
      </c>
      <c r="AD118">
        <v>3</v>
      </c>
      <c r="AE118" t="s">
        <v>39</v>
      </c>
      <c r="AF118" t="s">
        <v>40</v>
      </c>
      <c r="AG118" t="s">
        <v>153</v>
      </c>
      <c r="AH118" t="s">
        <v>156</v>
      </c>
      <c r="AI118">
        <v>0</v>
      </c>
      <c r="AJ118">
        <v>49</v>
      </c>
    </row>
    <row r="119" spans="1:36" x14ac:dyDescent="0.25">
      <c r="A119" t="s">
        <v>1274</v>
      </c>
      <c r="B119">
        <v>117</v>
      </c>
      <c r="C119" t="s">
        <v>63</v>
      </c>
      <c r="D119">
        <v>3</v>
      </c>
      <c r="F119">
        <v>3</v>
      </c>
      <c r="G119" t="s">
        <v>145</v>
      </c>
      <c r="H119" t="s">
        <v>146</v>
      </c>
      <c r="I119" t="s">
        <v>104</v>
      </c>
      <c r="J119" t="s">
        <v>150</v>
      </c>
      <c r="K119" t="s">
        <v>33</v>
      </c>
      <c r="L119">
        <v>3</v>
      </c>
      <c r="N119">
        <v>3</v>
      </c>
      <c r="O119" t="s">
        <v>65</v>
      </c>
      <c r="P119" t="s">
        <v>35</v>
      </c>
      <c r="Q119" t="s">
        <v>131</v>
      </c>
      <c r="R119" t="s">
        <v>133</v>
      </c>
      <c r="S119" t="s">
        <v>45</v>
      </c>
      <c r="T119">
        <v>3</v>
      </c>
      <c r="V119">
        <v>3</v>
      </c>
      <c r="W119" t="s">
        <v>86</v>
      </c>
      <c r="X119" t="s">
        <v>141</v>
      </c>
      <c r="Y119" t="s">
        <v>142</v>
      </c>
      <c r="Z119" t="s">
        <v>144</v>
      </c>
      <c r="AA119" t="s">
        <v>38</v>
      </c>
      <c r="AB119">
        <v>3</v>
      </c>
      <c r="AC119">
        <v>3</v>
      </c>
      <c r="AD119">
        <v>3</v>
      </c>
      <c r="AE119" t="s">
        <v>39</v>
      </c>
      <c r="AF119" t="s">
        <v>40</v>
      </c>
      <c r="AG119" t="s">
        <v>153</v>
      </c>
      <c r="AH119" t="s">
        <v>156</v>
      </c>
      <c r="AI119">
        <v>0</v>
      </c>
      <c r="AJ119">
        <v>43</v>
      </c>
    </row>
    <row r="120" spans="1:36" x14ac:dyDescent="0.25">
      <c r="A120" t="s">
        <v>1275</v>
      </c>
      <c r="B120">
        <v>118</v>
      </c>
      <c r="C120" t="s">
        <v>33</v>
      </c>
      <c r="D120">
        <v>3</v>
      </c>
      <c r="F120">
        <v>3</v>
      </c>
      <c r="G120" t="s">
        <v>65</v>
      </c>
      <c r="H120" t="s">
        <v>66</v>
      </c>
      <c r="I120" t="s">
        <v>131</v>
      </c>
      <c r="J120" t="s">
        <v>133</v>
      </c>
      <c r="K120" t="s">
        <v>45</v>
      </c>
      <c r="L120">
        <v>2</v>
      </c>
      <c r="N120">
        <v>2</v>
      </c>
      <c r="O120" t="s">
        <v>86</v>
      </c>
      <c r="S120" t="s">
        <v>63</v>
      </c>
      <c r="T120">
        <v>2</v>
      </c>
      <c r="V120">
        <v>2</v>
      </c>
      <c r="W120" t="s">
        <v>145</v>
      </c>
      <c r="X120" t="s">
        <v>146</v>
      </c>
      <c r="Y120" t="s">
        <v>148</v>
      </c>
      <c r="Z120" t="s">
        <v>151</v>
      </c>
      <c r="AA120" t="s">
        <v>227</v>
      </c>
      <c r="AB120">
        <v>2</v>
      </c>
      <c r="AC120">
        <v>3</v>
      </c>
      <c r="AD120">
        <v>3</v>
      </c>
      <c r="AE120" t="s">
        <v>229</v>
      </c>
      <c r="AF120" t="s">
        <v>233</v>
      </c>
      <c r="AG120" t="s">
        <v>235</v>
      </c>
      <c r="AH120" t="s">
        <v>238</v>
      </c>
      <c r="AI120">
        <v>0</v>
      </c>
      <c r="AJ120">
        <v>28</v>
      </c>
    </row>
    <row r="121" spans="1:36" x14ac:dyDescent="0.25">
      <c r="A121" s="36" t="s">
        <v>1276</v>
      </c>
      <c r="B121">
        <v>119</v>
      </c>
      <c r="C121" t="s">
        <v>45</v>
      </c>
      <c r="D121">
        <v>3</v>
      </c>
      <c r="F121">
        <v>3</v>
      </c>
      <c r="G121" t="s">
        <v>86</v>
      </c>
      <c r="H121" t="s">
        <v>141</v>
      </c>
      <c r="I121" t="s">
        <v>142</v>
      </c>
      <c r="J121" t="s">
        <v>143</v>
      </c>
      <c r="K121" t="s">
        <v>33</v>
      </c>
      <c r="L121">
        <v>3</v>
      </c>
      <c r="N121">
        <v>3</v>
      </c>
      <c r="O121" t="s">
        <v>65</v>
      </c>
      <c r="P121" t="s">
        <v>35</v>
      </c>
      <c r="Q121" t="s">
        <v>131</v>
      </c>
      <c r="R121" t="s">
        <v>133</v>
      </c>
      <c r="S121" t="s">
        <v>38</v>
      </c>
      <c r="T121">
        <v>1</v>
      </c>
      <c r="U121">
        <v>1</v>
      </c>
      <c r="V121">
        <v>3</v>
      </c>
      <c r="W121" t="s">
        <v>39</v>
      </c>
      <c r="X121" t="s">
        <v>40</v>
      </c>
      <c r="Y121" t="s">
        <v>153</v>
      </c>
      <c r="AA121" t="s">
        <v>227</v>
      </c>
      <c r="AB121">
        <v>1</v>
      </c>
      <c r="AC121">
        <v>3</v>
      </c>
      <c r="AD121">
        <v>3</v>
      </c>
      <c r="AE121" t="s">
        <v>229</v>
      </c>
      <c r="AF121" t="s">
        <v>232</v>
      </c>
      <c r="AG121" t="s">
        <v>235</v>
      </c>
      <c r="AH121" t="s">
        <v>238</v>
      </c>
      <c r="AI121">
        <v>0</v>
      </c>
      <c r="AJ121">
        <v>32</v>
      </c>
    </row>
    <row r="122" spans="1:36" x14ac:dyDescent="0.25">
      <c r="A122" t="s">
        <v>1277</v>
      </c>
      <c r="B122">
        <v>120</v>
      </c>
      <c r="C122" t="s">
        <v>63</v>
      </c>
      <c r="D122">
        <v>3</v>
      </c>
      <c r="F122">
        <v>3</v>
      </c>
      <c r="G122" t="s">
        <v>145</v>
      </c>
      <c r="H122" t="s">
        <v>146</v>
      </c>
      <c r="I122" t="s">
        <v>148</v>
      </c>
      <c r="J122" t="s">
        <v>150</v>
      </c>
      <c r="K122" t="s">
        <v>33</v>
      </c>
      <c r="L122">
        <v>3</v>
      </c>
      <c r="N122">
        <v>3</v>
      </c>
      <c r="O122" t="s">
        <v>65</v>
      </c>
      <c r="P122" t="s">
        <v>66</v>
      </c>
      <c r="Q122" t="s">
        <v>131</v>
      </c>
      <c r="R122" t="s">
        <v>133</v>
      </c>
      <c r="S122" t="s">
        <v>38</v>
      </c>
      <c r="T122">
        <v>3</v>
      </c>
      <c r="U122">
        <v>3</v>
      </c>
      <c r="V122">
        <v>3</v>
      </c>
      <c r="W122" t="s">
        <v>39</v>
      </c>
      <c r="X122" t="s">
        <v>40</v>
      </c>
      <c r="Y122" t="s">
        <v>153</v>
      </c>
      <c r="Z122" t="s">
        <v>156</v>
      </c>
      <c r="AA122" t="s">
        <v>227</v>
      </c>
      <c r="AB122">
        <v>1</v>
      </c>
      <c r="AC122">
        <v>2</v>
      </c>
      <c r="AD122">
        <v>3</v>
      </c>
      <c r="AE122" t="s">
        <v>229</v>
      </c>
      <c r="AF122" t="s">
        <v>233</v>
      </c>
      <c r="AG122" t="s">
        <v>235</v>
      </c>
      <c r="AI122">
        <v>0</v>
      </c>
      <c r="AJ122">
        <v>47</v>
      </c>
    </row>
    <row r="123" spans="1:36" x14ac:dyDescent="0.25">
      <c r="A123" t="s">
        <v>1278</v>
      </c>
      <c r="B123">
        <v>121</v>
      </c>
      <c r="C123" t="s">
        <v>63</v>
      </c>
      <c r="D123">
        <v>3</v>
      </c>
      <c r="F123">
        <v>3</v>
      </c>
      <c r="G123" t="s">
        <v>145</v>
      </c>
      <c r="H123" t="s">
        <v>146</v>
      </c>
      <c r="I123" t="s">
        <v>104</v>
      </c>
      <c r="J123" t="s">
        <v>151</v>
      </c>
      <c r="K123" t="s">
        <v>43</v>
      </c>
      <c r="L123">
        <v>3</v>
      </c>
      <c r="N123">
        <v>3</v>
      </c>
      <c r="O123" t="s">
        <v>44</v>
      </c>
      <c r="P123" t="s">
        <v>136</v>
      </c>
      <c r="Q123" t="s">
        <v>137</v>
      </c>
      <c r="R123" t="s">
        <v>139</v>
      </c>
      <c r="S123" t="s">
        <v>45</v>
      </c>
      <c r="T123">
        <v>3</v>
      </c>
      <c r="V123">
        <v>3</v>
      </c>
      <c r="W123" t="s">
        <v>86</v>
      </c>
      <c r="X123" t="s">
        <v>92</v>
      </c>
      <c r="Y123" t="s">
        <v>102</v>
      </c>
      <c r="Z123" t="s">
        <v>143</v>
      </c>
      <c r="AA123" t="s">
        <v>38</v>
      </c>
      <c r="AB123">
        <v>3</v>
      </c>
      <c r="AC123">
        <v>2</v>
      </c>
      <c r="AD123">
        <v>3</v>
      </c>
      <c r="AE123" t="s">
        <v>39</v>
      </c>
      <c r="AF123" t="s">
        <v>40</v>
      </c>
      <c r="AG123" t="s">
        <v>153</v>
      </c>
      <c r="AH123" t="s">
        <v>42</v>
      </c>
      <c r="AI123">
        <v>0</v>
      </c>
      <c r="AJ123">
        <v>41</v>
      </c>
    </row>
    <row r="124" spans="1:36" x14ac:dyDescent="0.25">
      <c r="A124" t="s">
        <v>1279</v>
      </c>
      <c r="B124">
        <v>122</v>
      </c>
      <c r="C124" t="s">
        <v>63</v>
      </c>
      <c r="D124">
        <v>3</v>
      </c>
      <c r="F124">
        <v>3</v>
      </c>
      <c r="G124" t="s">
        <v>145</v>
      </c>
      <c r="H124" t="s">
        <v>146</v>
      </c>
      <c r="I124" t="s">
        <v>148</v>
      </c>
      <c r="J124" t="s">
        <v>149</v>
      </c>
      <c r="K124" t="s">
        <v>43</v>
      </c>
      <c r="L124">
        <v>1</v>
      </c>
      <c r="N124">
        <v>1</v>
      </c>
      <c r="O124" t="s">
        <v>73</v>
      </c>
      <c r="P124" t="s">
        <v>136</v>
      </c>
      <c r="Q124" t="s">
        <v>137</v>
      </c>
      <c r="R124" t="s">
        <v>139</v>
      </c>
      <c r="S124" t="s">
        <v>45</v>
      </c>
      <c r="T124">
        <v>3</v>
      </c>
      <c r="V124">
        <v>3</v>
      </c>
      <c r="W124" t="s">
        <v>47</v>
      </c>
      <c r="X124" t="s">
        <v>141</v>
      </c>
      <c r="Y124" t="s">
        <v>142</v>
      </c>
      <c r="Z124" t="s">
        <v>94</v>
      </c>
      <c r="AA124" t="s">
        <v>227</v>
      </c>
      <c r="AB124">
        <v>2</v>
      </c>
      <c r="AC124">
        <v>2</v>
      </c>
      <c r="AD124">
        <v>3</v>
      </c>
      <c r="AE124" t="s">
        <v>229</v>
      </c>
      <c r="AF124" t="s">
        <v>231</v>
      </c>
      <c r="AG124" t="s">
        <v>235</v>
      </c>
      <c r="AH124" t="s">
        <v>238</v>
      </c>
      <c r="AI124">
        <v>0</v>
      </c>
      <c r="AJ124">
        <v>32</v>
      </c>
    </row>
    <row r="125" spans="1:36" x14ac:dyDescent="0.25">
      <c r="A125" t="s">
        <v>1280</v>
      </c>
      <c r="B125">
        <v>123</v>
      </c>
      <c r="C125" t="s">
        <v>45</v>
      </c>
      <c r="D125">
        <v>3</v>
      </c>
      <c r="F125">
        <v>3</v>
      </c>
      <c r="G125" t="s">
        <v>86</v>
      </c>
      <c r="H125" t="s">
        <v>141</v>
      </c>
      <c r="I125" t="s">
        <v>102</v>
      </c>
      <c r="J125" t="s">
        <v>144</v>
      </c>
      <c r="K125" t="s">
        <v>43</v>
      </c>
      <c r="L125">
        <v>1</v>
      </c>
      <c r="N125">
        <v>1</v>
      </c>
      <c r="O125" t="s">
        <v>44</v>
      </c>
      <c r="P125" t="s">
        <v>136</v>
      </c>
      <c r="Q125" t="s">
        <v>100</v>
      </c>
      <c r="R125" t="s">
        <v>138</v>
      </c>
      <c r="S125" t="s">
        <v>38</v>
      </c>
      <c r="T125">
        <v>3</v>
      </c>
      <c r="U125">
        <v>3</v>
      </c>
      <c r="V125">
        <v>3</v>
      </c>
      <c r="W125" t="s">
        <v>39</v>
      </c>
      <c r="X125" t="s">
        <v>40</v>
      </c>
      <c r="Y125" t="s">
        <v>153</v>
      </c>
      <c r="Z125" t="s">
        <v>156</v>
      </c>
      <c r="AA125" t="s">
        <v>227</v>
      </c>
      <c r="AB125">
        <v>3</v>
      </c>
      <c r="AC125">
        <v>3</v>
      </c>
      <c r="AD125">
        <v>3</v>
      </c>
      <c r="AE125" t="s">
        <v>229</v>
      </c>
      <c r="AF125" t="s">
        <v>231</v>
      </c>
      <c r="AG125" t="s">
        <v>235</v>
      </c>
      <c r="AH125" t="s">
        <v>238</v>
      </c>
      <c r="AI125">
        <v>0</v>
      </c>
      <c r="AJ125">
        <v>36</v>
      </c>
    </row>
    <row r="126" spans="1:36" x14ac:dyDescent="0.25">
      <c r="A126" t="s">
        <v>1281</v>
      </c>
      <c r="B126">
        <v>124</v>
      </c>
      <c r="C126" t="s">
        <v>63</v>
      </c>
      <c r="D126">
        <v>3</v>
      </c>
      <c r="F126">
        <v>3</v>
      </c>
      <c r="G126" t="s">
        <v>103</v>
      </c>
      <c r="H126" t="s">
        <v>91</v>
      </c>
      <c r="I126" t="s">
        <v>148</v>
      </c>
      <c r="J126" t="s">
        <v>151</v>
      </c>
      <c r="K126" t="s">
        <v>43</v>
      </c>
      <c r="L126">
        <v>3</v>
      </c>
      <c r="N126">
        <v>2</v>
      </c>
      <c r="O126" t="s">
        <v>44</v>
      </c>
      <c r="P126" t="s">
        <v>136</v>
      </c>
      <c r="Q126" t="s">
        <v>137</v>
      </c>
      <c r="R126" t="s">
        <v>139</v>
      </c>
      <c r="S126" t="s">
        <v>38</v>
      </c>
      <c r="T126">
        <v>3</v>
      </c>
      <c r="U126">
        <v>3</v>
      </c>
      <c r="V126">
        <v>3</v>
      </c>
      <c r="W126" t="s">
        <v>39</v>
      </c>
      <c r="X126" t="s">
        <v>40</v>
      </c>
      <c r="Y126" t="s">
        <v>41</v>
      </c>
      <c r="Z126" t="s">
        <v>156</v>
      </c>
      <c r="AA126" t="s">
        <v>227</v>
      </c>
      <c r="AB126">
        <v>2</v>
      </c>
      <c r="AC126">
        <v>3</v>
      </c>
      <c r="AD126">
        <v>3</v>
      </c>
      <c r="AE126" t="s">
        <v>229</v>
      </c>
      <c r="AF126" t="s">
        <v>231</v>
      </c>
      <c r="AG126" t="s">
        <v>235</v>
      </c>
      <c r="AH126" t="s">
        <v>238</v>
      </c>
      <c r="AI126">
        <v>0</v>
      </c>
      <c r="AJ126">
        <v>46</v>
      </c>
    </row>
    <row r="127" spans="1:36" x14ac:dyDescent="0.25">
      <c r="A127" t="s">
        <v>1282</v>
      </c>
      <c r="B127">
        <v>125</v>
      </c>
      <c r="C127" t="s">
        <v>38</v>
      </c>
      <c r="D127">
        <v>3</v>
      </c>
      <c r="E127">
        <v>3</v>
      </c>
      <c r="F127">
        <v>3</v>
      </c>
      <c r="G127" t="s">
        <v>39</v>
      </c>
      <c r="H127" t="s">
        <v>96</v>
      </c>
      <c r="I127" t="s">
        <v>41</v>
      </c>
      <c r="J127" t="s">
        <v>156</v>
      </c>
      <c r="K127" t="s">
        <v>45</v>
      </c>
      <c r="L127">
        <v>1</v>
      </c>
      <c r="N127">
        <v>1</v>
      </c>
      <c r="O127" t="s">
        <v>86</v>
      </c>
      <c r="P127" t="s">
        <v>92</v>
      </c>
      <c r="S127" t="s">
        <v>63</v>
      </c>
      <c r="T127">
        <v>3</v>
      </c>
      <c r="V127">
        <v>3</v>
      </c>
      <c r="W127" t="s">
        <v>103</v>
      </c>
      <c r="X127" t="s">
        <v>91</v>
      </c>
      <c r="Y127" t="s">
        <v>147</v>
      </c>
      <c r="Z127" t="s">
        <v>151</v>
      </c>
      <c r="AA127" t="s">
        <v>227</v>
      </c>
      <c r="AB127">
        <v>3</v>
      </c>
      <c r="AC127">
        <v>3</v>
      </c>
      <c r="AD127">
        <v>3</v>
      </c>
      <c r="AE127" t="s">
        <v>229</v>
      </c>
      <c r="AF127" t="s">
        <v>231</v>
      </c>
      <c r="AG127" t="s">
        <v>235</v>
      </c>
      <c r="AH127" t="s">
        <v>238</v>
      </c>
      <c r="AI127">
        <v>0</v>
      </c>
      <c r="AJ127">
        <v>39</v>
      </c>
    </row>
  </sheetData>
  <phoneticPr fontId="3" type="noConversion"/>
  <conditionalFormatting sqref="B177:B1048576 B1:B149">
    <cfRule type="duplicateValues" dxfId="2000" priority="2"/>
  </conditionalFormatting>
  <conditionalFormatting sqref="B1:B1048576">
    <cfRule type="duplicateValues" dxfId="1999" priority="1"/>
  </conditionalFormatting>
  <conditionalFormatting sqref="A2:B127">
    <cfRule type="duplicateValues" dxfId="1998" priority="285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  <vt:lpstr>navarch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2023-07-30T20:30:29Z</dcterms:modified>
</cp:coreProperties>
</file>