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0D1D5FB0-80EA-4BA1-9F7F-CB38FA9A1CD4}" xr6:coauthVersionLast="47" xr6:coauthVersionMax="47" xr10:uidLastSave="{00000000-0000-0000-0000-000000000000}"/>
  <bookViews>
    <workbookView xWindow="-120" yWindow="-120" windowWidth="29040" windowHeight="15840" tabRatio="770" activeTab="13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M119" i="22"/>
  <c r="M120" i="22"/>
  <c r="N113" i="22"/>
  <c r="N114" i="22"/>
  <c r="N115" i="22"/>
  <c r="M113" i="22"/>
  <c r="M114" i="22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L124" i="21"/>
  <c r="L125" i="21"/>
  <c r="M118" i="21"/>
  <c r="M119" i="21"/>
  <c r="M120" i="21"/>
  <c r="L118" i="21"/>
  <c r="L119" i="21"/>
  <c r="L120" i="21"/>
  <c r="M113" i="21"/>
  <c r="M114" i="2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L114" i="17"/>
  <c r="L115" i="17"/>
  <c r="M108" i="17"/>
  <c r="M109" i="17"/>
  <c r="M110" i="17"/>
  <c r="L108" i="17"/>
  <c r="L109" i="17"/>
  <c r="L110" i="17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P93" i="22" s="1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L94" i="21"/>
  <c r="O94" i="21" s="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L93" i="17"/>
  <c r="L94" i="17"/>
  <c r="M87" i="17"/>
  <c r="M88" i="17"/>
  <c r="M89" i="17"/>
  <c r="L87" i="17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M87" i="18"/>
  <c r="M88" i="18"/>
  <c r="M89" i="18"/>
  <c r="L87" i="18"/>
  <c r="O87" i="18" s="1"/>
  <c r="L88" i="18"/>
  <c r="L89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M97" i="16"/>
  <c r="M98" i="16"/>
  <c r="M99" i="16"/>
  <c r="L97" i="16"/>
  <c r="L98" i="16"/>
  <c r="L99" i="16"/>
  <c r="M92" i="16"/>
  <c r="M93" i="16"/>
  <c r="M94" i="16"/>
  <c r="L92" i="16"/>
  <c r="L93" i="16"/>
  <c r="L94" i="16"/>
  <c r="M87" i="16"/>
  <c r="M88" i="16"/>
  <c r="M89" i="16"/>
  <c r="L87" i="16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N97" i="4"/>
  <c r="N98" i="4"/>
  <c r="N99" i="4"/>
  <c r="M97" i="4"/>
  <c r="M98" i="4"/>
  <c r="M99" i="4"/>
  <c r="N92" i="4"/>
  <c r="N93" i="4"/>
  <c r="N94" i="4"/>
  <c r="M92" i="4"/>
  <c r="M93" i="4"/>
  <c r="M94" i="4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M82" i="22"/>
  <c r="M83" i="22"/>
  <c r="N76" i="22"/>
  <c r="N77" i="22"/>
  <c r="N78" i="22"/>
  <c r="M76" i="22"/>
  <c r="M77" i="22"/>
  <c r="M78" i="22"/>
  <c r="N71" i="22"/>
  <c r="N72" i="22"/>
  <c r="N73" i="22"/>
  <c r="M71" i="22"/>
  <c r="M72" i="22"/>
  <c r="P72" i="22" s="1"/>
  <c r="M73" i="22"/>
  <c r="N66" i="22"/>
  <c r="N67" i="22"/>
  <c r="N68" i="22"/>
  <c r="M66" i="22"/>
  <c r="O66" i="22" s="1"/>
  <c r="M67" i="22"/>
  <c r="M68" i="22"/>
  <c r="S66" i="21"/>
  <c r="S67" i="21"/>
  <c r="S68" i="21"/>
  <c r="R66" i="21"/>
  <c r="R67" i="21"/>
  <c r="R68" i="21"/>
  <c r="M81" i="21"/>
  <c r="M82" i="21"/>
  <c r="M83" i="21"/>
  <c r="L81" i="21"/>
  <c r="L82" i="21"/>
  <c r="L83" i="21"/>
  <c r="M76" i="21"/>
  <c r="M77" i="21"/>
  <c r="M78" i="21"/>
  <c r="L76" i="21"/>
  <c r="L77" i="21"/>
  <c r="L78" i="21"/>
  <c r="M71" i="21"/>
  <c r="M72" i="21"/>
  <c r="M73" i="21"/>
  <c r="L71" i="21"/>
  <c r="L72" i="21"/>
  <c r="L73" i="21"/>
  <c r="M66" i="21"/>
  <c r="M67" i="21"/>
  <c r="M68" i="21"/>
  <c r="L66" i="21"/>
  <c r="L67" i="21"/>
  <c r="L68" i="2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L77" i="20"/>
  <c r="L78" i="20"/>
  <c r="M71" i="20"/>
  <c r="M72" i="20"/>
  <c r="M73" i="20"/>
  <c r="L71" i="20"/>
  <c r="L72" i="20"/>
  <c r="L73" i="20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L82" i="19"/>
  <c r="L83" i="19"/>
  <c r="M76" i="19"/>
  <c r="M77" i="19"/>
  <c r="M78" i="19"/>
  <c r="L76" i="19"/>
  <c r="L77" i="19"/>
  <c r="L78" i="19"/>
  <c r="M71" i="19"/>
  <c r="M72" i="19"/>
  <c r="M73" i="19"/>
  <c r="L71" i="19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L77" i="17"/>
  <c r="L78" i="17"/>
  <c r="M71" i="17"/>
  <c r="M72" i="17"/>
  <c r="M73" i="17"/>
  <c r="L71" i="17"/>
  <c r="L72" i="17"/>
  <c r="L73" i="17"/>
  <c r="O73" i="17" s="1"/>
  <c r="M66" i="17"/>
  <c r="M67" i="17"/>
  <c r="M68" i="17"/>
  <c r="L66" i="17"/>
  <c r="L67" i="17"/>
  <c r="L68" i="17"/>
  <c r="S66" i="18"/>
  <c r="S67" i="18"/>
  <c r="S68" i="18"/>
  <c r="R66" i="18"/>
  <c r="R67" i="18"/>
  <c r="R68" i="18"/>
  <c r="M81" i="18"/>
  <c r="M82" i="18"/>
  <c r="M83" i="18"/>
  <c r="L81" i="18"/>
  <c r="L82" i="18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M76" i="16"/>
  <c r="M77" i="16"/>
  <c r="M78" i="16"/>
  <c r="L76" i="16"/>
  <c r="L77" i="16"/>
  <c r="L78" i="16"/>
  <c r="M71" i="16"/>
  <c r="M72" i="16"/>
  <c r="M73" i="16"/>
  <c r="L71" i="16"/>
  <c r="L72" i="16"/>
  <c r="L73" i="16"/>
  <c r="M66" i="16"/>
  <c r="M67" i="16"/>
  <c r="M68" i="16"/>
  <c r="L66" i="16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N76" i="4"/>
  <c r="N77" i="4"/>
  <c r="N78" i="4"/>
  <c r="M76" i="4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O73" i="16" l="1"/>
  <c r="O68" i="22"/>
  <c r="O94" i="19"/>
  <c r="P83" i="4"/>
  <c r="O82" i="18"/>
  <c r="O87" i="16"/>
  <c r="P76" i="4"/>
  <c r="O67" i="17"/>
  <c r="O82" i="19"/>
  <c r="O77" i="20"/>
  <c r="O78" i="19"/>
  <c r="O81" i="19"/>
  <c r="O73" i="20"/>
  <c r="O68" i="21"/>
  <c r="P78" i="22"/>
  <c r="P81" i="22"/>
  <c r="P82" i="22"/>
  <c r="O76" i="16"/>
  <c r="O123" i="16"/>
  <c r="O110" i="17"/>
  <c r="O113" i="17"/>
  <c r="O125" i="19"/>
  <c r="P102" i="22"/>
  <c r="O94" i="16"/>
  <c r="O97" i="16"/>
  <c r="O87" i="17"/>
  <c r="P94" i="4"/>
  <c r="P97" i="4"/>
  <c r="O93" i="18"/>
  <c r="O103" i="19"/>
  <c r="O93" i="21"/>
  <c r="O88" i="18"/>
  <c r="P104" i="4"/>
  <c r="O104" i="16"/>
  <c r="O94" i="18"/>
  <c r="O92" i="17"/>
  <c r="O76" i="20"/>
  <c r="O71" i="21"/>
  <c r="G32" i="24"/>
  <c r="O66" i="16"/>
  <c r="O83" i="16"/>
  <c r="O76" i="17"/>
  <c r="O71" i="19"/>
  <c r="O78" i="21"/>
  <c r="O81" i="21"/>
  <c r="P77" i="22"/>
  <c r="P108" i="4"/>
  <c r="O114" i="21"/>
  <c r="P119" i="22"/>
  <c r="G18" i="28"/>
  <c r="O123" i="21"/>
  <c r="P118" i="22"/>
  <c r="P114" i="22"/>
  <c r="P92" i="4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N30" i="22"/>
  <c r="M30" i="22"/>
  <c r="N29" i="22"/>
  <c r="M29" i="22"/>
  <c r="N26" i="22"/>
  <c r="M26" i="22"/>
  <c r="N25" i="22"/>
  <c r="M25" i="22"/>
  <c r="N24" i="22"/>
  <c r="M24" i="22"/>
  <c r="N20" i="22"/>
  <c r="M20" i="22"/>
  <c r="N19" i="22"/>
  <c r="M19" i="22"/>
  <c r="N18" i="22"/>
  <c r="M18" i="22"/>
  <c r="N15" i="22"/>
  <c r="M15" i="22"/>
  <c r="N14" i="22"/>
  <c r="M14" i="22"/>
  <c r="N13" i="22"/>
  <c r="M13" i="22"/>
  <c r="N10" i="22"/>
  <c r="M10" i="22"/>
  <c r="N9" i="22"/>
  <c r="M9" i="22"/>
  <c r="N8" i="22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O52" i="21" s="1"/>
  <c r="M51" i="21"/>
  <c r="L51" i="21"/>
  <c r="M50" i="21"/>
  <c r="L50" i="21"/>
  <c r="M47" i="21"/>
  <c r="L47" i="21"/>
  <c r="M46" i="21"/>
  <c r="L46" i="21"/>
  <c r="M45" i="21"/>
  <c r="L45" i="21"/>
  <c r="M41" i="21"/>
  <c r="L41" i="21"/>
  <c r="M40" i="21"/>
  <c r="L40" i="21"/>
  <c r="M39" i="21"/>
  <c r="L39" i="21"/>
  <c r="M36" i="21"/>
  <c r="L36" i="21"/>
  <c r="M35" i="21"/>
  <c r="L35" i="21"/>
  <c r="M34" i="21"/>
  <c r="L34" i="21"/>
  <c r="M31" i="21"/>
  <c r="L31" i="21"/>
  <c r="M30" i="21"/>
  <c r="L30" i="21"/>
  <c r="M29" i="21"/>
  <c r="L29" i="21"/>
  <c r="M26" i="21"/>
  <c r="L26" i="21"/>
  <c r="M25" i="21"/>
  <c r="L25" i="21"/>
  <c r="M24" i="21"/>
  <c r="L24" i="21"/>
  <c r="M20" i="21"/>
  <c r="L20" i="21"/>
  <c r="M19" i="21"/>
  <c r="L19" i="21"/>
  <c r="M18" i="21"/>
  <c r="L18" i="21"/>
  <c r="N18" i="21" s="1"/>
  <c r="M15" i="21"/>
  <c r="L15" i="21"/>
  <c r="M14" i="21"/>
  <c r="L14" i="21"/>
  <c r="M13" i="21"/>
  <c r="L13" i="21"/>
  <c r="M10" i="21"/>
  <c r="L10" i="21"/>
  <c r="M9" i="21"/>
  <c r="L9" i="21"/>
  <c r="M8" i="21"/>
  <c r="L8" i="21"/>
  <c r="M5" i="21"/>
  <c r="L5" i="21"/>
  <c r="M4" i="21"/>
  <c r="L4" i="21"/>
  <c r="M3" i="2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M40" i="20"/>
  <c r="L40" i="20"/>
  <c r="M39" i="20"/>
  <c r="L39" i="20"/>
  <c r="M36" i="20"/>
  <c r="L36" i="20"/>
  <c r="M35" i="20"/>
  <c r="L35" i="20"/>
  <c r="M34" i="20"/>
  <c r="L34" i="20"/>
  <c r="M31" i="20"/>
  <c r="L31" i="20"/>
  <c r="M30" i="20"/>
  <c r="L30" i="20"/>
  <c r="M29" i="20"/>
  <c r="L29" i="20"/>
  <c r="M26" i="20"/>
  <c r="L26" i="20"/>
  <c r="M25" i="20"/>
  <c r="L25" i="20"/>
  <c r="M24" i="20"/>
  <c r="L24" i="20"/>
  <c r="M20" i="20"/>
  <c r="L20" i="20"/>
  <c r="M19" i="20"/>
  <c r="L19" i="20"/>
  <c r="M18" i="20"/>
  <c r="L18" i="20"/>
  <c r="M15" i="20"/>
  <c r="C15" i="20" s="1"/>
  <c r="L15" i="20"/>
  <c r="M14" i="20"/>
  <c r="L14" i="20"/>
  <c r="M13" i="20"/>
  <c r="L13" i="20"/>
  <c r="M10" i="20"/>
  <c r="L10" i="20"/>
  <c r="M9" i="20"/>
  <c r="L9" i="20"/>
  <c r="M8" i="20"/>
  <c r="L8" i="20"/>
  <c r="M5" i="20"/>
  <c r="L5" i="20"/>
  <c r="M4" i="20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M47" i="19"/>
  <c r="L47" i="19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M26" i="19"/>
  <c r="L26" i="19"/>
  <c r="M25" i="19"/>
  <c r="L25" i="19"/>
  <c r="M24" i="19"/>
  <c r="L24" i="19"/>
  <c r="M20" i="19"/>
  <c r="L20" i="19"/>
  <c r="M19" i="19"/>
  <c r="L19" i="19"/>
  <c r="M18" i="19"/>
  <c r="L18" i="19"/>
  <c r="M15" i="19"/>
  <c r="L15" i="19"/>
  <c r="M14" i="19"/>
  <c r="L14" i="19"/>
  <c r="M13" i="19"/>
  <c r="L13" i="19"/>
  <c r="M10" i="19"/>
  <c r="L10" i="19"/>
  <c r="M9" i="19"/>
  <c r="L9" i="19"/>
  <c r="M8" i="19"/>
  <c r="L8" i="19"/>
  <c r="M5" i="19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M40" i="18"/>
  <c r="L40" i="18"/>
  <c r="M39" i="18"/>
  <c r="L39" i="18"/>
  <c r="M36" i="18"/>
  <c r="L36" i="18"/>
  <c r="M35" i="18"/>
  <c r="L35" i="18"/>
  <c r="M34" i="18"/>
  <c r="L34" i="18"/>
  <c r="M31" i="18"/>
  <c r="L31" i="18"/>
  <c r="M30" i="18"/>
  <c r="L30" i="18"/>
  <c r="M29" i="18"/>
  <c r="L29" i="18"/>
  <c r="M26" i="18"/>
  <c r="L26" i="18"/>
  <c r="O26" i="18" s="1"/>
  <c r="M25" i="18"/>
  <c r="L25" i="18"/>
  <c r="M24" i="18"/>
  <c r="L24" i="18"/>
  <c r="M20" i="18"/>
  <c r="L20" i="18"/>
  <c r="M19" i="18"/>
  <c r="L19" i="18"/>
  <c r="M18" i="18"/>
  <c r="L18" i="18"/>
  <c r="M15" i="18"/>
  <c r="L15" i="18"/>
  <c r="M14" i="18"/>
  <c r="L14" i="18"/>
  <c r="M13" i="18"/>
  <c r="L13" i="18"/>
  <c r="M10" i="18"/>
  <c r="L10" i="18"/>
  <c r="M9" i="18"/>
  <c r="L9" i="18"/>
  <c r="M8" i="18"/>
  <c r="L8" i="18"/>
  <c r="M5" i="18"/>
  <c r="L5" i="18"/>
  <c r="O5" i="18" s="1"/>
  <c r="M4" i="18"/>
  <c r="L4" i="18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M45" i="17"/>
  <c r="L45" i="17"/>
  <c r="M41" i="17"/>
  <c r="L41" i="17"/>
  <c r="M40" i="17"/>
  <c r="L40" i="17"/>
  <c r="M39" i="17"/>
  <c r="L39" i="17"/>
  <c r="M36" i="17"/>
  <c r="L36" i="17"/>
  <c r="M35" i="17"/>
  <c r="L35" i="17"/>
  <c r="M34" i="17"/>
  <c r="L34" i="17"/>
  <c r="M31" i="17"/>
  <c r="L31" i="17"/>
  <c r="M30" i="17"/>
  <c r="L30" i="17"/>
  <c r="M29" i="17"/>
  <c r="L29" i="17"/>
  <c r="M26" i="17"/>
  <c r="L26" i="17"/>
  <c r="M25" i="17"/>
  <c r="L25" i="17"/>
  <c r="M24" i="17"/>
  <c r="L24" i="17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M40" i="16"/>
  <c r="L40" i="16"/>
  <c r="M39" i="16"/>
  <c r="L39" i="16"/>
  <c r="O39" i="16" s="1"/>
  <c r="M36" i="16"/>
  <c r="L36" i="16"/>
  <c r="M35" i="16"/>
  <c r="L35" i="16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O4" i="16" s="1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8" i="22" l="1"/>
  <c r="C20" i="22"/>
  <c r="C14" i="18"/>
  <c r="O14" i="19"/>
  <c r="O5" i="20"/>
  <c r="O4" i="21"/>
  <c r="C14" i="22"/>
  <c r="C5" i="19"/>
  <c r="C4" i="20"/>
  <c r="C18" i="20"/>
  <c r="C3" i="21"/>
  <c r="C15" i="21"/>
  <c r="B20" i="22"/>
  <c r="C8" i="18"/>
  <c r="C9" i="21"/>
  <c r="C20" i="18"/>
  <c r="C13" i="19"/>
  <c r="C19" i="19"/>
  <c r="C10" i="20"/>
  <c r="O9" i="19"/>
  <c r="O4" i="18"/>
  <c r="O41" i="17"/>
  <c r="O30" i="20"/>
  <c r="O36" i="20"/>
  <c r="O35" i="21"/>
  <c r="O35" i="20"/>
  <c r="O41" i="20"/>
  <c r="B18" i="19"/>
  <c r="O24" i="17"/>
  <c r="O41" i="18"/>
  <c r="B20" i="21"/>
  <c r="B9" i="20"/>
  <c r="B15" i="20"/>
  <c r="B14" i="21"/>
  <c r="O40" i="20"/>
  <c r="O35" i="16"/>
  <c r="O41" i="16"/>
  <c r="O34" i="17"/>
  <c r="O40" i="17"/>
  <c r="O39" i="18"/>
  <c r="O24" i="19"/>
  <c r="O29" i="20"/>
  <c r="O26" i="21"/>
  <c r="O46" i="17"/>
  <c r="O50" i="19"/>
  <c r="O61" i="20"/>
  <c r="O46" i="21"/>
  <c r="O34" i="21"/>
  <c r="O40" i="21"/>
  <c r="P31" i="22"/>
  <c r="B14" i="18"/>
  <c r="B13" i="19"/>
  <c r="B19" i="19"/>
  <c r="B14" i="22"/>
  <c r="B4" i="20"/>
  <c r="B15" i="17"/>
  <c r="B5" i="19"/>
  <c r="B8" i="22"/>
  <c r="B8" i="18"/>
  <c r="B20" i="18"/>
  <c r="B10" i="20"/>
  <c r="B18" i="20"/>
  <c r="B9" i="21"/>
  <c r="B3" i="21"/>
  <c r="B15" i="21"/>
  <c r="G187" i="12"/>
  <c r="G171" i="12"/>
  <c r="G155" i="12"/>
  <c r="G139" i="12"/>
  <c r="G123" i="12"/>
  <c r="G107" i="12"/>
  <c r="G75" i="12"/>
  <c r="G59" i="12"/>
  <c r="G43" i="12"/>
  <c r="G27" i="12"/>
  <c r="G19" i="12"/>
  <c r="G3" i="12"/>
  <c r="P25" i="22"/>
  <c r="G195" i="12"/>
  <c r="G179" i="12"/>
  <c r="G163" i="12"/>
  <c r="G147" i="12"/>
  <c r="G131" i="12"/>
  <c r="G115" i="12"/>
  <c r="G99" i="12"/>
  <c r="G83" i="12"/>
  <c r="G67" i="12"/>
  <c r="G51" i="12"/>
  <c r="G35" i="12"/>
  <c r="G11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91" i="12"/>
  <c r="C4" i="22"/>
  <c r="C10" i="22"/>
  <c r="C15" i="19"/>
  <c r="C18" i="22"/>
  <c r="C5" i="21"/>
  <c r="C13" i="21"/>
  <c r="C19" i="21"/>
  <c r="B18" i="22"/>
  <c r="B19" i="21"/>
  <c r="B18" i="16"/>
  <c r="O24" i="18"/>
  <c r="O30" i="18"/>
  <c r="O36" i="18"/>
  <c r="O29" i="19"/>
  <c r="O34" i="20"/>
  <c r="O31" i="21"/>
  <c r="O39" i="21"/>
  <c r="B3" i="17"/>
  <c r="B9" i="17"/>
  <c r="P24" i="22"/>
  <c r="C18" i="16"/>
  <c r="C3" i="17"/>
  <c r="C9" i="17"/>
  <c r="C8" i="4"/>
  <c r="B19" i="4"/>
  <c r="I5" i="4"/>
  <c r="C4" i="16"/>
  <c r="C10" i="16"/>
  <c r="B18" i="4"/>
  <c r="O57" i="17"/>
  <c r="O47" i="19"/>
  <c r="O61" i="19"/>
  <c r="N40" i="17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M5" i="28" s="1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K16" i="28"/>
  <c r="M16" i="28" s="1"/>
  <c r="K11" i="28"/>
  <c r="M11" i="28" s="1"/>
  <c r="K24" i="28"/>
  <c r="M24" i="28" s="1"/>
  <c r="L9" i="26"/>
  <c r="N9" i="26" s="1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E20" i="22" l="1"/>
  <c r="E5" i="19"/>
  <c r="E14" i="22"/>
  <c r="K24" i="12"/>
  <c r="M24" i="12" s="1"/>
  <c r="E19" i="4"/>
  <c r="E19" i="18"/>
  <c r="K13" i="12"/>
  <c r="M13" i="12" s="1"/>
  <c r="E10" i="4"/>
  <c r="E15" i="18"/>
  <c r="V3" i="16"/>
  <c r="E9" i="22"/>
  <c r="K14" i="12"/>
  <c r="M14" i="12" s="1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V6" i="17"/>
  <c r="V9" i="18"/>
  <c r="V6" i="18"/>
  <c r="V9" i="19"/>
  <c r="V6" i="19"/>
  <c r="V4" i="19"/>
  <c r="V8" i="20"/>
  <c r="V4" i="20"/>
  <c r="V5" i="21"/>
  <c r="X10" i="22"/>
  <c r="V5" i="20"/>
  <c r="V9" i="21"/>
  <c r="V6" i="21"/>
  <c r="V7" i="21"/>
  <c r="V4" i="21"/>
  <c r="X4" i="22"/>
  <c r="X11" i="22"/>
  <c r="X8" i="22"/>
  <c r="X9" i="4"/>
  <c r="D8" i="4"/>
  <c r="X11" i="4"/>
  <c r="X8" i="4"/>
  <c r="V5" i="16"/>
  <c r="V7" i="17"/>
  <c r="V3" i="17"/>
  <c r="V2" i="18"/>
  <c r="V8" i="19"/>
  <c r="V9" i="20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M22" i="12" s="1"/>
  <c r="K9" i="12"/>
  <c r="M9" i="12" s="1"/>
  <c r="K26" i="12"/>
  <c r="M26" i="12" s="1"/>
  <c r="K7" i="12"/>
  <c r="M7" i="12" s="1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K19" i="12"/>
  <c r="M19" i="12" s="1"/>
  <c r="K4" i="12"/>
  <c r="M4" i="12" s="1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<sst xmlns="http://schemas.openxmlformats.org/spreadsheetml/2006/main" count="16796" uniqueCount="1039">
  <si>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</si>
  <si>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</si>
  <si>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</si>
  <si>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</si>
  <si>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</si>
  <si>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</si>
  <si>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</si>
  <si>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</si>
  <si>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</si>
  <si>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</si>
  <si>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</si>
  <si>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</si>
  <si>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</si>
  <si>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</si>
  <si>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</si>
  <si>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</si>
  <si>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</si>
  <si>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</si>
  <si>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</si>
  <si>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</si>
  <si>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</si>
  <si>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</si>
  <si>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</si>
  <si>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</si>
  <si>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</si>
  <si>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</si>
  <si>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</si>
  <si>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</si>
  <si>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</si>
  <si>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</si>
  <si>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</si>
  <si>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</si>
  <si>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</si>
  <si>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</si>
  <si>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</si>
  <si>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</si>
  <si>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</si>
  <si>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</si>
  <si>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</si>
  <si>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</si>
  <si>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</si>
  <si>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</si>
  <si>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</si>
  <si>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</si>
  <si>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</si>
  <si>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</si>
  <si>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</si>
  <si>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</si>
  <si>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</si>
  <si>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</si>
  <si>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</si>
  <si>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</si>
  <si>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</si>
  <si>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</si>
  <si>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</si>
  <si>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</si>
  <si>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</si>
  <si>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</si>
  <si>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</si>
  <si>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</si>
  <si>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</si>
  <si>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</si>
  <si>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</si>
  <si>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</si>
  <si>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</si>
  <si>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</si>
  <si>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</si>
  <si>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</si>
  <si>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</si>
  <si>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</si>
  <si>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</si>
  <si>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</si>
  <si>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</si>
  <si>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</si>
  <si>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</si>
  <si>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</si>
  <si>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</si>
  <si>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</si>
  <si>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</si>
  <si>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</si>
  <si>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</si>
  <si>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</si>
  <si>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</si>
  <si>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</si>
  <si>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</si>
  <si>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</si>
  <si>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</si>
  <si>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</si>
  <si>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</si>
  <si>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</si>
  <si>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</si>
  <si>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</si>
  <si>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</si>
  <si>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</si>
  <si>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</si>
  <si>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</si>
  <si>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</si>
  <si>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</si>
  <si>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</si>
  <si>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</si>
  <si>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</si>
  <si>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</si>
  <si>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</si>
  <si>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</si>
  <si>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</si>
  <si>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</si>
  <si>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</si>
  <si>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</si>
  <si>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</si>
  <si>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</si>
  <si>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</si>
  <si>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</si>
  <si>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</si>
  <si>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</si>
  <si>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</si>
  <si>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</si>
  <si>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</si>
  <si>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</si>
  <si>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</si>
  <si>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</si>
  <si>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</si>
  <si>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</si>
  <si>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</si>
  <si>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</si>
  <si>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</si>
  <si>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</si>
  <si>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</si>
  <si>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</si>
  <si>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</si>
  <si>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</si>
  <si>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</si>
  <si>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</si>
  <si>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</si>
  <si>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</si>
  <si>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</si>
  <si>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</si>
  <si>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</si>
  <si>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</si>
  <si>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</si>
  <si>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</si>
  <si>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</si>
  <si>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</si>
  <si>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</si>
  <si>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</si>
  <si>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</si>
  <si>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</si>
  <si>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</si>
  <si>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</si>
  <si>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</si>
  <si>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</si>
  <si>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</si>
  <si>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</si>
  <si>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</si>
  <si>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</si>
  <si>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</si>
  <si>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</si>
  <si>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</si>
  <si>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</si>
  <si>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</si>
  <si>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</si>
  <si>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</si>
  <si>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</si>
  <si>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</si>
  <si>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</si>
  <si>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</si>
  <si>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</si>
  <si>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</si>
  <si>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</si>
  <si>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</si>
  <si>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</si>
  <si>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</si>
  <si>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</si>
  <si>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</si>
  <si>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</si>
  <si>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</si>
  <si>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</si>
  <si>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</si>
  <si>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</si>
  <si>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</si>
  <si>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</si>
  <si>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</si>
  <si>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</si>
  <si>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</si>
  <si>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</si>
  <si>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</si>
  <si>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</si>
  <si>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</si>
  <si>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</si>
  <si>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</si>
  <si>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</si>
  <si>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</si>
  <si>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</si>
  <si>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</si>
  <si>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</si>
  <si>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</si>
  <si>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</si>
  <si>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</si>
  <si>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</si>
  <si>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</si>
  <si>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</si>
  <si>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</si>
  <si>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</si>
  <si>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</si>
  <si>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</si>
  <si>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</si>
  <si>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</si>
  <si>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</si>
  <si>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</si>
  <si>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</si>
  <si>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</si>
  <si>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</si>
  <si>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</si>
  <si>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</si>
  <si>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</si>
  <si>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</si>
  <si>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</si>
  <si>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</si>
  <si>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</si>
  <si>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</si>
  <si>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</si>
  <si>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</si>
  <si>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</si>
  <si>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</si>
  <si>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</si>
  <si>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</si>
  <si>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</si>
  <si>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</si>
  <si>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b80d2130-8231-11ed-87d0-8d6559ebee4a</t>
  </si>
  <si>
    <t>1f0bf450-8238-11ed-87d0-8d6559ebee4a</t>
  </si>
  <si>
    <t>c8b6b430-8243-11ed-87d0-8d6559ebee4a</t>
  </si>
  <si>
    <t>6607ca80-824e-11ed-87d0-8d6559ebee4a</t>
  </si>
  <si>
    <t>e0f67540-8256-11ed-87d0-8d6559ebee4a</t>
  </si>
  <si>
    <t>7cb8dca0-825e-11ed-87d0-8d6559ebee4a</t>
  </si>
  <si>
    <t>8409d870-826c-11ed-87d0-8d6559ebee4a</t>
  </si>
  <si>
    <t>61e60d70-8273-11ed-87d0-8d6559ebee4a</t>
  </si>
  <si>
    <t>8036a800-827a-11ed-87d0-8d6559ebee4a</t>
  </si>
  <si>
    <t>699f6800-8281-11ed-87d0-8d6559ebee4a</t>
  </si>
  <si>
    <t>8439e520-8298-11ed-87d0-8d6559ebee4a</t>
  </si>
  <si>
    <t>ccf1e810-829f-11ed-87d0-8d6559ebee4a</t>
  </si>
  <si>
    <t>f2fed980-82ab-11ed-87d0-8d6559ebee4a</t>
  </si>
  <si>
    <t>ecc103f0-82b4-11ed-87d0-8d6559ebee4a</t>
  </si>
  <si>
    <t>a20da860-82bc-11ed-87d0-8d6559ebee4a</t>
  </si>
  <si>
    <t>f5cb4880-82c2-11ed-87d0-8d6559ebee4a</t>
  </si>
  <si>
    <t>90564be0-82cb-11ed-87d0-8d6559ebee4a</t>
  </si>
  <si>
    <t>683dd860-82d2-11ed-87d0-8d6559ebee4a</t>
  </si>
  <si>
    <t>fc465280-82d7-11ed-87d0-8d6559ebee4a</t>
  </si>
  <si>
    <t>903f8300-82e0-11ed-87d0-8d6559ebee4a</t>
  </si>
  <si>
    <t>a8d06e20-82ef-11ed-87d0-8d6559ebee4a</t>
  </si>
  <si>
    <t>fd5a0640-82f4-11ed-87d0-8d6559ebee4a</t>
  </si>
  <si>
    <t>378539b0-8300-11ed-87d0-8d6559ebee4a</t>
  </si>
  <si>
    <t>f7d805a0-8308-11ed-87d0-8d6559ebee4a</t>
  </si>
  <si>
    <t>e4a04450-830f-11ed-87d0-8d6559ebee4a</t>
  </si>
  <si>
    <t>d314de00-8317-11ed-87d0-8d6559ebee4a</t>
  </si>
  <si>
    <t>be41aa40-8320-11ed-87d0-8d6559ebee4a</t>
  </si>
  <si>
    <t>03946cb0-8329-11ed-87d0-8d6559ebee4a</t>
  </si>
  <si>
    <t>0fd5c7c0-8334-11ed-87d0-8d6559ebee4a</t>
  </si>
  <si>
    <t>f43e34e0-833b-11ed-87d0-8d6559ebee4a</t>
  </si>
  <si>
    <t>a71ef020-8348-11ed-87d0-8d6559ebee4a</t>
  </si>
  <si>
    <t>b70ad970-834f-11ed-87d0-8d6559ebee4a</t>
  </si>
  <si>
    <t>8e80b100-8359-11ed-87d0-8d6559ebee4a</t>
  </si>
  <si>
    <t>19a32f10-835f-11ed-87d0-8d6559ebee4a</t>
  </si>
  <si>
    <t>d82aff00-8367-11ed-87d0-8d6559ebee4a</t>
  </si>
  <si>
    <t>c7102fa0-8381-11ed-87d0-8d6559ebee4a</t>
  </si>
  <si>
    <t>2f079090-83a9-11ed-87d0-8d6559ebee4a</t>
  </si>
  <si>
    <t>073170b0-83c5-11ed-87d0-8d6559ebee4a</t>
  </si>
  <si>
    <t>df378f70-83d0-11ed-87d0-8d6559ebee4a</t>
  </si>
  <si>
    <t>79565c20-83dc-11ed-87d0-8d6559ebee4a</t>
  </si>
  <si>
    <t>bc5b7320-83e6-11ed-87d0-8d6559ebee4a</t>
  </si>
  <si>
    <t>533de840-83ec-11ed-87d0-8d6559ebee4a</t>
  </si>
  <si>
    <t>1b5c2310-83f6-11ed-87d0-8d6559ebee4a</t>
  </si>
  <si>
    <t>2ec56bf0-8400-11ed-87d0-8d6559ebee4a</t>
  </si>
  <si>
    <t>b31a4d00-840d-11ed-87d0-8d6559ebee4a</t>
  </si>
  <si>
    <t>26ff35c0-8416-11ed-87d0-8d6559ebee4a</t>
  </si>
  <si>
    <t>2368c460-841d-11ed-87d0-8d6559ebee4a</t>
  </si>
  <si>
    <t>37f0f220-8424-11ed-87d0-8d6559ebee4a</t>
  </si>
  <si>
    <t>b4c7b340-842b-11ed-87d0-8d6559ebee4a</t>
  </si>
  <si>
    <t>b6d68db0-8439-11ed-87d0-8d6559ebee4a</t>
  </si>
  <si>
    <t>d332f960-8440-11ed-87d0-8d6559ebee4a</t>
  </si>
  <si>
    <t>8d9ccab0-844b-11ed-87d0-8d6559ebee4a</t>
  </si>
  <si>
    <t>fb5ddd40-8456-11ed-87d0-8d6559ebee4a</t>
  </si>
  <si>
    <t>cd357aa0-8469-11ed-87d0-8d6559ebee4a</t>
  </si>
  <si>
    <t>1425b5e0-8471-11ed-87d0-8d6559ebee4a</t>
  </si>
  <si>
    <t>0effb5c0-8476-11ed-87d0-8d6559ebee4a</t>
  </si>
  <si>
    <t>f2c08db0-847c-11ed-87d0-8d6559ebee4a</t>
  </si>
  <si>
    <t>9cea0ff0-8487-11ed-87d0-8d6559ebee4a</t>
  </si>
  <si>
    <t>ab47cd40-8490-11ed-87d0-8d6559ebee4a</t>
  </si>
  <si>
    <t>d2a465a0-849b-11ed-87d0-8d6559ebee4a</t>
  </si>
  <si>
    <t>89614670-84a4-11ed-87d0-8d6559ebee4a</t>
  </si>
  <si>
    <t>580a32c0-84af-11ed-87d0-8d6559ebee4a</t>
  </si>
  <si>
    <t>0978b2a0-84b7-11ed-87d0-8d6559ebee4a</t>
  </si>
  <si>
    <t>1217fa00-84bd-11ed-87d0-8d6559ebee4a</t>
  </si>
  <si>
    <t>ad212380-84c4-11ed-87d0-8d6559ebee4a</t>
  </si>
  <si>
    <t>f358e430-84cb-11ed-87d0-8d6559ebee4a</t>
  </si>
  <si>
    <t>6bebcc00-84d1-11ed-87d0-8d6559ebee4a</t>
  </si>
  <si>
    <t>542628b0-84d9-11ed-87d0-8d6559ebee4a</t>
  </si>
  <si>
    <t>c279a220-84e2-11ed-87d0-8d6559ebee4a</t>
  </si>
  <si>
    <t>a222a080-84ec-11ed-87d0-8d6559ebee4a</t>
  </si>
  <si>
    <t>88f1fb80-84f4-11ed-87d0-8d6559ebee4a</t>
  </si>
  <si>
    <t>6e5a9a90-84fc-11ed-87d0-8d6559ebee4a</t>
  </si>
  <si>
    <t>c69ea5d0-8505-11ed-87d0-8d6559ebee4a</t>
  </si>
  <si>
    <t>ffbdab50-850e-11ed-87d0-8d6559ebee4a</t>
  </si>
  <si>
    <t>550004c0-8517-11ed-87d0-8d6559ebee4a</t>
  </si>
  <si>
    <t>11dcd1e0-8522-11ed-87d0-8d6559ebee4a</t>
  </si>
  <si>
    <t>51334ab0-852a-11ed-87d0-8d6559ebee4a</t>
  </si>
  <si>
    <t>a8221ed0-8536-11ed-87d0-8d6559ebee4a</t>
  </si>
  <si>
    <t>3199fd50-8540-11ed-87d0-8d6559ebee4a</t>
  </si>
  <si>
    <t>419ebb40-8546-11ed-87d0-8d6559ebee4a</t>
  </si>
  <si>
    <t>ae36c5e0-854b-11ed-87d0-8d6559ebee4a</t>
  </si>
  <si>
    <t>acbc44c0-8554-11ed-87d0-8d6559ebee4a</t>
  </si>
  <si>
    <t>5b8dc810-855b-11ed-87d0-8d6559ebee4a</t>
  </si>
  <si>
    <t>5e61dd60-8560-11ed-87d0-8d6559ebee4a</t>
  </si>
  <si>
    <t>f1478590-8569-11ed-87d0-8d6559ebee4a</t>
  </si>
  <si>
    <t>bfbbada0-8571-11ed-87d0-8d6559ebee4a</t>
  </si>
  <si>
    <t>d765b4d0-8578-11ed-87d0-8d6559ebee4a</t>
  </si>
  <si>
    <t>351bcb10-8582-11ed-87d0-8d6559ebee4a</t>
  </si>
  <si>
    <t>8d39c2a0-8589-11ed-87d0-8d6559ebee4a</t>
  </si>
  <si>
    <t>5cb56510-8590-11ed-87d0-8d6559ebee4a</t>
  </si>
  <si>
    <t>39b4d1d0-859b-11ed-87d0-8d6559ebee4a</t>
  </si>
  <si>
    <t>ebe41430-85a3-11ed-87d0-8d6559ebee4a</t>
  </si>
  <si>
    <t>e6e30ef0-85ad-11ed-87d0-8d6559ebee4a</t>
  </si>
  <si>
    <t>1f2a15e0-85b5-11ed-87d0-8d6559ebee4a</t>
  </si>
  <si>
    <t>9f6f5130-85b9-11ed-87d0-8d6559ebee4a</t>
  </si>
  <si>
    <t>5289b6e0-85c2-11ed-87d0-8d6559ebee4a</t>
  </si>
  <si>
    <t>e87887c0-85c8-11ed-87d0-8d6559ebee4a</t>
  </si>
  <si>
    <t>d7eebd80-85d1-11ed-87d0-8d6559ebee4a</t>
  </si>
  <si>
    <t>c5732ad0-85d9-11ed-87d0-8d6559ebee4a</t>
  </si>
  <si>
    <t>7e9c7f20-85df-11ed-87d0-8d6559ebee4a</t>
  </si>
  <si>
    <t>b7c879c0-85e4-11ed-87d0-8d6559ebee4a</t>
  </si>
  <si>
    <t>f28af940-85f1-11ed-87d0-8d6559ebee4a</t>
  </si>
  <si>
    <t>4465c510-85f7-11ed-87d0-8d6559ebee4a</t>
  </si>
  <si>
    <t>2ea0fad0-85ff-11ed-87d0-8d6559ebee4a</t>
  </si>
  <si>
    <t>2e8b86f0-8613-11ed-87d0-8d6559ebee4a</t>
  </si>
  <si>
    <t>253b0510-861a-11ed-87d0-8d6559ebee4a</t>
  </si>
  <si>
    <t>c43e3500-8620-11ed-87d0-8d6559ebee4a</t>
  </si>
  <si>
    <t>f4b67c40-8627-11ed-87d0-8d6559ebee4a</t>
  </si>
  <si>
    <t>e5af4540-862e-11ed-87d0-8d6559ebee4a</t>
  </si>
  <si>
    <t>8ef7cfa0-8634-11ed-87d0-8d6559ebee4a</t>
  </si>
  <si>
    <t>d206ce80-863a-11ed-87d0-8d6559ebee4a</t>
  </si>
  <si>
    <t>57287cd0-8645-11ed-87d0-8d6559ebee4a</t>
  </si>
  <si>
    <t>e609fa80-8651-11ed-87d0-8d6559ebee4a</t>
  </si>
  <si>
    <t>b0893720-8658-11ed-87d0-8d6559ebee4a</t>
  </si>
  <si>
    <t>4a473770-866a-11ed-87d0-8d6559ebee4a</t>
  </si>
  <si>
    <t>13a6ac30-8671-11ed-87d0-8d6559ebee4a</t>
  </si>
  <si>
    <t>6e46fe50-8677-11ed-87d0-8d6559ebee4a</t>
  </si>
  <si>
    <t>fb388fb0-867f-11ed-87d0-8d6559ebee4a</t>
  </si>
  <si>
    <t>b10de190-8686-11ed-87d0-8d6559ebee4a</t>
  </si>
  <si>
    <t>da704e50-868c-11ed-87d0-8d6559ebee4a</t>
  </si>
  <si>
    <t>b9562090-8692-11ed-87d0-8d6559ebee4a</t>
  </si>
  <si>
    <t>7acbf010-8698-11ed-87d0-8d6559ebee4a</t>
  </si>
  <si>
    <t>da5c4160-869d-11ed-87d0-8d6559ebee4a</t>
  </si>
  <si>
    <t>969a3670-86a8-11ed-87d0-8d6559ebee4a</t>
  </si>
  <si>
    <t>71b01f80-86af-11ed-87d0-8d6559ebee4a</t>
  </si>
  <si>
    <t>e68f31a0-86b5-11ed-87d0-8d6559ebee4a</t>
  </si>
  <si>
    <t>803453c0-86bc-11ed-87d0-8d6559ebee4a</t>
  </si>
  <si>
    <t>ce55f2b0-86c2-11ed-87d0-8d6559ebee4a</t>
  </si>
  <si>
    <t>ceeb0d20-86ca-11ed-87d0-8d6559ebee4a</t>
  </si>
  <si>
    <t>3492bf40-86d2-11ed-87d0-8d6559ebee4a</t>
  </si>
  <si>
    <t>81cbc430-86de-11ed-87d0-8d6559ebee4a</t>
  </si>
  <si>
    <t>023b6e10-86e7-11ed-87d0-8d6559ebee4a</t>
  </si>
  <si>
    <t>25e5c620-86ed-11ed-87d0-8d6559ebee4a</t>
  </si>
  <si>
    <t>c5846830-86f2-11ed-87d0-8d6559ebee4a</t>
  </si>
  <si>
    <t>b089c130-86f9-11ed-87d0-8d6559ebee4a</t>
  </si>
  <si>
    <t>f5718cd0-8701-11ed-87d0-8d6559ebee4a</t>
  </si>
  <si>
    <t>1a24cc90-870c-11ed-87d0-8d6559ebee4a</t>
  </si>
  <si>
    <t>1ada6750-8714-11ed-87d0-8d6559ebee4a</t>
  </si>
  <si>
    <t>fe2ec1d0-871a-11ed-87d0-8d6559ebee4a</t>
  </si>
  <si>
    <t>1f81bf90-8725-11ed-87d0-8d6559ebee4a</t>
  </si>
  <si>
    <t>702c84f0-872c-11ed-87d0-8d6559ebee4a</t>
  </si>
  <si>
    <t>3e81ec50-8732-11ed-87d0-8d6559ebee4a</t>
  </si>
  <si>
    <t>ac658260-873a-11ed-87d0-8d6559ebee4a</t>
  </si>
  <si>
    <t>c09ea190-8748-11ed-87d0-8d6559ebee4a</t>
  </si>
  <si>
    <t>e5622a70-8751-11ed-87d0-8d6559ebee4a</t>
  </si>
  <si>
    <t>47c1b9a0-875d-11ed-87d0-8d6559ebee4a</t>
  </si>
  <si>
    <t>dc821870-876a-11ed-87d0-8d6559ebee4a</t>
  </si>
  <si>
    <t>f6b21c50-8773-11ed-87d0-8d6559ebee4a</t>
  </si>
  <si>
    <t>69cab360-8787-11ed-87d0-8d6559ebee4a</t>
  </si>
  <si>
    <t>2fff6320-8790-11ed-87d0-8d6559ebee4a</t>
  </si>
  <si>
    <t>a1988720-8798-11ed-87d0-8d6559ebee4a</t>
  </si>
  <si>
    <t>01b125d0-879f-11ed-87d0-8d6559ebee4a</t>
  </si>
  <si>
    <t>ed8ef290-87a7-11ed-87d0-8d6559ebee4a</t>
  </si>
  <si>
    <t>1b181b10-87ad-11ed-87d0-8d6559ebee4a</t>
  </si>
  <si>
    <t>aae2b280-87b4-11ed-87d0-8d6559ebee4a</t>
  </si>
  <si>
    <t>8548c1a0-87bd-11ed-87d0-8d6559ebee4a</t>
  </si>
  <si>
    <t>0874acb0-87c3-11ed-87d0-8d6559ebee4a</t>
  </si>
  <si>
    <t>ace3e570-87cf-11ed-87d0-8d6559ebee4a</t>
  </si>
  <si>
    <t>0e6bc430-87d9-11ed-87d0-8d6559ebee4a</t>
  </si>
  <si>
    <t>65247be0-87df-11ed-87d0-8d6559ebee4a</t>
  </si>
  <si>
    <t>79f7dc10-87e9-11ed-87d0-8d6559ebee4a</t>
  </si>
  <si>
    <t>3fa325a0-87f4-11ed-87d0-8d6559ebee4a</t>
  </si>
  <si>
    <t>fa6caa80-87fb-11ed-87d0-8d6559ebee4a</t>
  </si>
  <si>
    <t>5a0882a0-8803-11ed-87d0-8d6559ebee4a</t>
  </si>
  <si>
    <t>c72821e0-880a-11ed-87d0-8d6559ebee4a</t>
  </si>
  <si>
    <t>81387370-8813-11ed-87d0-8d6559ebee4a</t>
  </si>
  <si>
    <t>20510350-881e-11ed-87d0-8d6559ebee4a</t>
  </si>
  <si>
    <t>89547580-8823-11ed-87d0-8d6559ebee4a</t>
  </si>
  <si>
    <t>2e5c8520-882b-11ed-87d0-8d6559ebee4a</t>
  </si>
  <si>
    <t>a22a8db0-8837-11ed-87d0-8d6559ebee4a</t>
  </si>
  <si>
    <t>cc2fb0d0-8842-11ed-87d0-8d6559ebee4a</t>
  </si>
  <si>
    <t>7f1666e0-884c-11ed-87d0-8d6559ebee4a</t>
  </si>
  <si>
    <t>2b4328a0-8856-11ed-87d0-8d6559ebee4a</t>
  </si>
  <si>
    <t>be18b950-8861-11ed-87d0-8d6559ebee4a</t>
  </si>
  <si>
    <t>08e1b000-886b-11ed-87d0-8d6559ebee4a</t>
  </si>
  <si>
    <t>87458450-8873-11ed-87d0-8d6559ebee4a</t>
  </si>
  <si>
    <t>e5cc9ba0-887b-11ed-87d0-8d6559ebee4a</t>
  </si>
  <si>
    <t>e86897b0-8885-11ed-87d0-8d6559ebee4a</t>
  </si>
  <si>
    <t>fe270610-888d-11ed-87d0-8d6559ebee4a</t>
  </si>
  <si>
    <t>a757e9c0-8893-11ed-87d0-8d6559ebee4a</t>
  </si>
  <si>
    <t>fe846320-889f-11ed-87d0-8d6559ebee4a</t>
  </si>
  <si>
    <t>92e33010-88a4-11ed-87d0-8d6559ebee4a</t>
  </si>
  <si>
    <t>689b6e90-88ad-11ed-87d0-8d6559ebee4a</t>
  </si>
  <si>
    <t>17e34870-88b6-11ed-87d0-8d6559ebee4a</t>
  </si>
  <si>
    <t>9f9a8800-88bb-11ed-87d0-8d6559ebee4a</t>
  </si>
  <si>
    <t>e04e6df0-88c3-11ed-87d0-8d6559ebee4a</t>
  </si>
  <si>
    <t>d3c408b0-88c8-11ed-87d0-8d6559ebee4a</t>
  </si>
  <si>
    <t>48b12490-88cf-11ed-87d0-8d6559ebee4a</t>
  </si>
  <si>
    <t>a5151520-88d4-11ed-87d0-8d6559ebee4a</t>
  </si>
  <si>
    <t>1b60af90-88db-11ed-87d0-8d6559ebee4a</t>
  </si>
  <si>
    <t>601cd750-88e3-11ed-87d0-8d6559ebee4a</t>
  </si>
  <si>
    <t>0ee5bd30-88ec-11ed-87d0-8d6559ebee4a</t>
  </si>
  <si>
    <t>ee82aa70-88f1-11ed-87d0-8d6559ebee4a</t>
  </si>
  <si>
    <t>efe12f60-88f9-11ed-87d0-8d6559ebee4a</t>
  </si>
  <si>
    <t>9d0ac7b0-8903-11ed-87d0-8d6559ebee4a</t>
  </si>
  <si>
    <t>77917e30-890c-11ed-87d0-8d6559ebee4a</t>
  </si>
  <si>
    <t>9d696f30-8913-11ed-87d0-8d6559ebee4a</t>
  </si>
  <si>
    <t>5ec7a290-891a-11ed-87d0-8d6559ebee4a</t>
  </si>
  <si>
    <t>1cd6ee80-8920-11ed-87d0-8d6559ebee4a</t>
  </si>
  <si>
    <t>91497bd0-8929-11ed-87d0-8d6559ebee4a</t>
  </si>
  <si>
    <t>b72b4d50-892f-11ed-87d0-8d6559ebee4a</t>
  </si>
  <si>
    <t>5a6ac760-8936-11ed-87d0-8d6559ebee4a</t>
  </si>
  <si>
    <t>91fc4480-893e-11ed-87d0-8d6559ebee4a</t>
  </si>
  <si>
    <t>18c99ae0-8673-11ed-b78f-b7110864c3c6</t>
  </si>
  <si>
    <t>dfd3e5f0-8682-11ed-b78f-b7110864c3c6</t>
  </si>
  <si>
    <t>21e2a0f0-868b-11ed-b78f-b7110864c3c6</t>
  </si>
  <si>
    <t>5ecce9d0-8695-11ed-b78f-b7110864c3c6</t>
  </si>
  <si>
    <t>33d18860-86a1-11ed-b78f-b7110864c3c6</t>
  </si>
  <si>
    <t>0e989150-86ac-11ed-b78f-b7110864c3c6</t>
  </si>
  <si>
    <t>515239b0-86b1-11ed-b78f-b7110864c3c6</t>
  </si>
  <si>
    <t>6f8cfaf0-86bb-11ed-b78f-b7110864c3c6</t>
  </si>
  <si>
    <t>a6079460-86c4-11ed-b78f-b7110864c3c6</t>
  </si>
  <si>
    <t>d75fbee0-86cc-11ed-b78f-b7110864c3c6</t>
  </si>
  <si>
    <t>b1796640-86d6-11ed-b78f-b7110864c3c6</t>
  </si>
  <si>
    <t>ef226d00-8769-11ed-8862-7d9f9e8f6f5f</t>
  </si>
  <si>
    <t>90a99340-8771-11ed-8862-7d9f9e8f6f5f</t>
  </si>
  <si>
    <t>a87fe520-8779-11ed-8862-7d9f9e8f6f5f</t>
  </si>
  <si>
    <t>f4f21f00-8782-11ed-8862-7d9f9e8f6f5f</t>
  </si>
  <si>
    <t>5d132b00-8789-11ed-8862-7d9f9e8f6f5f</t>
  </si>
  <si>
    <t>8cf6ddf0-8791-11ed-8862-7d9f9e8f6f5f</t>
  </si>
  <si>
    <t>d73ec850-879b-11ed-8862-7d9f9e8f6f5f</t>
  </si>
  <si>
    <t>37704960-87a6-11ed-8862-7d9f9e8f6f5f</t>
  </si>
  <si>
    <t>82b75110-87ac-11ed-8862-7d9f9e8f6f5f</t>
  </si>
  <si>
    <t>7ac36ed0-87fc-11ed-9159-8f0bb38e22a3</t>
  </si>
  <si>
    <t>d7e94ba0-8808-11ed-9159-8f0bb38e22a3</t>
  </si>
  <si>
    <t>f5afa030-8812-11ed-9159-8f0bb38e22a3</t>
  </si>
  <si>
    <t>f84e14a0-8819-11ed-9159-8f0bb38e22a3</t>
  </si>
  <si>
    <t>91816220-8820-11ed-9159-8f0bb38e22a3</t>
  </si>
  <si>
    <t>65757b10-882c-11ed-9159-8f0bb38e22a3</t>
  </si>
  <si>
    <t>445e2c20-8835-11ed-9159-8f0bb38e22a3</t>
  </si>
  <si>
    <t>bbe47400-883c-11ed-9159-8f0bb38e22a3</t>
  </si>
  <si>
    <t>9f07e890-8845-11ed-9159-8f0bb38e22a3</t>
  </si>
  <si>
    <t>d98230f0-8851-11ed-9159-8f0bb38e22a3</t>
  </si>
  <si>
    <t>7d81f850-8859-11ed-9159-8f0bb38e22a3</t>
  </si>
  <si>
    <t>52889a10-8862-11ed-9159-8f0bb38e22a3</t>
  </si>
  <si>
    <t>0137a470-886d-11ed-9159-8f0bb38e22a3</t>
  </si>
  <si>
    <t>2e263dd0-8876-11ed-9159-8f0bb38e22a3</t>
  </si>
  <si>
    <t>a8422740-88d6-11ed-8023-0bde6d77c02f</t>
  </si>
  <si>
    <t>7f415e80-88fc-11ed-8023-0bde6d77c02f</t>
  </si>
  <si>
    <t>3993a8d0-890a-11ed-8023-0bde6d77c02f</t>
  </si>
  <si>
    <t>bda6f360-891f-11ed-8023-0bde6d77c02f</t>
  </si>
  <si>
    <t>2c68ed70-8926-11ed-8023-0bde6d77c02f</t>
  </si>
  <si>
    <t>14157a50-8934-11ed-8023-0bde6d77c02f</t>
  </si>
  <si>
    <t>fa35b750-8940-11ed-8023-0bde6d77c02f</t>
  </si>
  <si>
    <t>51c2eb20-8949-11ed-8023-0bde6d77c02f</t>
  </si>
  <si>
    <t>774d26c0-894f-11ed-8023-0bde6d77c02f</t>
  </si>
  <si>
    <t>d31e30b0-8955-11ed-8023-0bde6d77c02f</t>
  </si>
  <si>
    <t>07fb22e0-8963-11ed-8023-0bde6d77c02f</t>
  </si>
  <si>
    <t>bd6aa3e0-89b2-11ed-acdf-a3b3dd31df9f</t>
  </si>
  <si>
    <t>bc991ee0-89b9-11ed-acdf-a3b3dd31df9f</t>
  </si>
  <si>
    <t>ce716450-89bf-11ed-acdf-a3b3dd31df9f</t>
  </si>
  <si>
    <t>1c507c00-89c6-11ed-acdf-a3b3dd31df9f</t>
  </si>
  <si>
    <t>ca717400-89cc-11ed-acdf-a3b3dd31df9f</t>
  </si>
  <si>
    <t>d96250f0-89d2-11ed-acdf-a3b3dd31df9f</t>
  </si>
  <si>
    <t>4dbe9e80-89d9-11ed-acdf-a3b3dd31df9f</t>
  </si>
  <si>
    <t>cc31dc20-89e1-11ed-acdf-a3b3dd31df9f</t>
  </si>
  <si>
    <t>07712990-89eb-11ed-acdf-a3b3dd31df9f</t>
  </si>
  <si>
    <t>54967f70-89f7-11ed-acdf-a3b3dd31df9f</t>
  </si>
  <si>
    <t>538de4e0-89fe-11ed-acdf-a3b3dd31df9f</t>
  </si>
  <si>
    <t>15818500-8a06-11ed-acdf-a3b3dd31df9f</t>
  </si>
  <si>
    <t>2418ecc0-8a0b-11ed-acdf-a3b3dd31df9f</t>
  </si>
  <si>
    <t>396024c0-8a12-11ed-acdf-a3b3dd31df9f</t>
  </si>
  <si>
    <t>625fea60-8a60-11ed-9c9f-e93395990c2c</t>
  </si>
  <si>
    <t>8efcfdd0-8a68-11ed-9c9f-e93395990c2c</t>
  </si>
  <si>
    <t>cbaf5f10-8a78-11ed-9c9f-e93395990c2c</t>
  </si>
  <si>
    <t>4c1d0290-8a80-11ed-9c9f-e93395990c2c</t>
  </si>
  <si>
    <t>35713e40-8a89-11ed-9c9f-e93395990c2c</t>
  </si>
  <si>
    <t>6fe1e9b0-8a95-11ed-9c9f-e93395990c2c</t>
  </si>
  <si>
    <t>259f5be0-8a9e-11ed-9c9f-e93395990c2c</t>
  </si>
  <si>
    <t>5b5ab970-8aa6-11ed-9c9f-e93395990c2c</t>
  </si>
  <si>
    <t>7fbaa910-8ab0-11ed-9c9f-e93395990c2c</t>
  </si>
  <si>
    <t>237fff80-8ab8-11ed-9c9f-e93395990c2c</t>
  </si>
  <si>
    <t>7f1403a0-8ac2-11ed-9c9f-e93395990c2c</t>
  </si>
  <si>
    <t>418d4720-8acd-11ed-9c9f-e93395990c2c</t>
  </si>
  <si>
    <t>bd90d9c0-8ad4-11ed-9c9f-e93395990c2c</t>
  </si>
  <si>
    <t>5c21efe0-8b3c-11ed-b207-679fdc065459</t>
  </si>
  <si>
    <t>b6407260-8b43-11ed-b207-679fdc065459</t>
  </si>
  <si>
    <t>01ac11b0-8b4d-11ed-b207-679fdc065459</t>
  </si>
  <si>
    <t>58aecde0-8b57-11ed-b207-679fdc065459</t>
  </si>
  <si>
    <t>01082b60-8b5f-11ed-b207-679fdc065459</t>
  </si>
  <si>
    <t>6bcae780-8b69-11ed-b207-679fdc065459</t>
  </si>
  <si>
    <t>bdcb18d0-8b72-11ed-b207-679fdc065459</t>
  </si>
  <si>
    <t>21567340-8b7d-11ed-b207-679fdc065459</t>
  </si>
  <si>
    <t>c83485f0-8b85-11ed-b207-679fdc065459</t>
  </si>
  <si>
    <t>b74df8e0-8b92-11ed-b207-679fdc065459</t>
  </si>
  <si>
    <t>5df045a0-8b9c-11ed-b207-679fdc065459</t>
  </si>
  <si>
    <t>fe52bb30-8c15-11ed-9d59-8d25b4e55352</t>
  </si>
  <si>
    <t>e88c0a40-8c1f-11ed-9d59-8d25b4e55352</t>
  </si>
  <si>
    <t>a60d7bd0-8c2a-11ed-9d59-8d25b4e55352</t>
  </si>
  <si>
    <t>a6599f00-8c35-11ed-9d59-8d25b4e55352</t>
  </si>
  <si>
    <t>46ffc600-8c3b-11ed-9d59-8d25b4e55352</t>
  </si>
  <si>
    <t>7c19c890-8c45-11ed-9d59-8d25b4e55352</t>
  </si>
  <si>
    <t>5ef1d810-8c55-11ed-9d59-8d25b4e55352</t>
  </si>
  <si>
    <t>42e38e90-8c5d-11ed-9d59-8d25b4e55352</t>
  </si>
  <si>
    <t>75e833c0-8c69-11ed-9d59-8d25b4e55352</t>
  </si>
  <si>
    <t>63b569e0-8c71-11ed-9d59-8d25b4e55352</t>
  </si>
  <si>
    <t>98bc32f0-8cc5-11ed-9552-29926e88bab8</t>
  </si>
  <si>
    <t>8944d830-8cd0-11ed-9552-29926e88bab8</t>
  </si>
  <si>
    <t>b9829960-8cd5-11ed-9552-29926e88bab8</t>
  </si>
  <si>
    <t>59dfb400-8cdc-11ed-9552-29926e88bab8</t>
  </si>
  <si>
    <t>8acebc70-8ce4-11ed-9552-29926e88bab8</t>
  </si>
  <si>
    <t>ddea33b0-8ceb-11ed-9552-29926e88bab8</t>
  </si>
  <si>
    <t>0ee9a4f0-8cf6-11ed-9552-29926e88bab8</t>
  </si>
  <si>
    <t>8a55a3c0-8d03-11ed-9552-29926e88bab8</t>
  </si>
  <si>
    <t>ab142680-8d09-11ed-9552-29926e88bab8</t>
  </si>
  <si>
    <t>86271770-8d12-11ed-9552-29926e88bab8</t>
  </si>
  <si>
    <t>7005d550-8d1a-11ed-9552-29926e88bab8</t>
  </si>
  <si>
    <t>6705f2b0-8977-11ed-87d0-8d6559ebee4a</t>
  </si>
  <si>
    <t>ce0d55b0-899b-11ed-87d0-8d6559ebee4a</t>
  </si>
  <si>
    <t>823cd4e0-89a4-11ed-87d0-8d6559ebee4a</t>
  </si>
  <si>
    <t>c73314e0-89ab-11ed-87d0-8d6559ebee4a</t>
  </si>
  <si>
    <t>f0265a30-89b3-11ed-87d0-8d6559ebee4a</t>
  </si>
  <si>
    <t>a2fd3920-89ba-11ed-87d0-8d6559ebee4a</t>
  </si>
  <si>
    <t>f949fdb0-89c2-11ed-87d0-8d6559ebee4a</t>
  </si>
  <si>
    <t>05286db0-89cd-11ed-87d0-8d6559ebee4a</t>
  </si>
  <si>
    <t>eefae7d0-89da-11ed-87d0-8d6559ebee4a</t>
  </si>
  <si>
    <t>82c41990-89e1-11ed-87d0-8d6559ebee4a</t>
  </si>
  <si>
    <t>f1d54510-89e7-11ed-87d0-8d6559ebee4a</t>
  </si>
  <si>
    <t>1361c960-89f2-11ed-87d0-8d6559ebee4a</t>
  </si>
  <si>
    <t>44e2c380-89f8-11ed-87d0-8d6559ebee4a</t>
  </si>
  <si>
    <t>8edc4720-89ff-11ed-87d0-8d6559ebee4a</t>
  </si>
  <si>
    <t>1a0e9c50-8a08-11ed-87d0-8d6559ebee4a</t>
  </si>
  <si>
    <t>1015c520-8a12-11ed-87d0-8d6559ebee4a</t>
  </si>
  <si>
    <t>bc0a5550-8a1a-11ed-87d0-8d6559ebee4a</t>
  </si>
  <si>
    <t>46ee5c10-8a26-11ed-87d0-8d6559ebee4a</t>
  </si>
  <si>
    <t>a18a1a50-8a2c-11ed-87d0-8d6559ebee4a</t>
  </si>
  <si>
    <t>82b3de90-8a31-11ed-87d0-8d6559ebee4a</t>
  </si>
  <si>
    <t>ab88a9f0-8a3a-11ed-87d0-8d6559ebee4a</t>
  </si>
  <si>
    <t>0d19eca0-8a46-11ed-87d0-8d6559ebee4a</t>
  </si>
  <si>
    <t>d3a1c240-8a4a-11ed-87d0-8d6559ebee4a</t>
  </si>
  <si>
    <t>59c5c230-8a51-11ed-87d0-8d6559ebee4a</t>
  </si>
  <si>
    <t>fc371a00-8a5b-11ed-87d0-8d6559ebee4a</t>
  </si>
  <si>
    <t>31021990-8a63-11ed-87d0-8d6559ebee4a</t>
  </si>
  <si>
    <t>2c49ef10-8a6b-11ed-87d0-8d6559ebee4a</t>
  </si>
  <si>
    <t>a91ccdb0-8a74-11ed-87d0-8d6559ebee4a</t>
  </si>
  <si>
    <t>6fc44e60-8a7b-11ed-87d0-8d6559ebee4a</t>
  </si>
  <si>
    <t>c084a220-8a83-11ed-87d0-8d6559ebee4a</t>
  </si>
  <si>
    <t>2164ebb0-8a8c-11ed-87d0-8d6559ebee4a</t>
  </si>
  <si>
    <t>4b680fd0-8a93-11ed-87d0-8d6559ebee4a</t>
  </si>
  <si>
    <t>7c3d18e0-8aa1-11ed-87d0-8d6559ebee4a</t>
  </si>
  <si>
    <t>dbc88830-8aa6-11ed-87d0-8d6559ebee4a</t>
  </si>
  <si>
    <t>3ce45b80-8aac-11ed-87d0-8d6559ebee4a</t>
  </si>
  <si>
    <t>cd908e70-8ab5-11ed-87d0-8d6559ebee4a</t>
  </si>
  <si>
    <t>4e246220-8abe-11ed-87d0-8d6559ebee4a</t>
  </si>
  <si>
    <t>9a65a0f0-8ac7-11ed-87d0-8d6559ebee4a</t>
  </si>
  <si>
    <t>d124b2e0-8acf-11ed-87d0-8d6559ebee4a</t>
  </si>
  <si>
    <t>73b7b8f0-8ad9-11ed-87d0-8d6559ebee4a</t>
  </si>
  <si>
    <t>6250a050-8add-11ed-87d0-8d6559ebee4a</t>
  </si>
  <si>
    <t>17e7f770-8ae7-11ed-87d0-8d6559ebee4a</t>
  </si>
  <si>
    <t>43fde410-8af0-11ed-87d0-8d6559ebee4a</t>
  </si>
  <si>
    <t>005898d0-8b0f-11ed-87d0-8d6559ebee4a</t>
  </si>
  <si>
    <t>2b3a8430-8b16-11ed-87d0-8d6559ebee4a</t>
  </si>
  <si>
    <t>181eaf50-8b1d-11ed-87d0-8d6559ebee4a</t>
  </si>
  <si>
    <t>f53438f0-8b23-11ed-87d0-8d6559ebee4a</t>
  </si>
  <si>
    <t>07c905b0-8b2c-11ed-87d0-8d6559ebee4a</t>
  </si>
  <si>
    <t>e34cf2d0-8b32-11ed-87d0-8d6559ebee4a</t>
  </si>
  <si>
    <t>c8002490-8b3a-11ed-87d0-8d6559ebee4a</t>
  </si>
  <si>
    <t>7c053fc0-8b40-11ed-87d0-8d6559ebee4a</t>
  </si>
  <si>
    <t>25c6cde0-8b4a-11ed-87d0-8d6559ebee4a</t>
  </si>
  <si>
    <t>6f18aa60-8b52-11ed-87d0-8d6559ebee4a</t>
  </si>
  <si>
    <t>29aa99f0-8b59-11ed-87d0-8d6559ebee4a</t>
  </si>
  <si>
    <t>72677780-8b63-11ed-87d0-8d6559ebee4a</t>
  </si>
  <si>
    <t>89609350-8b6c-11ed-87d0-8d6559ebee4a</t>
  </si>
  <si>
    <t>9e8b90c0-8b73-11ed-87d0-8d6559ebee4a</t>
  </si>
  <si>
    <t>9a19a190-8b7c-11ed-87d0-8d6559ebee4a</t>
  </si>
  <si>
    <t>ce9245f0-8b84-11ed-87d0-8d6559ebee4a</t>
  </si>
  <si>
    <t>76a8ffb0-8b8d-11ed-87d0-8d6559ebee4a</t>
  </si>
  <si>
    <t>7f54b0e0-8b98-11ed-87d0-8d6559ebee4a</t>
  </si>
  <si>
    <t>7e3b8670-8b9d-11ed-87d0-8d6559ebee4a</t>
  </si>
  <si>
    <t>27bcf3c0-8ba6-11ed-87d0-8d6559ebee4a</t>
  </si>
  <si>
    <t>9d775540-8bad-11ed-87d0-8d6559ebee4a</t>
  </si>
  <si>
    <t>06af44f0-8bb3-11ed-87d0-8d6559ebee4a</t>
  </si>
  <si>
    <t>1df2a8d0-8bbf-11ed-87d0-8d6559ebee4a</t>
  </si>
  <si>
    <t>c090cf40-8bc4-11ed-87d0-8d6559ebee4a</t>
  </si>
  <si>
    <t>c4dc4250-8bc9-11ed-87d0-8d6559ebee4a</t>
  </si>
  <si>
    <t>59bb05f0-8bd4-11ed-87d0-8d6559ebee4a</t>
  </si>
  <si>
    <t>f52c6720-8bdb-11ed-87d0-8d6559ebee4a</t>
  </si>
  <si>
    <t>aedbc970-8be3-11ed-87d0-8d6559ebee4a</t>
  </si>
  <si>
    <t>1eee3850-8bea-11ed-87d0-8d6559ebee4a</t>
  </si>
  <si>
    <t>fa9647e0-8bf3-11ed-87d0-8d6559ebee4a</t>
  </si>
  <si>
    <t>89a6c1a0-8bfc-11ed-87d0-8d6559ebee4a</t>
  </si>
  <si>
    <t>f030c800-8c04-11ed-87d0-8d6559ebee4a</t>
  </si>
  <si>
    <t>bebd2110-8c0e-11ed-87d0-8d6559ebee4a</t>
  </si>
  <si>
    <t>ec46de70-8c16-11ed-87d0-8d6559ebee4a</t>
  </si>
  <si>
    <t>72057390-8c22-11ed-87d0-8d6559ebee4a</t>
  </si>
  <si>
    <t>dad47600-8c2c-11ed-87d0-8d6559ebee4a</t>
  </si>
  <si>
    <t>3146b200-8c37-11ed-87d0-8d6559ebee4a</t>
  </si>
  <si>
    <t>df0e66d0-8c87-11ed-9ac7-0778df7c29c6</t>
  </si>
  <si>
    <t>ac1dbcd0-8c91-11ed-9ac7-0778df7c29c6</t>
  </si>
  <si>
    <t>fa597370-8c97-11ed-9ac7-0778df7c29c6</t>
  </si>
  <si>
    <t>594ed590-8ca3-11ed-9ac7-0778df7c29c6</t>
  </si>
  <si>
    <t>c1c51100-8caa-11ed-9ac7-0778df7c29c6</t>
  </si>
  <si>
    <t>a5aa72d0-8caf-11ed-9ac7-0778df7c29c6</t>
  </si>
  <si>
    <t>2997a020-8cb7-11ed-9ac7-0778df7c29c6</t>
  </si>
  <si>
    <t>a2c50850-8cbe-11ed-9ac7-0778df7c29c6</t>
  </si>
  <si>
    <t>e559d580-8cc1-11ed-9ac7-0778df7c29c6</t>
  </si>
  <si>
    <t>732d4d50-8cc8-11ed-9ac7-0778df7c29c6</t>
  </si>
  <si>
    <t>cb2aba00-8cce-11ed-9ac7-0778df7c29c6</t>
  </si>
  <si>
    <t>c5d046f0-8cd4-11ed-9ac7-0778df7c29c6</t>
  </si>
  <si>
    <t>0d0e6930-8cde-11ed-9ac7-0778df7c29c6</t>
  </si>
  <si>
    <t>9faa2200-8ce5-11ed-9ac7-0778df7c29c6</t>
  </si>
  <si>
    <t>64bbc070-8cec-11ed-9ac7-0778df7c29c6</t>
  </si>
  <si>
    <t>d9cebe60-8cf3-11ed-9ac7-0778df7c29c6</t>
  </si>
  <si>
    <t>e60d5720-8cfa-11ed-9ac7-0778df7c29c6</t>
  </si>
  <si>
    <t>c54f0500-8d00-11ed-9ac7-0778df7c29c6</t>
  </si>
  <si>
    <t>d9932f70-8d08-11ed-9ac7-0778df7c29c6</t>
  </si>
  <si>
    <t>4f7d1f50-7b9f-11ed-b3a2-67ec66eebf0a</t>
  </si>
  <si>
    <t>4b40b150-7ba3-11ed-b3a2-67ec66eebf0a</t>
  </si>
  <si>
    <t>f13eb680-7ba6-11ed-b3a2-67ec66eebf0a</t>
  </si>
  <si>
    <t>d40ac070-7ba8-11ed-b3a2-67ec66eebf0a</t>
  </si>
  <si>
    <t>5994bdc0-7bc4-11ed-b3a2-67ec66eebf0a</t>
  </si>
  <si>
    <t>4049e160-7bc9-11ed-b3a2-67ec66eebf0a</t>
  </si>
  <si>
    <t>eccf9cc0-7bcb-11ed-b3a2-67ec66eebf0a</t>
  </si>
  <si>
    <t>03fde110-7bcf-11ed-b3a2-67ec66eebf0a</t>
  </si>
  <si>
    <t>99abd530-7bd1-11ed-b3a2-67ec66eebf0a</t>
  </si>
  <si>
    <t>f2dbf250-7bd3-11ed-b3a2-67ec66eebf0a</t>
  </si>
  <si>
    <t>095ef7f0-7bd6-11ed-b3a2-67ec66eebf0a</t>
  </si>
  <si>
    <t>781bb420-7bd7-11ed-b3a2-67ec66eebf0a</t>
  </si>
  <si>
    <t>94ef8c00-7bd9-11ed-b3a2-67ec66eebf0a</t>
  </si>
  <si>
    <t>88ae0c10-7bdd-11ed-b3a2-67ec66eebf0a</t>
  </si>
  <si>
    <t>052f41e0-7bdf-11ed-b3a2-67ec66eebf0a</t>
  </si>
  <si>
    <t>052f3a80-7be2-11ed-b3a2-67ec66eebf0a</t>
  </si>
  <si>
    <t>9d819350-7be7-11ed-b3a2-67ec66eebf0a</t>
  </si>
  <si>
    <t>eaa471d0-7beb-11ed-b3a2-67ec66eebf0a</t>
  </si>
  <si>
    <t>ce4211b0-7bef-11ed-b3a2-67ec66eebf0a</t>
  </si>
  <si>
    <t>4687e7c0-7bf1-11ed-b3a2-67ec66eebf0a</t>
  </si>
  <si>
    <t>7491b950-7bf3-11ed-b3a2-67ec66eebf0a</t>
  </si>
  <si>
    <t>faa73720-7bf5-11ed-b3a2-67ec66eebf0a</t>
  </si>
  <si>
    <t>8c886140-7bf7-11ed-b3a2-67ec66eebf0a</t>
  </si>
  <si>
    <t>a67e94a0-7bf9-11ed-b3a2-67ec66eebf0a</t>
  </si>
  <si>
    <t>100b3b60-7bfc-11ed-b3a2-67ec66eebf0a</t>
  </si>
  <si>
    <t>596c1030-7bfd-11ed-b3a2-67ec66eebf0a</t>
  </si>
  <si>
    <t>0a0d9560-7c00-11ed-b3a2-67ec66eebf0a</t>
  </si>
  <si>
    <t>db762d00-7c01-11ed-b3a2-67ec66eebf0a</t>
  </si>
  <si>
    <t>c67f07d0-7c5d-11ed-b3a2-67ec66eebf0a</t>
  </si>
  <si>
    <t>86e8f780-7c61-11ed-b3a2-67ec66eebf0a</t>
  </si>
  <si>
    <t>2bbc1140-7c65-11ed-b3a2-67ec66eebf0a</t>
  </si>
  <si>
    <t>43907610-7c67-11ed-b3a2-67ec66eebf0a</t>
  </si>
  <si>
    <t>f3626de0-7c77-11ed-b3a2-67ec66eebf0a</t>
  </si>
  <si>
    <t>5876dd80-7c7b-11ed-b3a2-67ec66eebf0a</t>
  </si>
  <si>
    <t>8999d5f0-7c7d-11ed-b3a2-67ec66eebf0a</t>
  </si>
  <si>
    <t>5cf2af60-7c80-11ed-b3a2-67ec66eebf0a</t>
  </si>
  <si>
    <t>8b9e49c0-7c83-11ed-b3a2-67ec66eebf0a</t>
  </si>
  <si>
    <t>f0f0beb0-7c84-11ed-b3a2-67ec66eebf0a</t>
  </si>
  <si>
    <t>0994a880-7c87-11ed-b3a2-67ec66eebf0a</t>
  </si>
  <si>
    <t>be6749b0-7c88-11ed-b3a2-67ec66eebf0a</t>
  </si>
  <si>
    <t>dbba63b0-7c8a-11ed-b3a2-67ec66eebf0a</t>
  </si>
  <si>
    <t>5e2e9450-7c8c-11ed-b3a2-67ec66eebf0a</t>
  </si>
  <si>
    <t>e240e490-7c8d-11ed-b3a2-67ec66eebf0a</t>
  </si>
  <si>
    <t>0f170630-7c92-11ed-b3a2-67ec66eebf0a</t>
  </si>
  <si>
    <t>259fd730-7c9f-11ed-b3a2-67ec66eebf0a</t>
  </si>
  <si>
    <t>318fe220-7ca3-11ed-b3a2-67ec66eebf0a</t>
  </si>
  <si>
    <t>3dc242b0-7ca6-11ed-b3a2-67ec66eebf0a</t>
  </si>
  <si>
    <t>b2ba7460-7ca7-11ed-b3a2-67ec66eebf0a</t>
  </si>
  <si>
    <t>da252ca0-7ca9-11ed-b3a2-67ec66eebf0a</t>
  </si>
  <si>
    <t>9153f0d0-7cac-11ed-b3a2-67ec66eebf0a</t>
  </si>
  <si>
    <t>5f0b71e0-7caf-11ed-b3a2-67ec66eebf0a</t>
  </si>
  <si>
    <t>3703b980-7cb1-11ed-b3a2-67ec66eebf0a</t>
  </si>
  <si>
    <t>47449d70-7cb4-11ed-b3a2-67ec66eebf0a</t>
  </si>
  <si>
    <t>808d0110-7cb6-11ed-b3a2-67ec66eebf0a</t>
  </si>
  <si>
    <t>2a0f23f0-7cba-11ed-b3a2-67ec66eebf0a</t>
  </si>
  <si>
    <t>988089d0-7cbc-11ed-b3a2-67ec66eebf0a</t>
  </si>
  <si>
    <t>3023a170-7bb2-11ed-be17-074e6333750d</t>
  </si>
  <si>
    <t>a52273c0-7bbc-11ed-be17-074e6333750d</t>
  </si>
  <si>
    <t>a42c3aa0-7bc1-11ed-be17-074e6333750d</t>
  </si>
  <si>
    <t>ebd309c0-7bca-11ed-be17-074e6333750d</t>
  </si>
  <si>
    <t>0bea3380-7bd2-11ed-be17-074e6333750d</t>
  </si>
  <si>
    <t>b106d200-7bd8-11ed-be17-074e6333750d</t>
  </si>
  <si>
    <t>84a46de0-7be1-11ed-be17-074e6333750d</t>
  </si>
  <si>
    <t>36d4a160-7c3c-11ed-b958-112fe5ec4333</t>
  </si>
  <si>
    <t>8749b3f0-7c47-11ed-b958-112fe5ec4333</t>
  </si>
  <si>
    <t>312a6d60-7c52-11ed-b958-112fe5ec4333</t>
  </si>
  <si>
    <t>d28f56e0-7c5f-11ed-b958-112fe5ec4333</t>
  </si>
  <si>
    <t>b271c6b0-7c67-11ed-b958-112fe5ec4333</t>
  </si>
  <si>
    <t>c9d0bb20-7c6e-11ed-b958-112fe5ec4333</t>
  </si>
  <si>
    <t>4569c7f0-7c7d-11ed-b958-112fe5ec4333</t>
  </si>
  <si>
    <t>480f24c0-7c85-11ed-b958-112fe5ec4333</t>
  </si>
  <si>
    <t>162a85d0-7c8a-11ed-b958-112fe5ec4333</t>
  </si>
  <si>
    <t>e3dd8720-7c99-11ed-b958-112fe5ec4333</t>
  </si>
  <si>
    <t>731f8da0-7ca1-11ed-b958-112fe5ec4333</t>
  </si>
  <si>
    <t>dcaae8b0-7d4f-11ed-97ea-9541f64fc5bd</t>
  </si>
  <si>
    <t>c1c439d0-7d58-11ed-97ea-9541f64fc5bd</t>
  </si>
  <si>
    <t>c05e71d0-7d64-11ed-97ea-9541f64fc5bd</t>
  </si>
  <si>
    <t>abf56d60-7d74-11ed-97ea-9541f64fc5bd</t>
  </si>
  <si>
    <t>837026f0-7d7e-11ed-97ea-9541f64fc5bd</t>
  </si>
  <si>
    <t>9a7de2f0-7dd9-11ed-8bab-8b60fb198ce0</t>
  </si>
  <si>
    <t>2d32d3a0-7de2-11ed-8bab-8b60fb198ce0</t>
  </si>
  <si>
    <t>a255ec40-7deb-11ed-8bab-8b60fb198ce0</t>
  </si>
  <si>
    <t>e13dcc20-7df0-11ed-8bab-8b60fb198ce0</t>
  </si>
  <si>
    <t>ddaf8d90-7df6-11ed-8bab-8b60fb198ce0</t>
  </si>
  <si>
    <t>75209c30-7dfe-11ed-8bab-8b60fb198ce0</t>
  </si>
  <si>
    <t>ee311870-7e03-11ed-8bab-8b60fb198ce0</t>
  </si>
  <si>
    <t>785ff240-7e0a-11ed-8bab-8b60fb198ce0</t>
  </si>
  <si>
    <t>d3928430-7e0e-11ed-8bab-8b60fb198ce0</t>
  </si>
  <si>
    <t>70b61750-7e18-11ed-8bab-8b60fb198ce0</t>
  </si>
  <si>
    <t>a06d7830-7e22-11ed-8bab-8b60fb198ce0</t>
  </si>
  <si>
    <t>754ac760-7e28-11ed-8bab-8b60fb198ce0</t>
  </si>
  <si>
    <t>f9859f80-7e2f-11ed-8bab-8b60fb198ce0</t>
  </si>
  <si>
    <t>c3ef2d10-7e3d-11ed-8bab-8b60fb198ce0</t>
  </si>
  <si>
    <t>f852fbd0-7e43-11ed-8bab-8b60fb198ce0</t>
  </si>
  <si>
    <t>22ab1330-7e4a-11ed-8bab-8b60fb198ce0</t>
  </si>
  <si>
    <t>d334a950-7ea9-11ed-b2cc-2de6cdc0f1de</t>
  </si>
  <si>
    <t>fc995570-7eae-11ed-b2cc-2de6cdc0f1de</t>
  </si>
  <si>
    <t>8a9435f0-7eb6-11ed-b2cc-2de6cdc0f1de</t>
  </si>
  <si>
    <t>1f7d1da0-7ebf-11ed-b2cc-2de6cdc0f1de</t>
  </si>
  <si>
    <t>5cb24f00-7ec5-11ed-b2cc-2de6cdc0f1de</t>
  </si>
  <si>
    <t>e15c63b0-7ecc-11ed-b2cc-2de6cdc0f1de</t>
  </si>
  <si>
    <t>6abca610-7ed7-11ed-b2cc-2de6cdc0f1de</t>
  </si>
  <si>
    <t>d6cf7090-7edb-11ed-b2cc-2de6cdc0f1de</t>
  </si>
  <si>
    <t>66ca2010-7ee0-11ed-b2cc-2de6cdc0f1de</t>
  </si>
  <si>
    <t>fcedf590-7ee4-11ed-b2cc-2de6cdc0f1de</t>
  </si>
  <si>
    <t>e7d1eb40-7ee8-11ed-b2cc-2de6cdc0f1de</t>
  </si>
  <si>
    <t>28d1d5b0-7eee-11ed-b2cc-2de6cdc0f1de</t>
  </si>
  <si>
    <t>819ba500-7ef2-11ed-b2cc-2de6cdc0f1de</t>
  </si>
  <si>
    <t>fcf8b0b0-7ef4-11ed-b2cc-2de6cdc0f1de</t>
  </si>
  <si>
    <t>46ec9660-7ef9-11ed-b2cc-2de6cdc0f1de</t>
  </si>
  <si>
    <t>ab75f220-7efe-11ed-b2cc-2de6cdc0f1de</t>
  </si>
  <si>
    <t>8a9f8420-7f04-11ed-b2cc-2de6cdc0f1de</t>
  </si>
  <si>
    <t>e2bb03b0-7f58-11ed-b744-e522fa077e67</t>
  </si>
  <si>
    <t>fe5f9ed0-7f64-11ed-b744-e522fa077e67</t>
  </si>
  <si>
    <t>ca1ee340-7f70-11ed-b744-e522fa077e67</t>
  </si>
  <si>
    <t>c960bb00-7f7e-11ed-b744-e522fa077e67</t>
  </si>
  <si>
    <t>7c395130-7f91-11ed-b744-e522fa077e67</t>
  </si>
  <si>
    <t>e9551350-7fad-11ed-b744-e522fa077e67</t>
  </si>
  <si>
    <t>4ebdbfa0-7fc0-11ed-b744-e522fa077e67</t>
  </si>
  <si>
    <t>966737c0-7fd2-11ed-b744-e522fa077e67</t>
  </si>
  <si>
    <t>2f632520-8027-11ed-be1d-d7f822a5a300</t>
  </si>
  <si>
    <t>57dda1e0-8038-11ed-be1d-d7f822a5a300</t>
  </si>
  <si>
    <t>7ed80b20-8045-11ed-be1d-d7f822a5a300</t>
  </si>
  <si>
    <t>683d6ec0-8057-11ed-be1d-d7f822a5a300</t>
  </si>
  <si>
    <t>be18da40-8067-11ed-be1d-d7f822a5a300</t>
  </si>
  <si>
    <t>fa57e040-8077-11ed-be1d-d7f822a5a300</t>
  </si>
  <si>
    <t>861fcfa0-8089-11ed-be1d-d7f822a5a300</t>
  </si>
  <si>
    <t>203c1fc0-809f-11ed-be1d-d7f822a5a300</t>
  </si>
  <si>
    <t>92f29010-80a6-11ed-be1d-d7f822a5a300</t>
  </si>
  <si>
    <t>b80b82c0-80ed-11ed-98f7-cd6321d04b41</t>
  </si>
  <si>
    <t>917f0570-80ff-11ed-98f7-cd6321d04b41</t>
  </si>
  <si>
    <t>40e869b0-810b-11ed-98f7-cd6321d04b41</t>
  </si>
  <si>
    <t>94874f80-8117-11ed-98f7-cd6321d04b41</t>
  </si>
  <si>
    <t>37438110-8124-11ed-98f7-cd6321d04b41</t>
  </si>
  <si>
    <t>ba118920-8133-11ed-98f7-cd6321d04b41</t>
  </si>
  <si>
    <t>fbac5630-8147-11ed-98f7-cd6321d04b41</t>
  </si>
  <si>
    <t>1ea4d780-815b-11ed-98f7-cd6321d04b41</t>
  </si>
  <si>
    <t>a3afd7a0-81b4-11ed-b3f2-0d9b8014e715</t>
  </si>
  <si>
    <t>57329b10-81c8-11ed-b3f2-0d9b8014e715</t>
  </si>
  <si>
    <t>6cbfffa0-81d6-11ed-b3f2-0d9b8014e715</t>
  </si>
  <si>
    <t>60cb36c0-81f3-11ed-b3f2-0d9b8014e715</t>
  </si>
  <si>
    <t>9cecb490-8201-11ed-b3f2-0d9b8014e715</t>
  </si>
  <si>
    <t>4b775090-8218-11ed-b3f2-0d9b8014e715</t>
  </si>
  <si>
    <t>be9df8c0-8228-11ed-b3f2-0d9b8014e715</t>
  </si>
  <si>
    <t>3a038e50-828b-11ed-94f8-8fd838373d86</t>
  </si>
  <si>
    <t>7d710410-8295-11ed-94f8-8fd838373d86</t>
  </si>
  <si>
    <t>62feeb20-82ad-11ed-94f8-8fd838373d86</t>
  </si>
  <si>
    <t>d5052f30-82bd-11ed-94f8-8fd838373d86</t>
  </si>
  <si>
    <t>28693da0-82c4-11ed-94f8-8fd838373d86</t>
  </si>
  <si>
    <t>3269c5e0-82ce-11ed-94f8-8fd838373d86</t>
  </si>
  <si>
    <t>cd564d60-82da-11ed-94f8-8fd838373d86</t>
  </si>
  <si>
    <t>2c1352b0-82ec-11ed-94f8-8fd838373d86</t>
  </si>
  <si>
    <t>379f47d0-82f4-11ed-94f8-8fd838373d86</t>
  </si>
  <si>
    <t>494561a0-8366-11ed-988a-dd3a242e5101</t>
  </si>
  <si>
    <t>3d4780c0-8372-11ed-988a-dd3a242e5101</t>
  </si>
  <si>
    <t>739b3140-837b-11ed-988a-dd3a242e5101</t>
  </si>
  <si>
    <t>e0e0c050-8388-11ed-988a-dd3a242e5101</t>
  </si>
  <si>
    <t>70e92a70-8398-11ed-988a-dd3a242e5101</t>
  </si>
  <si>
    <t>4b131af0-83a1-11ed-988a-dd3a242e5101</t>
  </si>
  <si>
    <t>b0b3dd50-83aa-11ed-988a-dd3a242e5101</t>
  </si>
  <si>
    <t>8787b3a0-8424-11ed-bd1b-af3bf86c572b</t>
  </si>
  <si>
    <t>fbbe8cf0-842c-11ed-bd1b-af3bf86c572b</t>
  </si>
  <si>
    <t>416fff40-8437-11ed-bd1b-af3bf86c572b</t>
  </si>
  <si>
    <t>a17b81c0-8441-11ed-bd1b-af3bf86c572b</t>
  </si>
  <si>
    <t>763aa850-844c-11ed-bd1b-af3bf86c572b</t>
  </si>
  <si>
    <t>d67e4310-845c-11ed-bd1b-af3bf86c572b</t>
  </si>
  <si>
    <t>defc4d30-846a-11ed-bd1b-af3bf86c572b</t>
  </si>
  <si>
    <t>335eb070-847f-11ed-bd1b-af3bf86c572b</t>
  </si>
  <si>
    <t>80e192d0-848f-11ed-bd1b-af3bf86c572b</t>
  </si>
  <si>
    <t>0c403ba0-84fa-11ed-92d4-e167244cafd6</t>
  </si>
  <si>
    <t>55de6690-8506-11ed-92d4-e167244cafd6</t>
  </si>
  <si>
    <t>c3db5430-8512-11ed-92d4-e167244cafd6</t>
  </si>
  <si>
    <t>c25b0e10-8518-11ed-92d4-e167244cafd6</t>
  </si>
  <si>
    <t>d45a1130-8525-11ed-92d4-e167244cafd6</t>
  </si>
  <si>
    <t>fe5ef3f0-8535-11ed-92d4-e167244cafd6</t>
  </si>
  <si>
    <t>8494c6d0-853f-11ed-92d4-e167244cafd6</t>
  </si>
  <si>
    <t>87ea0e80-854e-11ed-92d4-e167244cafd6</t>
  </si>
  <si>
    <t>a4289380-85b9-11ed-9408-6b0d62b3df16</t>
  </si>
  <si>
    <t>07e1dbc0-85c4-11ed-9408-6b0d62b3df16</t>
  </si>
  <si>
    <t>d2a29160-85ce-11ed-9408-6b0d62b3df16</t>
  </si>
  <si>
    <t>d3429cc0-85e0-11ed-9408-6b0d62b3df16</t>
  </si>
  <si>
    <t>1b68d510-85ea-11ed-9408-6b0d62b3df16</t>
  </si>
  <si>
    <t>c05e43a0-7cc8-11ed-b3a2-67ec66eebf0a</t>
  </si>
  <si>
    <t>67bd09f0-7ccf-11ed-b3a2-67ec66eebf0a</t>
  </si>
  <si>
    <t>2f11bcc0-7ce5-11ed-b3a2-67ec66eebf0a</t>
  </si>
  <si>
    <t>71fd18f0-7ce9-11ed-b3a2-67ec66eebf0a</t>
  </si>
  <si>
    <t>cf0ba390-7cfd-11ed-b3a2-67ec66eebf0a</t>
  </si>
  <si>
    <t>e9766de0-7d03-11ed-b3a2-67ec66eebf0a</t>
  </si>
  <si>
    <t>c06f3350-7d67-11ed-8917-1f12735a56d3</t>
  </si>
  <si>
    <t>4b92f470-7d6e-11ed-8917-1f12735a56d3</t>
  </si>
  <si>
    <t>61eb1cb0-7d74-11ed-8917-1f12735a56d3</t>
  </si>
  <si>
    <t>444af320-7d7d-11ed-8917-1f12735a56d3</t>
  </si>
  <si>
    <t>4173ee40-7d91-11ed-8917-1f12735a56d3</t>
  </si>
  <si>
    <t>d162f310-7d97-11ed-8917-1f12735a56d3</t>
  </si>
  <si>
    <t>287aa590-7d9c-11ed-8917-1f12735a56d3</t>
  </si>
  <si>
    <t>06674360-7da5-11ed-8917-1f12735a56d3</t>
  </si>
  <si>
    <t>68abdf40-7daa-11ed-8917-1f12735a56d3</t>
  </si>
  <si>
    <t>b31a8850-7db0-11ed-8917-1f12735a56d3</t>
  </si>
  <si>
    <t>d0e396d0-7dcc-11ed-8917-1f12735a56d3</t>
  </si>
  <si>
    <t>beaff050-7dd9-11ed-8917-1f12735a56d3</t>
  </si>
  <si>
    <t>7a9feea0-7df3-11ed-8917-1f12735a56d3</t>
  </si>
  <si>
    <t>de06c360-7df8-11ed-8917-1f12735a56d3</t>
  </si>
  <si>
    <t>3e3caf40-7e19-11ed-8917-1f12735a56d3</t>
  </si>
  <si>
    <t>bf1d3b00-7e2f-11ed-8917-1f12735a56d3</t>
  </si>
  <si>
    <t>85628b90-7e43-11ed-8917-1f12735a56d3</t>
  </si>
  <si>
    <t>6ed2a820-7e56-11ed-8917-1f12735a56d3</t>
  </si>
  <si>
    <t>d034a1a0-7e5a-11ed-8917-1f12735a56d3</t>
  </si>
  <si>
    <t>6dd1bc70-7e62-11ed-8917-1f12735a56d3</t>
  </si>
  <si>
    <t>97ea92d0-7e66-11ed-8917-1f12735a56d3</t>
  </si>
  <si>
    <t>6eefcb10-7e6c-11ed-8917-1f12735a56d3</t>
  </si>
  <si>
    <t>43f6e960-7e72-11ed-8917-1f12735a56d3</t>
  </si>
  <si>
    <t>9ebcb2f0-7e7a-11ed-8917-1f12735a56d3</t>
  </si>
  <si>
    <t>5ab68c60-7e80-11ed-8917-1f12735a56d3</t>
  </si>
  <si>
    <t>283fada0-7e87-11ed-8917-1f12735a56d3</t>
  </si>
  <si>
    <t>06e91db0-7e8e-11ed-8917-1f12735a56d3</t>
  </si>
  <si>
    <t>a183fc60-7e92-11ed-8917-1f12735a56d3</t>
  </si>
  <si>
    <t>b1ab9680-7e96-11ed-8917-1f12735a56d3</t>
  </si>
  <si>
    <t>715040c0-7ea2-11ed-8917-1f12735a56d3</t>
  </si>
  <si>
    <t>8905af10-7ea8-11ed-8917-1f12735a56d3</t>
  </si>
  <si>
    <t>03163630-7eae-11ed-8917-1f12735a56d3</t>
  </si>
  <si>
    <t>864ee090-7eb5-11ed-8917-1f12735a56d3</t>
  </si>
  <si>
    <t>c02137e0-7ebb-11ed-8917-1f12735a56d3</t>
  </si>
  <si>
    <t>d089b620-7ec0-11ed-8917-1f12735a56d3</t>
  </si>
  <si>
    <t>de8572c0-7ec8-11ed-8917-1f12735a56d3</t>
  </si>
  <si>
    <t>f6b54130-7ece-11ed-8917-1f12735a56d3</t>
  </si>
  <si>
    <t>c91e0360-7ed3-11ed-8917-1f12735a56d3</t>
  </si>
  <si>
    <t>4a2c1780-7ed9-11ed-8917-1f12735a56d3</t>
  </si>
  <si>
    <t>dcce4050-7edd-11ed-8917-1f12735a56d3</t>
  </si>
  <si>
    <t>a3994400-7ee3-11ed-8917-1f12735a56d3</t>
  </si>
  <si>
    <t>d5134b30-7ee7-11ed-8917-1f12735a56d3</t>
  </si>
  <si>
    <t>33b15f30-7eeb-11ed-8917-1f12735a56d3</t>
  </si>
  <si>
    <t>43a8afa0-7ef1-11ed-8917-1f12735a56d3</t>
  </si>
  <si>
    <t>b9b8d140-7f03-11ed-8917-1f12735a56d3</t>
  </si>
  <si>
    <t>ea038360-7f0b-11ed-8917-1f12735a56d3</t>
  </si>
  <si>
    <t>736cbbe0-7f15-11ed-8917-1f12735a56d3</t>
  </si>
  <si>
    <t>54c0b280-7f1c-11ed-8917-1f12735a56d3</t>
  </si>
  <si>
    <t>baf7c170-7f25-11ed-8917-1f12735a56d3</t>
  </si>
  <si>
    <t>732d86a0-7f2e-11ed-8917-1f12735a56d3</t>
  </si>
  <si>
    <t>67dac190-7f34-11ed-8917-1f12735a56d3</t>
  </si>
  <si>
    <t>880c5880-7f38-11ed-8917-1f12735a56d3</t>
  </si>
  <si>
    <t>454da610-7f3e-11ed-8917-1f12735a56d3</t>
  </si>
  <si>
    <t>ebfbf630-7f46-11ed-8917-1f12735a56d3</t>
  </si>
  <si>
    <t>64edb4f0-7f4e-11ed-8917-1f12735a56d3</t>
  </si>
  <si>
    <t>4e4be310-7f54-11ed-8917-1f12735a56d3</t>
  </si>
  <si>
    <t>dd5a24d0-7f5a-11ed-8917-1f12735a56d3</t>
  </si>
  <si>
    <t>31b5a810-7f60-11ed-8917-1f12735a56d3</t>
  </si>
  <si>
    <t>6ed2da10-7f65-11ed-8917-1f12735a56d3</t>
  </si>
  <si>
    <t>53ed8030-7f6d-11ed-8917-1f12735a56d3</t>
  </si>
  <si>
    <t>afd39bf0-7f77-11ed-8917-1f12735a56d3</t>
  </si>
  <si>
    <t>eeb44fe0-7f7c-11ed-8917-1f12735a56d3</t>
  </si>
  <si>
    <t>13f8c560-7f82-11ed-8917-1f12735a56d3</t>
  </si>
  <si>
    <t>5bd23a10-7f87-11ed-8917-1f12735a56d3</t>
  </si>
  <si>
    <t>1b4b4f30-7f8d-11ed-8917-1f12735a56d3</t>
  </si>
  <si>
    <t>2c69aff0-7f92-11ed-8917-1f12735a56d3</t>
  </si>
  <si>
    <t>c174e980-7f96-11ed-8917-1f12735a56d3</t>
  </si>
  <si>
    <t>0d8ebfa0-7f9f-11ed-8917-1f12735a56d3</t>
  </si>
  <si>
    <t>4d1df880-7fa3-11ed-8917-1f12735a56d3</t>
  </si>
  <si>
    <t>8d1a3920-7fa9-11ed-8917-1f12735a56d3</t>
  </si>
  <si>
    <t>d78e07c0-7fae-11ed-8917-1f12735a56d3</t>
  </si>
  <si>
    <t>7305b510-7fb7-11ed-8917-1f12735a56d3</t>
  </si>
  <si>
    <t>093d7d30-7fbb-11ed-8917-1f12735a56d3</t>
  </si>
  <si>
    <t>dc54d970-7fc0-11ed-8917-1f12735a56d3</t>
  </si>
  <si>
    <t>b05c4590-7fc7-11ed-8917-1f12735a56d3</t>
  </si>
  <si>
    <t>0b69dfd0-7fcb-11ed-8917-1f12735a56d3</t>
  </si>
  <si>
    <t>59dd8bd0-7fd0-11ed-8917-1f12735a56d3</t>
  </si>
  <si>
    <t>dbcf8cc0-7fd4-11ed-8917-1f12735a56d3</t>
  </si>
  <si>
    <t>9b2b7590-7fdd-11ed-8917-1f12735a56d3</t>
  </si>
  <si>
    <t>3de026b0-7fe2-11ed-8917-1f12735a56d3</t>
  </si>
  <si>
    <t>9a476810-7fe6-11ed-8917-1f12735a56d3</t>
  </si>
  <si>
    <t>cca83050-7feb-11ed-8917-1f12735a56d3</t>
  </si>
  <si>
    <t>c7e2d150-7ff1-11ed-8917-1f12735a56d3</t>
  </si>
  <si>
    <t>55737b20-7ff5-11ed-8917-1f12735a56d3</t>
  </si>
  <si>
    <t>aa6487a0-7ffa-11ed-8917-1f12735a56d3</t>
  </si>
  <si>
    <t>924707b0-7fff-11ed-8917-1f12735a56d3</t>
  </si>
  <si>
    <t>39c79bf0-8008-11ed-8917-1f12735a56d3</t>
  </si>
  <si>
    <t>e0f98d40-800b-11ed-8917-1f12735a56d3</t>
  </si>
  <si>
    <t>51eee970-800f-11ed-8917-1f12735a56d3</t>
  </si>
  <si>
    <t>e0afaed0-8012-11ed-8917-1f12735a56d3</t>
  </si>
  <si>
    <t>8f0775a0-8016-11ed-8917-1f12735a56d3</t>
  </si>
  <si>
    <t>df834320-801a-11ed-8917-1f12735a56d3</t>
  </si>
  <si>
    <t>b5800180-801f-11ed-8917-1f12735a56d3</t>
  </si>
  <si>
    <t>ca5e9730-8027-11ed-8917-1f12735a56d3</t>
  </si>
  <si>
    <t>1b5bf0c0-802c-11ed-8917-1f12735a56d3</t>
  </si>
  <si>
    <t>6c390d90-802f-11ed-8917-1f12735a56d3</t>
  </si>
  <si>
    <t>837cce50-8035-11ed-8917-1f12735a56d3</t>
  </si>
  <si>
    <t>c76a7f50-8039-11ed-8917-1f12735a56d3</t>
  </si>
  <si>
    <t>dc976370-803e-11ed-8917-1f12735a56d3</t>
  </si>
  <si>
    <t>a599cb70-8042-11ed-8917-1f12735a56d3</t>
  </si>
  <si>
    <t>f8a3d300-8048-11ed-8917-1f12735a56d3</t>
  </si>
  <si>
    <t>30fa2e20-804e-11ed-8917-1f12735a56d3</t>
  </si>
  <si>
    <t>17f9a460-8057-11ed-8917-1f12735a56d3</t>
  </si>
  <si>
    <t>bfac5710-805d-11ed-8917-1f12735a56d3</t>
  </si>
  <si>
    <t>382cef60-8063-11ed-8917-1f12735a56d3</t>
  </si>
  <si>
    <t>38af4c80-8068-11ed-8917-1f12735a56d3</t>
  </si>
  <si>
    <t>b1cd79d0-806c-11ed-8917-1f12735a56d3</t>
  </si>
  <si>
    <t>bcfb29b0-8071-11ed-8917-1f12735a56d3</t>
  </si>
  <si>
    <t>8996e840-8079-11ed-8917-1f12735a56d3</t>
  </si>
  <si>
    <t>2a3b9dc0-8081-11ed-8917-1f12735a56d3</t>
  </si>
  <si>
    <t>2f05fa40-8085-11ed-8917-1f12735a56d3</t>
  </si>
  <si>
    <t>2021bf20-808d-11ed-8917-1f12735a56d3</t>
  </si>
  <si>
    <t>8d39a720-809d-11ed-8917-1f12735a56d3</t>
  </si>
  <si>
    <t>4ef4bd00-80a3-11ed-8917-1f12735a56d3</t>
  </si>
  <si>
    <t>65e566a0-80a7-11ed-8917-1f12735a56d3</t>
  </si>
  <si>
    <t>5a47bd40-80aa-11ed-8917-1f12735a56d3</t>
  </si>
  <si>
    <t>0dfdb8f0-80ae-11ed-8917-1f12735a56d3</t>
  </si>
  <si>
    <t>7fd852c0-80b6-11ed-8917-1f12735a56d3</t>
  </si>
  <si>
    <t>e15682a0-80c1-11ed-8917-1f12735a56d3</t>
  </si>
  <si>
    <t>30e9bd80-80c9-11ed-8917-1f12735a56d3</t>
  </si>
  <si>
    <t>82844c00-80ce-11ed-8917-1f12735a56d3</t>
  </si>
  <si>
    <t>8b88b340-80d3-11ed-8917-1f12735a56d3</t>
  </si>
  <si>
    <t>77dbc950-80d7-11ed-8917-1f12735a56d3</t>
  </si>
  <si>
    <t>1806b7c0-80db-11ed-8917-1f12735a56d3</t>
  </si>
  <si>
    <t>13288b80-80df-11ed-8917-1f12735a56d3</t>
  </si>
  <si>
    <t>1c1b0de0-80e3-11ed-8917-1f12735a56d3</t>
  </si>
  <si>
    <t>66eb4270-80ea-11ed-8917-1f12735a56d3</t>
  </si>
  <si>
    <t>b84a75a0-80ef-11ed-8917-1f12735a56d3</t>
  </si>
  <si>
    <t>3fe72850-80f5-11ed-8917-1f12735a56d3</t>
  </si>
  <si>
    <t>25df79b0-80fc-11ed-8917-1f12735a56d3</t>
  </si>
  <si>
    <t>6cee19c0-8100-11ed-8917-1f12735a56d3</t>
  </si>
  <si>
    <t>c9042350-8103-11ed-8917-1f12735a56d3</t>
  </si>
  <si>
    <t>d125a7d0-810c-11ed-8917-1f12735a56d3</t>
  </si>
  <si>
    <t>243f8680-8116-11ed-8917-1f12735a56d3</t>
  </si>
  <si>
    <t>88b6ab10-8121-11ed-8917-1f12735a56d3</t>
  </si>
  <si>
    <t>31b2fc20-8125-11ed-8917-1f12735a56d3</t>
  </si>
  <si>
    <t>1b0b21b0-8129-11ed-8917-1f12735a56d3</t>
  </si>
  <si>
    <t>adbbc440-813f-11ed-8917-1f12735a56d3</t>
  </si>
  <si>
    <t>ad286440-8147-11ed-8917-1f12735a56d3</t>
  </si>
  <si>
    <t>42be2360-8174-11ed-8a95-7581da9bf007</t>
  </si>
  <si>
    <t>6d8ace80-817a-11ed-8a95-7581da9bf007</t>
  </si>
  <si>
    <t>496dabe0-817e-11ed-8a95-7581da9bf007</t>
  </si>
  <si>
    <t>39525380-818a-11ed-8a95-7581da9bf007</t>
  </si>
  <si>
    <t>20c5a190-8190-11ed-8a95-7581da9bf007</t>
  </si>
  <si>
    <t>6ba37210-8194-11ed-8a95-7581da9bf007</t>
  </si>
  <si>
    <t>7b007e50-819a-11ed-8a95-7581da9bf007</t>
  </si>
  <si>
    <t>2285f160-819f-11ed-8a95-7581da9bf007</t>
  </si>
  <si>
    <t>d7e47020-81a6-11ed-8a95-7581da9bf007</t>
  </si>
  <si>
    <t>0751cc80-81ad-11ed-8a95-7581da9bf007</t>
  </si>
  <si>
    <t>84597390-81b2-11ed-8a95-7581da9bf007</t>
  </si>
  <si>
    <t>f0517f90-81b5-11ed-8a95-7581da9bf007</t>
  </si>
  <si>
    <t>4b5751a0-81b9-11ed-8a95-7581da9bf007</t>
  </si>
  <si>
    <t>079b32f0-81ec-11ed-87d0-8d6559ebee4a</t>
  </si>
  <si>
    <t>cf749960-81f1-11ed-87d0-8d6559ebee4a</t>
  </si>
  <si>
    <t>bf61b430-81f7-11ed-87d0-8d6559ebee4a</t>
  </si>
  <si>
    <t>69dc6080-81fe-11ed-87d0-8d6559ebee4a</t>
  </si>
  <si>
    <t>ecfb6fc0-8202-11ed-87d0-8d6559ebee4a</t>
  </si>
  <si>
    <t>ce0373d0-820a-11ed-87d0-8d6559ebee4a</t>
  </si>
  <si>
    <t>153f8520-8212-11ed-87d0-8d6559ebee4a</t>
  </si>
  <si>
    <t>6b17d9d0-8216-11ed-87d0-8d6559ebee4a</t>
  </si>
  <si>
    <t>bd0db9a0-8219-11ed-87d0-8d6559ebee4a</t>
  </si>
  <si>
    <t>ddd7a380-821e-11ed-87d0-8d6559ebee4a</t>
  </si>
  <si>
    <t>ce29cc40-8225-11ed-87d0-8d6559ebee4a</t>
  </si>
  <si>
    <t>d145e710-822a-11ed-87d0-8d6559ebee4a</t>
  </si>
  <si>
    <t>428db310-8d31-11ed-8114-39d07361f9a4</t>
  </si>
  <si>
    <t>fda56d10-8d3a-11ed-8114-39d07361f9a4</t>
  </si>
  <si>
    <t>691a9b30-8d43-11ed-8114-39d07361f9a4</t>
  </si>
  <si>
    <t>bfdc8ec0-8d56-11ed-8114-39d07361f9a4</t>
  </si>
  <si>
    <t>97c78890-8d5b-11ed-8114-39d07361f9a4</t>
  </si>
  <si>
    <t>815e87b0-8d66-11ed-8114-39d07361f9a4</t>
  </si>
  <si>
    <t>4bc93cd0-8d6b-11ed-8114-39d07361f9a4</t>
  </si>
  <si>
    <t>fa13e440-8d6e-11ed-8114-39d07361f9a4</t>
  </si>
  <si>
    <t>7f3e61a0-8d78-11ed-8114-39d07361f9a4</t>
  </si>
  <si>
    <t>1ef73b10-8d81-11ed-8114-39d07361f9a4</t>
  </si>
  <si>
    <t>99898990-8e7c-11ed-bc03-33f16aeebaf4</t>
  </si>
  <si>
    <t>01828fa0-8e8d-11ed-bc03-33f16aeebaf4</t>
  </si>
  <si>
    <t>dab38f40-8e97-11ed-bc03-33f16aeebaf4</t>
  </si>
  <si>
    <t>e5c623c0-8ea1-11ed-bc03-33f16aeebaf4</t>
  </si>
  <si>
    <t>d30bf2b0-8eaf-11ed-bc03-33f16aeebaf4</t>
  </si>
  <si>
    <t>f667e200-8ec8-11ed-bc03-33f16aeebaf4</t>
  </si>
  <si>
    <t>b0e1b5b0-8ecf-11ed-bc03-33f16aeebaf4</t>
  </si>
  <si>
    <t>dc902d70-8da5-11ed-a1a3-a5a6cfa5f370</t>
  </si>
  <si>
    <t>406d6020-8daa-11ed-a1a3-a5a6cfa5f370</t>
  </si>
  <si>
    <t>590c1d00-8db0-11ed-a1a3-a5a6cfa5f370</t>
  </si>
  <si>
    <t>e4cf7cb0-8dba-11ed-a1a3-a5a6cfa5f370</t>
  </si>
  <si>
    <t>1a7f7a80-8dc1-11ed-a1a3-a5a6cfa5f370</t>
  </si>
  <si>
    <t>efec8260-8dcd-11ed-a1a3-a5a6cfa5f370</t>
  </si>
  <si>
    <t>73a4c460-8dd2-11ed-a1a3-a5a6cfa5f370</t>
  </si>
  <si>
    <t>8e83fb60-8dd8-11ed-a1a3-a5a6cfa5f370</t>
  </si>
  <si>
    <t>59717fa0-8dde-11ed-a1a3-a5a6cfa5f370</t>
  </si>
  <si>
    <t>42f3d690-8def-11ed-a1a3-a5a6cfa5f370</t>
  </si>
  <si>
    <t>a36e27d0-8df6-11ed-a1a3-a5a6cfa5f370</t>
  </si>
  <si>
    <t>2cb1fa40-8d8d-11ed-b8cb-734f9b8f3386</t>
  </si>
  <si>
    <t>15785530-8d93-11ed-b8cb-734f9b8f3386</t>
  </si>
  <si>
    <t>9a618b30-8d99-11ed-b8cb-734f9b8f3386</t>
  </si>
  <si>
    <t>0c00b390-8dab-11ed-b8cb-734f9b8f3386</t>
  </si>
  <si>
    <t>57faad00-8db0-11ed-b8cb-734f9b8f3386</t>
  </si>
  <si>
    <t>479641e0-8db5-11ed-b8cb-734f9b8f3386</t>
  </si>
  <si>
    <t>a917ac70-8dc8-11ed-b8cb-734f9b8f3386</t>
  </si>
  <si>
    <t>057b4780-8dd1-11ed-b8cb-734f9b8f3386</t>
  </si>
  <si>
    <t>c65109a0-8dda-11ed-b8cb-734f9b8f3386</t>
  </si>
  <si>
    <t>8400a960-8de0-11ed-b8cb-734f9b8f3386</t>
  </si>
  <si>
    <t>74230630-8e00-11ed-b8cb-734f9b8f3386</t>
  </si>
  <si>
    <t>134cf800-8e07-11ed-b8cb-734f9b8f3386</t>
  </si>
  <si>
    <t>e2c0cc10-8e2a-11ed-b8cb-734f9b8f3386</t>
  </si>
  <si>
    <t>1f7d1200-8e33-11ed-b8cb-734f9b8f3386</t>
  </si>
  <si>
    <t>a9990340-8e3d-11ed-b8cb-734f9b8f3386</t>
  </si>
  <si>
    <t>63e4a8c0-8e49-11ed-b8cb-734f9b8f3386</t>
  </si>
  <si>
    <t>e0c458a0-8e52-11ed-b8cb-734f9b8f3386</t>
  </si>
  <si>
    <t>1110a350-8e59-11ed-b8cb-734f9b8f3386</t>
  </si>
  <si>
    <t>3bb1c710-8e5e-11ed-b8cb-734f9b8f3386</t>
  </si>
  <si>
    <t>846a5de0-8e73-11ed-86fc-fd94d9c4fce8</t>
  </si>
  <si>
    <t>b645bdf0-8e82-11ed-86fc-fd94d9c4fce8</t>
  </si>
  <si>
    <t>a195a290-8e8b-11ed-86fc-fd94d9c4fce8</t>
  </si>
  <si>
    <t>f4875540-8e93-11ed-86fc-fd94d9c4fce8</t>
  </si>
  <si>
    <t>eb04f350-8ead-11ed-86fc-fd94d9c4fce8</t>
  </si>
  <si>
    <t>d6754880-8ec7-11ed-86fc-fd94d9c4fce8</t>
  </si>
  <si>
    <t>7f6e6ad0-8f03-11ed-86fc-fd94d9c4fce8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</si>
</sst>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8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11" totalsRowShown="0">
  <autoFilter ref="A1:AJ211" xr:uid="{00000000-0009-0000-0100-000001000000}"/>
  <tableColumns count="36">
    <tableColumn id="1" xr3:uid="{00000000-0010-0000-0000-000001000000}" name="battle" dataDxfId="1814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57" totalsRowShown="0">
  <autoFilter ref="A1:AB57" xr:uid="{00000000-0009-0000-0100-000001000000}"/>
  <tableColumns count="28">
    <tableColumn id="1" xr3:uid="{BC50D7B9-B62B-437D-84CB-40D98C013997}" name="battle" dataDxfId="1791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77" headerRowBorderDxfId="1276" tableBorderDxfId="1275" totalsRowBorderDxfId="1274">
  <autoFilter ref="K17:O20" xr:uid="{01E0B516-A92C-45D4-946B-0FCF2F31D98A}"/>
  <tableColumns count="5">
    <tableColumn id="1" xr3:uid="{F1A34086-91B1-448A-A581-8C7A371A6B38}" name="ability" dataDxfId="1273"/>
    <tableColumn id="2" xr3:uid="{1CA216CA-0230-4993-9DF5-190FC3A6530D}" name="takes" dataDxfId="1272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71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70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69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68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67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66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65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64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63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62" headerRowBorderDxfId="1261" tableBorderDxfId="1260" totalsRowBorderDxfId="1259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58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57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56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55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54" headerRowBorderDxfId="1253" tableBorderDxfId="1252" totalsRowBorderDxfId="1251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50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49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48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47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46" headerRowBorderDxfId="1245" tableBorderDxfId="1244" totalsRowBorderDxfId="1243">
  <autoFilter ref="K38:O41" xr:uid="{A1F38E75-59DE-4DB4-B81C-C0322397F6F7}"/>
  <tableColumns count="5">
    <tableColumn id="1" xr3:uid="{74357A07-E8F9-4439-8A7D-C51B3289B074}" name="ability" dataDxfId="1242"/>
    <tableColumn id="2" xr3:uid="{2B46AB72-5070-479E-BA92-0EA40B2FAD9A}" name="takes" dataDxfId="1241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40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39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38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37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36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35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34">
      <calculatedColumnFormula>COUNTIF(Scenario2[winner1-ability1],DruidAbilities1Scenario2[[#This Row],[ability]])</calculatedColumnFormula>
    </tableColumn>
    <tableColumn id="5" xr3:uid="{8E619ED0-484C-4412-A819-C4816A1E0005}" name="battles-take-rate" dataDxfId="1233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32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31" headerRowBorderDxfId="1230" tableBorderDxfId="1229" totalsRowBorderDxfId="1228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27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26">
      <calculatedColumnFormula>COUNTIF(Scenario2[winner1-ability2],DruidAbilities2Scenario2[[#This Row],[ability]])</calculatedColumnFormula>
    </tableColumn>
    <tableColumn id="4" xr3:uid="{DD2FBF56-CB12-4887-A4B2-BB3C9B0B611A}" name="battles-take-rate" dataDxfId="1225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24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23" headerRowBorderDxfId="1222" tableBorderDxfId="1221" totalsRowBorderDxfId="1220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19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18">
      <calculatedColumnFormula>COUNTIF(Scenario2[winner1-ability3],DruidAbilities3Scenario2[[#This Row],[ability]])</calculatedColumnFormula>
    </tableColumn>
    <tableColumn id="4" xr3:uid="{17A59155-4BEE-4B00-A77D-54C7568B711B}" name="battles-take-rate" dataDxfId="1217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16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90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89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88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15" headerRowBorderDxfId="1214" tableBorderDxfId="1213" totalsRowBorderDxfId="1212">
  <autoFilter ref="K59:O62" xr:uid="{DDB7F110-02A6-4F67-8266-251AF48CB7C0}"/>
  <tableColumns count="5">
    <tableColumn id="1" xr3:uid="{963218A6-E2C8-468F-A480-18EABD6D01C3}" name="ability" dataDxfId="1211"/>
    <tableColumn id="2" xr3:uid="{B7AE8A89-2A8C-49AF-8D96-6C1AB2DACE14}" name="takes" dataDxfId="1210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209">
      <calculatedColumnFormula>COUNTIF(Scenario2[winner1-ability4],DruidAbilities4Scenario2[[#This Row],[ability]])</calculatedColumnFormula>
    </tableColumn>
    <tableColumn id="4" xr3:uid="{AA29BEEB-A7D2-4818-96D2-39227A3BFA6F}" name="battles-take-rate" dataDxfId="1208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207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206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205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204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203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202">
      <calculatedColumnFormula>COUNTIF(Scenario3[winner1-ability1],DruidAbilities1Scenario3[[#This Row],[ability]])</calculatedColumnFormula>
    </tableColumn>
    <tableColumn id="5" xr3:uid="{4FF89EE2-8630-4141-AE21-A771AD1A9EF8}" name="battles-take-rate" dataDxfId="1201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200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199" headerRowBorderDxfId="1198" tableBorderDxfId="1197" totalsRowBorderDxfId="1196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195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194">
      <calculatedColumnFormula>COUNTIF(Scenario3[winner1-ability2],DruidAbilities2Scenario3[[#This Row],[ability]])</calculatedColumnFormula>
    </tableColumn>
    <tableColumn id="4" xr3:uid="{59808BF5-1BB2-4D2F-A36A-8FCA1917F73C}" name="battles-take-rate" dataDxfId="1193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92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91" headerRowBorderDxfId="1190" tableBorderDxfId="1189" totalsRowBorderDxfId="1188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87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86">
      <calculatedColumnFormula>COUNTIF(Scenario3[winner1-ability3],DruidAbilities3Scenario3[[#This Row],[ability]])</calculatedColumnFormula>
    </tableColumn>
    <tableColumn id="4" xr3:uid="{56EE8E9D-0B38-4F3C-A706-DF801F6E782A}" name="battles-take-rate" dataDxfId="1185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84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83" headerRowBorderDxfId="1182" tableBorderDxfId="1181" totalsRowBorderDxfId="1180">
  <autoFilter ref="K80:O83" xr:uid="{6C814871-D00E-4AC2-ABE0-4B3892D7F0AE}"/>
  <tableColumns count="5">
    <tableColumn id="1" xr3:uid="{B336BFD3-C277-43F6-97B4-769FAB55ABA9}" name="ability" dataDxfId="1179"/>
    <tableColumn id="2" xr3:uid="{5DC7BD53-CE7F-4C9C-B8BB-D410EDE17928}" name="takes" dataDxfId="1178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77">
      <calculatedColumnFormula>COUNTIF(Scenario3[winner1-ability4],DruidAbilities4Scenario3[[#This Row],[ability]])</calculatedColumnFormula>
    </tableColumn>
    <tableColumn id="4" xr3:uid="{B9D09778-1506-47CB-BB1F-A00AE865D740}" name="battles-take-rate" dataDxfId="1176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75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74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73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72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71">
      <calculatedColumnFormula>COUNTIF(Scenario4[winner1-ability1],DruidAbilities1Scenario4[[#This Row],[ability]])</calculatedColumnFormula>
    </tableColumn>
    <tableColumn id="5" xr3:uid="{06AAF157-CF91-4862-9B21-2300847F6670}" name="battles-take-rate" dataDxfId="1170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69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68" headerRowBorderDxfId="1167" tableBorderDxfId="1166" totalsRowBorderDxfId="1165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64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63">
      <calculatedColumnFormula>COUNTIF(Scenario4[winner1-ability2],DruidAbilities2Scenario4[[#This Row],[ability]])</calculatedColumnFormula>
    </tableColumn>
    <tableColumn id="4" xr3:uid="{FF69DC1A-7A6E-47CC-BBE3-E23DADEF715C}" name="battles-take-rate" dataDxfId="1162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61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87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86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85" totalsRowDxfId="1784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60" headerRowBorderDxfId="1159" tableBorderDxfId="1158" totalsRowBorderDxfId="1157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56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55">
      <calculatedColumnFormula>COUNTIF(Scenario4[winner1-ability3],DruidAbilities3Scenario4[[#This Row],[ability]])</calculatedColumnFormula>
    </tableColumn>
    <tableColumn id="4" xr3:uid="{E1D61A81-525A-4DC1-B6E9-25C258725BE6}" name="battles-take-rate" dataDxfId="1154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53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52" headerRowBorderDxfId="1151" tableBorderDxfId="1150" totalsRowBorderDxfId="1149">
  <autoFilter ref="K101:O104" xr:uid="{BCDE9ED1-1F22-42AC-AE3B-C1EED0842896}"/>
  <tableColumns count="5">
    <tableColumn id="1" xr3:uid="{DB6EB367-D24F-401C-919C-82D3EAEA2086}" name="ability" dataDxfId="1148"/>
    <tableColumn id="2" xr3:uid="{BBEB468B-4705-4289-A434-105410CC5CFC}" name="takes" dataDxfId="1147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46">
      <calculatedColumnFormula>COUNTIF(Scenario4[winner1-ability4],DruidAbilities4Scenario4[[#This Row],[ability]])</calculatedColumnFormula>
    </tableColumn>
    <tableColumn id="4" xr3:uid="{8295F0F3-E629-4A87-A950-FDB997C5BE5E}" name="battles-take-rate" dataDxfId="1145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44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43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42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41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40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39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38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37" headerRowBorderDxfId="1136" tableBorderDxfId="1135" totalsRowBorderDxfId="1134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33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32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31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30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29" headerRowBorderDxfId="1128" tableBorderDxfId="1127" totalsRowBorderDxfId="1126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25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24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23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22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21" headerRowBorderDxfId="1120" tableBorderDxfId="1119" totalsRowBorderDxfId="1118">
  <autoFilter ref="K122:O125" xr:uid="{2FAABC51-3ED7-410E-B39C-5A68AC6ED2E4}"/>
  <tableColumns count="5">
    <tableColumn id="1" xr3:uid="{7F722AC3-75F6-45B3-9190-827293B02D4C}" name="ability" dataDxfId="1117"/>
    <tableColumn id="2" xr3:uid="{683FB055-6956-496F-A0E9-5C2E73881138}" name="takes" dataDxfId="1116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15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14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113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112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111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110">
      <calculatedColumnFormula>L3+L24+L45+L66+L87+L108</calculatedColumnFormula>
    </tableColumn>
    <tableColumn id="4" xr3:uid="{EC3B8EC8-1BFA-48CF-8CDE-94C6F7C34CA6}" name="wins" dataDxfId="1109">
      <calculatedColumnFormula>M3+M24+M45+M66+M87+M108</calculatedColumnFormula>
    </tableColumn>
    <tableColumn id="5" xr3:uid="{F0960502-C6CE-4EB1-BD9C-74EF7F619CEB}" name="battles-take-rate" dataDxfId="1108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107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106" headerRowBorderDxfId="1105" tableBorderDxfId="1104" totalsRowBorderDxfId="1103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102">
      <calculatedColumnFormula>L8+L29+L50+L71+L92+L113</calculatedColumnFormula>
    </tableColumn>
    <tableColumn id="3" xr3:uid="{DC8F8E66-B8EB-483C-B2BE-7C9B2A81E076}" name="wins" dataDxfId="1101">
      <calculatedColumnFormula>M8+M29+M50+M71+M92+M113</calculatedColumnFormula>
    </tableColumn>
    <tableColumn id="4" xr3:uid="{5AD9DA06-82FA-4EF9-BFCA-BF0FFFF88911}" name="battles-take-rate" dataDxfId="1100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099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71" totalsRowShown="0">
  <autoFilter ref="A1:AJ71" xr:uid="{00000000-0009-0000-0100-000001000000}"/>
  <tableColumns count="36">
    <tableColumn id="1" xr3:uid="{BCD668BC-EA15-4124-A76A-A95AB955ABF3}" name="battle" dataDxfId="1783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098" headerRowBorderDxfId="1097" tableBorderDxfId="1096" totalsRowBorderDxfId="1095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094">
      <calculatedColumnFormula>L13+L34+L55+L76+L97+L118</calculatedColumnFormula>
    </tableColumn>
    <tableColumn id="3" xr3:uid="{C0F69861-77B3-4AAF-8D53-36D42207F13D}" name="wins" dataDxfId="1093">
      <calculatedColumnFormula>M13+M34+M55+M76+M97+M118</calculatedColumnFormula>
    </tableColumn>
    <tableColumn id="4" xr3:uid="{17EE2411-F535-4C09-9682-1BE2E263BF38}" name="battles-take-rate" dataDxfId="1092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91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90" headerRowBorderDxfId="1089" tableBorderDxfId="1088" totalsRowBorderDxfId="1087">
  <autoFilter ref="A17:E20" xr:uid="{2AADA4A0-2F4A-4009-8ECF-0BECA693390C}"/>
  <tableColumns count="5">
    <tableColumn id="1" xr3:uid="{5859F4D6-E405-494D-9495-456C2A717042}" name="ability" dataDxfId="1086"/>
    <tableColumn id="2" xr3:uid="{13382877-AB77-41B2-B30F-FD8ADF1868AD}" name="takes" dataDxfId="1085">
      <calculatedColumnFormula>L18+L39+L60+L81+L102+L123</calculatedColumnFormula>
    </tableColumn>
    <tableColumn id="3" xr3:uid="{56A52BF0-1C62-4182-A5FB-18D3BE10282A}" name="wins" dataDxfId="1084">
      <calculatedColumnFormula>M18+M39+M60+M81+M102+M123</calculatedColumnFormula>
    </tableColumn>
    <tableColumn id="4" xr3:uid="{F15A1649-CD46-4B82-A2D9-FCA28362795D}" name="battles-take-rate" dataDxfId="1083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82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81">
      <calculatedColumnFormula>R3+R24+R45+R66+R87+R108</calculatedColumnFormula>
    </tableColumn>
    <tableColumn id="4" xr3:uid="{069713F1-C2CC-49D1-89BE-818384A2E4FD}" name="chestpiece" dataDxfId="1080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79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78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77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76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75" headerRowBorderDxfId="1074" tableBorderDxfId="1073" totalsRowBorderDxfId="1072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71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70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69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68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67" headerRowBorderDxfId="1066" tableBorderDxfId="1065" totalsRowBorderDxfId="1064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63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62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61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60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59" headerRowBorderDxfId="1058" tableBorderDxfId="1057" totalsRowBorderDxfId="1056">
  <autoFilter ref="K17:O20" xr:uid="{01E0B516-A92C-45D4-946B-0FCF2F31D98A}"/>
  <tableColumns count="5">
    <tableColumn id="1" xr3:uid="{6E3ACF5F-C817-4C40-88BC-5BCD22AC85C1}" name="ability" dataDxfId="1055"/>
    <tableColumn id="2" xr3:uid="{B913933F-DE61-4933-B988-849E3D873B6C}" name="takes" dataDxfId="1054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53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52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51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50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49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48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47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46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45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44" headerRowBorderDxfId="1043" tableBorderDxfId="1042" totalsRowBorderDxfId="1041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40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39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38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37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82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81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80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36" headerRowBorderDxfId="1035" tableBorderDxfId="1034" totalsRowBorderDxfId="1033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32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31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30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29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28" headerRowBorderDxfId="1027" tableBorderDxfId="1026" totalsRowBorderDxfId="1025">
  <autoFilter ref="K38:O41" xr:uid="{A1F38E75-59DE-4DB4-B81C-C0322397F6F7}"/>
  <tableColumns count="5">
    <tableColumn id="1" xr3:uid="{CB833622-9500-452A-9643-EC635B82CE80}" name="ability" dataDxfId="1024"/>
    <tableColumn id="2" xr3:uid="{91B01C21-E0B8-45E1-8DF5-A7B9A623E34E}" name="takes" dataDxfId="1023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22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21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20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19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18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17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16">
      <calculatedColumnFormula>COUNTIF(Scenario2[winner1-ability1],OracleAbilities1Scenario2[[#This Row],[ability]])</calculatedColumnFormula>
    </tableColumn>
    <tableColumn id="5" xr3:uid="{034FA980-30F5-4A65-930E-873C758C7280}" name="battles-take-rate" dataDxfId="1015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14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013" headerRowBorderDxfId="1012" tableBorderDxfId="1011" totalsRowBorderDxfId="1010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1009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1008">
      <calculatedColumnFormula>COUNTIF(Scenario2[winner1-ability2],OracleAbilities2Scenario2[[#This Row],[ability]])</calculatedColumnFormula>
    </tableColumn>
    <tableColumn id="4" xr3:uid="{447E5C6C-E9F9-4D65-9CC8-EFF3C7DE5206}" name="battles-take-rate" dataDxfId="1007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1006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1005" headerRowBorderDxfId="1004" tableBorderDxfId="1003" totalsRowBorderDxfId="1002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1001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1000">
      <calculatedColumnFormula>COUNTIF(Scenario2[winner1-ability3],OracleAbilities3Scenario2[[#This Row],[ability]])</calculatedColumnFormula>
    </tableColumn>
    <tableColumn id="4" xr3:uid="{14BEA7A5-F9D1-44CF-A38C-50CB90297594}" name="battles-take-rate" dataDxfId="999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998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997" headerRowBorderDxfId="996" tableBorderDxfId="995" totalsRowBorderDxfId="994">
  <autoFilter ref="K59:O62" xr:uid="{DDB7F110-02A6-4F67-8266-251AF48CB7C0}"/>
  <tableColumns count="5">
    <tableColumn id="1" xr3:uid="{684380C7-16C1-449D-A8CD-E4785101BEE3}" name="ability" dataDxfId="993"/>
    <tableColumn id="2" xr3:uid="{A5078570-2F9D-4A26-860A-7EA42522F276}" name="takes" dataDxfId="992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91">
      <calculatedColumnFormula>COUNTIF(Scenario2[winner1-ability4],OracleAbilities4Scenario2[[#This Row],[ability]])</calculatedColumnFormula>
    </tableColumn>
    <tableColumn id="4" xr3:uid="{25CD52B3-8C70-4953-9C63-7606955949E3}" name="battles-take-rate" dataDxfId="990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89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88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87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86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85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84">
      <calculatedColumnFormula>COUNTIF(Scenario3[winner1-ability1],OracleAbilities1Scenario3[[#This Row],[ability]])</calculatedColumnFormula>
    </tableColumn>
    <tableColumn id="5" xr3:uid="{DE62042D-7982-4BF3-B071-8EDF692003FE}" name="battles-take-rate" dataDxfId="983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82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79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78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77" totalsRowDxfId="1776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81" headerRowBorderDxfId="980" tableBorderDxfId="979" totalsRowBorderDxfId="978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77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76">
      <calculatedColumnFormula>COUNTIF(Scenario3[winner1-ability2],OracleAbilities2Scenario3[[#This Row],[ability]])</calculatedColumnFormula>
    </tableColumn>
    <tableColumn id="4" xr3:uid="{8DF31301-6566-4092-A843-4FFDD045A618}" name="battles-take-rate" dataDxfId="975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74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73" headerRowBorderDxfId="972" tableBorderDxfId="971" totalsRowBorderDxfId="970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69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68">
      <calculatedColumnFormula>COUNTIF(Scenario3[winner1-ability3],OracleAbilities3Scenario3[[#This Row],[ability]])</calculatedColumnFormula>
    </tableColumn>
    <tableColumn id="4" xr3:uid="{3DF4458E-C16E-4A8A-B345-E3B7F6485141}" name="battles-take-rate" dataDxfId="967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66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65" headerRowBorderDxfId="964" tableBorderDxfId="963" totalsRowBorderDxfId="962">
  <autoFilter ref="K80:O83" xr:uid="{D79E2D8A-FC77-422A-AA03-F5F2585C088A}"/>
  <tableColumns count="5">
    <tableColumn id="1" xr3:uid="{DBD34D79-41EF-433F-AF97-F8A313ED3DF0}" name="ability" dataDxfId="961"/>
    <tableColumn id="2" xr3:uid="{F2E59DF2-2278-41C3-97C8-B7A29C9CCB3B}" name="takes" dataDxfId="960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59">
      <calculatedColumnFormula>COUNTIF(Scenario3[winner1-ability4],OracleAbilities4Scenario3[[#This Row],[ability]])</calculatedColumnFormula>
    </tableColumn>
    <tableColumn id="4" xr3:uid="{91B8F5F4-FFA1-4668-B2FE-3D694C677333}" name="battles-take-rate" dataDxfId="958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57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56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55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54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53">
      <calculatedColumnFormula>COUNTIF(Scenario4[winner1-ability1],OracleAbilities1Scenario4[[#This Row],[ability]])</calculatedColumnFormula>
    </tableColumn>
    <tableColumn id="5" xr3:uid="{20962A48-FDB1-4433-AD85-6B419B89A67F}" name="battles-take-rate" dataDxfId="952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51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50" headerRowBorderDxfId="949" tableBorderDxfId="948" totalsRowBorderDxfId="947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46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45">
      <calculatedColumnFormula>COUNTIF(Scenario4[winner1-ability2],OracleAbilities2Scenario4[[#This Row],[ability]])</calculatedColumnFormula>
    </tableColumn>
    <tableColumn id="4" xr3:uid="{E158F215-350E-4C9E-8771-BFA9C4D2CF70}" name="battles-take-rate" dataDxfId="944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43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42" headerRowBorderDxfId="941" tableBorderDxfId="940" totalsRowBorderDxfId="939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38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37">
      <calculatedColumnFormula>COUNTIF(Scenario4[winner1-ability3],OracleAbilities3Scenario4[[#This Row],[ability]])</calculatedColumnFormula>
    </tableColumn>
    <tableColumn id="4" xr3:uid="{545DD3BB-A8B7-4278-B9E0-8B99F4DA3A2D}" name="battles-take-rate" dataDxfId="936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35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34" headerRowBorderDxfId="933" tableBorderDxfId="932" totalsRowBorderDxfId="931">
  <autoFilter ref="K101:O104" xr:uid="{A90B60DF-6D5E-424F-AC92-0501EE8D54C9}"/>
  <tableColumns count="5">
    <tableColumn id="1" xr3:uid="{2BCBEE41-2EFE-491D-9797-7EF335F79D9B}" name="ability" dataDxfId="930"/>
    <tableColumn id="2" xr3:uid="{DF0F6ED7-41ED-40AF-884D-0FAA02427295}" name="takes" dataDxfId="929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28">
      <calculatedColumnFormula>COUNTIF(Scenario4[winner1-ability4],OracleAbilities4Scenario4[[#This Row],[ability]])</calculatedColumnFormula>
    </tableColumn>
    <tableColumn id="4" xr3:uid="{0241E110-A31B-4B51-AEEF-C37D5902AA27}" name="battles-take-rate" dataDxfId="927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26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25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24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23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22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21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20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75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19" headerRowBorderDxfId="918" tableBorderDxfId="917" totalsRowBorderDxfId="916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15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14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913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912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911" headerRowBorderDxfId="910" tableBorderDxfId="909" totalsRowBorderDxfId="908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907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906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905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904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903" headerRowBorderDxfId="902" tableBorderDxfId="901" totalsRowBorderDxfId="900">
  <autoFilter ref="K122:O125" xr:uid="{E2E1629C-B0D9-466D-BD66-8E394B74E384}"/>
  <tableColumns count="5">
    <tableColumn id="1" xr3:uid="{AA533A29-20C2-4A65-AC96-65CCA3457C7E}" name="ability" dataDxfId="899"/>
    <tableColumn id="2" xr3:uid="{8EF487D6-4412-4F93-A267-6247F705D69A}" name="takes" dataDxfId="898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897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896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895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894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893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92">
      <calculatedColumnFormula>L3+L24+L45+L66+L87+L108</calculatedColumnFormula>
    </tableColumn>
    <tableColumn id="4" xr3:uid="{35DA6B5B-7FC1-492C-B2D0-6F511F16DAD4}" name="wins" dataDxfId="891">
      <calculatedColumnFormula>M3+M24+M45+M66+M87+M108</calculatedColumnFormula>
    </tableColumn>
    <tableColumn id="5" xr3:uid="{FAF7873E-FAE0-4F3C-BAB5-7E4AC3926D8C}" name="battles-take-rate" dataDxfId="890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89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88" headerRowBorderDxfId="887" tableBorderDxfId="886" totalsRowBorderDxfId="885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84">
      <calculatedColumnFormula>L8+L29+L50+L71+L92+L113</calculatedColumnFormula>
    </tableColumn>
    <tableColumn id="3" xr3:uid="{A06DED1F-7374-4755-8A38-527DEBEFD3C6}" name="wins" dataDxfId="883">
      <calculatedColumnFormula>M8+M29+M50+M71+M92+M113</calculatedColumnFormula>
    </tableColumn>
    <tableColumn id="4" xr3:uid="{C56FD638-0548-4732-8F67-350D170E46E5}" name="battles-take-rate" dataDxfId="882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81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80" headerRowBorderDxfId="879" tableBorderDxfId="878" totalsRowBorderDxfId="877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76">
      <calculatedColumnFormula>L13+L34+L55+L76+L97+L118</calculatedColumnFormula>
    </tableColumn>
    <tableColumn id="3" xr3:uid="{150079D1-0272-4CFB-8282-44464105457B}" name="wins" dataDxfId="875">
      <calculatedColumnFormula>M13+M34+M55+M76+M97+M118</calculatedColumnFormula>
    </tableColumn>
    <tableColumn id="4" xr3:uid="{65FEB6D5-A05E-4FC8-B85E-99DFC519570C}" name="battles-take-rate" dataDxfId="874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73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72" headerRowBorderDxfId="871" tableBorderDxfId="870" totalsRowBorderDxfId="869">
  <autoFilter ref="A17:E20" xr:uid="{2AADA4A0-2F4A-4009-8ECF-0BECA693390C}"/>
  <tableColumns count="5">
    <tableColumn id="1" xr3:uid="{F38332B4-A633-4A53-A294-B990E53A9E9E}" name="ability" dataDxfId="868"/>
    <tableColumn id="2" xr3:uid="{A659B804-FBC0-4B86-B0D0-259516FAF254}" name="takes" dataDxfId="867">
      <calculatedColumnFormula>L18+L39+L60+L81+L102+L123</calculatedColumnFormula>
    </tableColumn>
    <tableColumn id="3" xr3:uid="{4DFB6D75-6E90-4DA5-BE74-537E8812340F}" name="wins" dataDxfId="866">
      <calculatedColumnFormula>M18+M39+M60+M81+M102+M123</calculatedColumnFormula>
    </tableColumn>
    <tableColumn id="4" xr3:uid="{D1650154-5016-46B0-8BD5-16233AA11280}" name="battles-take-rate" dataDxfId="865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64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63">
      <calculatedColumnFormula>R3+R24+R45+R66+R87+R108</calculatedColumnFormula>
    </tableColumn>
    <tableColumn id="4" xr3:uid="{5D997E40-F727-46C7-B765-00166A875EA3}" name="chestpiece" dataDxfId="86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61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60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59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58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74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73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72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57" headerRowBorderDxfId="856" tableBorderDxfId="855" totalsRowBorderDxfId="854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53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52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51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50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49" headerRowBorderDxfId="848" tableBorderDxfId="847" totalsRowBorderDxfId="846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45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44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43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42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41" headerRowBorderDxfId="840" tableBorderDxfId="839" totalsRowBorderDxfId="838">
  <autoFilter ref="K17:O20" xr:uid="{01E0B516-A92C-45D4-946B-0FCF2F31D98A}"/>
  <tableColumns count="5">
    <tableColumn id="1" xr3:uid="{B1ECB730-0F58-4ABC-942D-CAE55E41CA9A}" name="ability" dataDxfId="837"/>
    <tableColumn id="2" xr3:uid="{508F1330-F650-4934-B53E-5CF30E50850F}" name="takes" dataDxfId="836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35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34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33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32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31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30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29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28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27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26" headerRowBorderDxfId="825" tableBorderDxfId="824" totalsRowBorderDxfId="823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22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21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20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19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18" headerRowBorderDxfId="817" tableBorderDxfId="816" totalsRowBorderDxfId="815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14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813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812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811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810" headerRowBorderDxfId="809" tableBorderDxfId="808" totalsRowBorderDxfId="807">
  <autoFilter ref="K38:O41" xr:uid="{A1F38E75-59DE-4DB4-B81C-C0322397F6F7}"/>
  <tableColumns count="5">
    <tableColumn id="1" xr3:uid="{E95AEAE3-62BB-4DA7-B153-EB2086E73E57}" name="ability" dataDxfId="806"/>
    <tableColumn id="2" xr3:uid="{2A9E73B8-CD6F-4011-BAC1-63B6A821F80F}" name="takes" dataDxfId="805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804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803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802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801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800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799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798">
      <calculatedColumnFormula>COUNTIF(Scenario2[winner1-ability1],AvatarAbilities1Scenario2[[#This Row],[ability]])</calculatedColumnFormula>
    </tableColumn>
    <tableColumn id="5" xr3:uid="{1E61EB7F-DF68-4EB7-80E2-73B696E16EFA}" name="battles-take-rate" dataDxfId="797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796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71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70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69" totalsRowDxfId="1768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795" headerRowBorderDxfId="794" tableBorderDxfId="793" totalsRowBorderDxfId="792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91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90">
      <calculatedColumnFormula>COUNTIF(Scenario2[winner1-ability2],AvatarAbilities2Scenario2[[#This Row],[ability]])</calculatedColumnFormula>
    </tableColumn>
    <tableColumn id="4" xr3:uid="{C9E6BEDE-6D55-465F-A23C-088B0E5A7769}" name="battles-take-rate" dataDxfId="789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88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87" headerRowBorderDxfId="786" tableBorderDxfId="785" totalsRowBorderDxfId="784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83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82">
      <calculatedColumnFormula>COUNTIF(Scenario2[winner1-ability3],AvatarAbilities3Scenario2[[#This Row],[ability]])</calculatedColumnFormula>
    </tableColumn>
    <tableColumn id="4" xr3:uid="{ADEFFFFC-593D-4983-81AB-62FCA7D838BE}" name="battles-take-rate" dataDxfId="781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80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79" headerRowBorderDxfId="778" tableBorderDxfId="777" totalsRowBorderDxfId="776">
  <autoFilter ref="K59:O62" xr:uid="{DDB7F110-02A6-4F67-8266-251AF48CB7C0}"/>
  <tableColumns count="5">
    <tableColumn id="1" xr3:uid="{41FFE711-9BC2-4C77-93E0-ED76EFB9F1D5}" name="ability" dataDxfId="775"/>
    <tableColumn id="2" xr3:uid="{79EA1ED0-B935-47D2-A86B-D83C6704E80A}" name="takes" dataDxfId="774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73">
      <calculatedColumnFormula>COUNTIF(Scenario2[winner1-ability4],AvatarAbilities4Scenario2[[#This Row],[ability]])</calculatedColumnFormula>
    </tableColumn>
    <tableColumn id="4" xr3:uid="{02651184-3B76-4AC5-89C2-D810EC158F1B}" name="battles-take-rate" dataDxfId="772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71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70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69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68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67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66">
      <calculatedColumnFormula>COUNTIF(Scenario3[winner1-ability1],AvatarAbilities1Scenario3[[#This Row],[ability]])</calculatedColumnFormula>
    </tableColumn>
    <tableColumn id="5" xr3:uid="{DCB58979-EA4F-4103-8C4A-C096D75756ED}" name="battles-take-rate" dataDxfId="765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64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63" headerRowBorderDxfId="762" tableBorderDxfId="761" totalsRowBorderDxfId="760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59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58">
      <calculatedColumnFormula>COUNTIF(Scenario3[winner1-ability2],AvatarAbilities2Scenario3[[#This Row],[ability]])</calculatedColumnFormula>
    </tableColumn>
    <tableColumn id="4" xr3:uid="{70DDA6D0-1C36-48E6-8E20-D94EDE0BDFEA}" name="battles-take-rate" dataDxfId="757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56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55" headerRowBorderDxfId="754" tableBorderDxfId="753" totalsRowBorderDxfId="752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51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50">
      <calculatedColumnFormula>COUNTIF(Scenario3[winner1-ability3],AvatarAbilities3Scenario3[[#This Row],[ability]])</calculatedColumnFormula>
    </tableColumn>
    <tableColumn id="4" xr3:uid="{C06BD8DF-C441-459D-85EE-FD64A2043DD6}" name="battles-take-rate" dataDxfId="749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48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47" headerRowBorderDxfId="746" tableBorderDxfId="745" totalsRowBorderDxfId="744">
  <autoFilter ref="K80:O83" xr:uid="{6EEA34E6-E459-456B-91DD-043B51317E20}"/>
  <tableColumns count="5">
    <tableColumn id="1" xr3:uid="{8A349459-D27C-4E5A-A944-0E74AA4FA7B4}" name="ability" dataDxfId="743"/>
    <tableColumn id="2" xr3:uid="{D6DB89E1-6F3B-4EA4-ADC1-184D6ABA99BE}" name="takes" dataDxfId="742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41">
      <calculatedColumnFormula>COUNTIF(Scenario3[winner1-ability4],AvatarAbilities4Scenario3[[#This Row],[ability]])</calculatedColumnFormula>
    </tableColumn>
    <tableColumn id="4" xr3:uid="{8AF2EF2E-5801-460B-AD63-71BB7539AA5F}" name="battles-take-rate" dataDxfId="740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39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38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37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J9" totalsRowShown="0">
  <autoFilter ref="A1:J9" xr:uid="{63405EB0-A525-4FAC-AD12-CF7C798DE05C}"/>
  <tableColumns count="10">
    <tableColumn id="1" xr3:uid="{85B8E500-D508-49B7-B6C2-4293FF88864C}" name="hero"/>
    <tableColumn id="2" xr3:uid="{58A5592F-1F6D-4BC0-A001-DA1EE7044444}" name="battles" dataDxfId="1767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66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65">
      <calculatedColumnFormula>HeroStatistics[[#This Row],[wins]]/HeroStatistics[[#This Row],[battles]]</calculatedColumnFormula>
    </tableColumn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36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35">
      <calculatedColumnFormula>COUNTIF(Scenario4[winner1-ability1],AvatarAbilities1Scenario4[[#This Row],[ability]])</calculatedColumnFormula>
    </tableColumn>
    <tableColumn id="5" xr3:uid="{846FA7C9-7442-4196-AC20-39FB98DAF0BC}" name="battles-take-rate" dataDxfId="734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33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32" headerRowBorderDxfId="731" tableBorderDxfId="730" totalsRowBorderDxfId="729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28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27">
      <calculatedColumnFormula>COUNTIF(Scenario4[winner1-ability2],AvatarAbilities2Scenario4[[#This Row],[ability]])</calculatedColumnFormula>
    </tableColumn>
    <tableColumn id="4" xr3:uid="{F137D81F-3073-4FAD-9B08-809B82677FC3}" name="battles-take-rate" dataDxfId="726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25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24" headerRowBorderDxfId="723" tableBorderDxfId="722" totalsRowBorderDxfId="721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20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19">
      <calculatedColumnFormula>COUNTIF(Scenario4[winner1-ability3],AvatarAbilities3Scenario4[[#This Row],[ability]])</calculatedColumnFormula>
    </tableColumn>
    <tableColumn id="4" xr3:uid="{135BEB7A-915D-48E6-B091-0340F09F4D94}" name="battles-take-rate" dataDxfId="718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17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16" headerRowBorderDxfId="715" tableBorderDxfId="714" totalsRowBorderDxfId="713">
  <autoFilter ref="K101:O104" xr:uid="{B70B30A2-D94A-4C2F-A92C-F84D834CB3E7}"/>
  <tableColumns count="5">
    <tableColumn id="1" xr3:uid="{002E9049-8F7A-4096-964E-F4939A456F53}" name="ability" dataDxfId="712"/>
    <tableColumn id="2" xr3:uid="{8EB8EF4A-38F7-42BA-A433-E84AC27F3BE5}" name="takes" dataDxfId="711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710">
      <calculatedColumnFormula>COUNTIF(Scenario4[winner1-ability4],AvatarAbilities4Scenario4[[#This Row],[ability]])</calculatedColumnFormula>
    </tableColumn>
    <tableColumn id="4" xr3:uid="{65133FD4-CB3E-451F-9B0A-15A3A8F6140F}" name="battles-take-rate" dataDxfId="709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708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707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706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705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704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703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702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701" headerRowBorderDxfId="700" tableBorderDxfId="699" totalsRowBorderDxfId="698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697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696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695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694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693" headerRowBorderDxfId="692" tableBorderDxfId="691" totalsRowBorderDxfId="690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89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88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87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86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85" headerRowBorderDxfId="684" tableBorderDxfId="683" totalsRowBorderDxfId="682">
  <autoFilter ref="K122:O125" xr:uid="{E059746D-E675-4EF0-88F4-8791605FEEED}"/>
  <tableColumns count="5">
    <tableColumn id="1" xr3:uid="{20267F99-9DF2-489F-A0FB-268A63BB5519}" name="ability" dataDxfId="681"/>
    <tableColumn id="2" xr3:uid="{ED1C9F8E-8284-4586-BDDB-F607F38E81E8}" name="takes" dataDxfId="680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79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78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77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76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75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13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12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11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64">
      <calculatedColumnFormula>M3+M24+M45+M66+M87+M108</calculatedColumnFormula>
    </tableColumn>
    <tableColumn id="4" xr3:uid="{61A21492-49FF-4C06-A153-6F532C6C5A30}" name="wins" dataDxfId="1763">
      <calculatedColumnFormula>N3+N24+N45+N66+N87+N108</calculatedColumnFormula>
    </tableColumn>
    <tableColumn id="5" xr3:uid="{E54CF930-9561-430F-9E4C-4FBFE41AE34D}" name="battles-take-rate" dataDxfId="1762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61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74">
      <calculatedColumnFormula>L3+L24+L45+L66+L87+L108</calculatedColumnFormula>
    </tableColumn>
    <tableColumn id="4" xr3:uid="{E7594F03-C9FD-4ADD-810F-A5D3A80A11D0}" name="wins" dataDxfId="673">
      <calculatedColumnFormula>M3+M24+M45+M66+M87+M108</calculatedColumnFormula>
    </tableColumn>
    <tableColumn id="5" xr3:uid="{02A46B5D-C22D-499B-A57A-EDE540A8C147}" name="battles-take-rate" dataDxfId="672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71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70" headerRowBorderDxfId="669" tableBorderDxfId="668" totalsRowBorderDxfId="667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66">
      <calculatedColumnFormula>L8+L29+L50+L71+L92+L113</calculatedColumnFormula>
    </tableColumn>
    <tableColumn id="3" xr3:uid="{F5082C29-A973-4FDC-8C6D-DAB230FD220B}" name="wins" dataDxfId="665">
      <calculatedColumnFormula>M8+M29+M50+M71+M92+M113</calculatedColumnFormula>
    </tableColumn>
    <tableColumn id="4" xr3:uid="{955AA51C-C441-4923-93B4-21A375FB8EAB}" name="battles-take-rate" dataDxfId="664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63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62" headerRowBorderDxfId="661" tableBorderDxfId="660" totalsRowBorderDxfId="659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58">
      <calculatedColumnFormula>L13+L34+L55+L76+L97+L118</calculatedColumnFormula>
    </tableColumn>
    <tableColumn id="3" xr3:uid="{69A0AA59-1954-41A9-9184-3D9DCEC82306}" name="wins" dataDxfId="657">
      <calculatedColumnFormula>M13+M34+M55+M76+M97+M118</calculatedColumnFormula>
    </tableColumn>
    <tableColumn id="4" xr3:uid="{D2E0470C-3533-4EB8-BCB1-093B0305CFE5}" name="battles-take-rate" dataDxfId="656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55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54" headerRowBorderDxfId="653" tableBorderDxfId="652" totalsRowBorderDxfId="651">
  <autoFilter ref="A17:E20" xr:uid="{2AADA4A0-2F4A-4009-8ECF-0BECA693390C}"/>
  <tableColumns count="5">
    <tableColumn id="1" xr3:uid="{508E3F3C-793A-4D3F-8FE4-5033189433FA}" name="ability" dataDxfId="650"/>
    <tableColumn id="2" xr3:uid="{26190FBD-0D5B-4F70-AB7C-38105BD3682B}" name="takes" dataDxfId="649">
      <calculatedColumnFormula>L18+L39+L60+L81+L102+L123</calculatedColumnFormula>
    </tableColumn>
    <tableColumn id="3" xr3:uid="{6304B665-DF35-4910-8085-1B0F98C1C08E}" name="wins" dataDxfId="648">
      <calculatedColumnFormula>M18+M39+M60+M81+M102+M123</calculatedColumnFormula>
    </tableColumn>
    <tableColumn id="4" xr3:uid="{CE4233CF-2026-408F-A9F5-172CFF825DD4}" name="battles-take-rate" dataDxfId="647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46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45">
      <calculatedColumnFormula>R3+R24+R45+R66+R87+R108</calculatedColumnFormula>
    </tableColumn>
    <tableColumn id="4" xr3:uid="{066CD957-712B-40B8-9181-60B4B646F9D5}" name="chestpiece" dataDxfId="644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43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42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41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40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39" headerRowBorderDxfId="638" tableBorderDxfId="637" totalsRowBorderDxfId="636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35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34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33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32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31" headerRowBorderDxfId="630" tableBorderDxfId="629" totalsRowBorderDxfId="628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27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26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25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24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23" headerRowBorderDxfId="622" tableBorderDxfId="621" totalsRowBorderDxfId="620">
  <autoFilter ref="K17:O20" xr:uid="{01E0B516-A92C-45D4-946B-0FCF2F31D98A}"/>
  <tableColumns count="5">
    <tableColumn id="1" xr3:uid="{7A69B0E2-20CF-43A3-920A-9AE63CA4EDD6}" name="ability" dataDxfId="619"/>
    <tableColumn id="2" xr3:uid="{A0E31296-499C-405F-BCF6-B2EAB56FDACC}" name="takes" dataDxfId="618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17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16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15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14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613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60" headerRowBorderDxfId="1759" tableBorderDxfId="1758" totalsRowBorderDxfId="1757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56">
      <calculatedColumnFormula>M8+M29+M50+M71+M92+M113</calculatedColumnFormula>
    </tableColumn>
    <tableColumn id="3" xr3:uid="{80A922C6-64D8-44FE-96CB-B7E1F6FDC03C}" name="wins" dataDxfId="1755">
      <calculatedColumnFormula>N8+N29+N50+N71+N92+N113</calculatedColumnFormula>
    </tableColumn>
    <tableColumn id="4" xr3:uid="{554161FF-0726-4138-B76E-C5C63F8E633A}" name="battles-take-rate" dataDxfId="1754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53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612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611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610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609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608" headerRowBorderDxfId="607" tableBorderDxfId="606" totalsRowBorderDxfId="605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604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603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602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601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600" headerRowBorderDxfId="599" tableBorderDxfId="598" totalsRowBorderDxfId="597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596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595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594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593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92" headerRowBorderDxfId="591" tableBorderDxfId="590" totalsRowBorderDxfId="589">
  <autoFilter ref="K38:O41" xr:uid="{A1F38E75-59DE-4DB4-B81C-C0322397F6F7}"/>
  <tableColumns count="5">
    <tableColumn id="1" xr3:uid="{B95A8C1F-E83A-4A7B-ACAE-F997D171F354}" name="ability" dataDxfId="588"/>
    <tableColumn id="2" xr3:uid="{B5A87322-37A1-488C-B6C2-23B9D65EEB08}" name="takes" dataDxfId="587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86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85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84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83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82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81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80">
      <calculatedColumnFormula>COUNTIF(Scenario2[winner1-ability1],ShadowAbilities1Scenario2[[#This Row],[ability]])</calculatedColumnFormula>
    </tableColumn>
    <tableColumn id="5" xr3:uid="{AE0DC280-6579-4B86-B8B4-CDC9AF90EDBE}" name="battles-take-rate" dataDxfId="579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78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77" headerRowBorderDxfId="576" tableBorderDxfId="575" totalsRowBorderDxfId="574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73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72">
      <calculatedColumnFormula>COUNTIF(Scenario2[winner1-ability2],ShadowAbilities2Scenario2[[#This Row],[ability]])</calculatedColumnFormula>
    </tableColumn>
    <tableColumn id="4" xr3:uid="{348088A2-AD3A-435D-AAD6-1030EDC81266}" name="battles-take-rate" dataDxfId="571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70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69" headerRowBorderDxfId="568" tableBorderDxfId="567" totalsRowBorderDxfId="566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65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64">
      <calculatedColumnFormula>COUNTIF(Scenario2[winner1-ability3],ShadowAbilities3Scenario2[[#This Row],[ability]])</calculatedColumnFormula>
    </tableColumn>
    <tableColumn id="4" xr3:uid="{B6BC679A-540A-46F8-8039-4C37B6F8FAD6}" name="battles-take-rate" dataDxfId="563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62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61" headerRowBorderDxfId="560" tableBorderDxfId="559" totalsRowBorderDxfId="558">
  <autoFilter ref="K59:O62" xr:uid="{DDB7F110-02A6-4F67-8266-251AF48CB7C0}"/>
  <tableColumns count="5">
    <tableColumn id="1" xr3:uid="{808C7394-83C0-4054-AFB9-9F9E1965E6DC}" name="ability" dataDxfId="557"/>
    <tableColumn id="2" xr3:uid="{A8117EB0-F8AE-4362-841F-EBC31BDC80E7}" name="takes" dataDxfId="556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55">
      <calculatedColumnFormula>COUNTIF(Scenario2[winner1-ability4],ShadowAbilities4Scenario2[[#This Row],[ability]])</calculatedColumnFormula>
    </tableColumn>
    <tableColumn id="4" xr3:uid="{D18D0446-17DA-4367-8791-04B929BF7C7E}" name="battles-take-rate" dataDxfId="554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53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52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51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52" headerRowBorderDxfId="1751" tableBorderDxfId="1750" totalsRowBorderDxfId="1749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48">
      <calculatedColumnFormula>M13+M34+M55+M76+M97+M118</calculatedColumnFormula>
    </tableColumn>
    <tableColumn id="3" xr3:uid="{3EE75CB9-F097-4DDD-B43D-5E1FA49D5DA7}" name="wins" dataDxfId="1747">
      <calculatedColumnFormula>N13+N34+N55+N76+N97+N118</calculatedColumnFormula>
    </tableColumn>
    <tableColumn id="4" xr3:uid="{4386EDC2-3695-4FDE-BF81-4F581D693BFE}" name="battles-take-rate" dataDxfId="1746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45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50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49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48">
      <calculatedColumnFormula>COUNTIF(Scenario3[winner1-ability1],ShadowAbilities1Scenario3[[#This Row],[ability]])</calculatedColumnFormula>
    </tableColumn>
    <tableColumn id="5" xr3:uid="{CF3E5CA9-0667-4428-A210-89117623418E}" name="battles-take-rate" dataDxfId="547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46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45" headerRowBorderDxfId="544" tableBorderDxfId="543" totalsRowBorderDxfId="542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41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40">
      <calculatedColumnFormula>COUNTIF(Scenario3[winner1-ability2],ShadowAbilities2Scenario3[[#This Row],[ability]])</calculatedColumnFormula>
    </tableColumn>
    <tableColumn id="4" xr3:uid="{F55503FB-455E-4E35-B348-DB7A213DC482}" name="battles-take-rate" dataDxfId="539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38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37" headerRowBorderDxfId="536" tableBorderDxfId="535" totalsRowBorderDxfId="534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33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32">
      <calculatedColumnFormula>COUNTIF(Scenario3[winner1-ability3],ShadowAbilities3Scenario3[[#This Row],[ability]])</calculatedColumnFormula>
    </tableColumn>
    <tableColumn id="4" xr3:uid="{FE627B80-B071-44ED-96E3-2D22A6BFBE3E}" name="battles-take-rate" dataDxfId="531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30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29" headerRowBorderDxfId="528" tableBorderDxfId="527" totalsRowBorderDxfId="526">
  <autoFilter ref="K80:O83" xr:uid="{89998BA8-FF2B-4F78-B422-0769B096DA12}"/>
  <tableColumns count="5">
    <tableColumn id="1" xr3:uid="{9E2ED936-C92E-4DB6-8A8D-6A5D54890827}" name="ability" dataDxfId="525"/>
    <tableColumn id="2" xr3:uid="{30C20F36-9263-41F1-934F-C7B737783080}" name="takes" dataDxfId="524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23">
      <calculatedColumnFormula>COUNTIF(Scenario3[winner1-ability4],ShadowAbilities4Scenario3[[#This Row],[ability]])</calculatedColumnFormula>
    </tableColumn>
    <tableColumn id="4" xr3:uid="{C78891C3-5CB5-4131-9173-2B27B1A4D302}" name="battles-take-rate" dataDxfId="522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21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20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19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18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17">
      <calculatedColumnFormula>COUNTIF(Scenario4[winner1-ability1],ShadowAbilities1Scenario4[[#This Row],[ability]])</calculatedColumnFormula>
    </tableColumn>
    <tableColumn id="5" xr3:uid="{A901B921-06E8-4AEC-A96B-C713A120EDCD}" name="battles-take-rate" dataDxfId="516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15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14" headerRowBorderDxfId="513" tableBorderDxfId="512" totalsRowBorderDxfId="511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510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509">
      <calculatedColumnFormula>COUNTIF(Scenario4[winner1-ability2],ShadowAbilities2Scenario4[[#This Row],[ability]])</calculatedColumnFormula>
    </tableColumn>
    <tableColumn id="4" xr3:uid="{9729481F-2A5B-4AB2-B539-4C8B0BB903C3}" name="battles-take-rate" dataDxfId="508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507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506" headerRowBorderDxfId="505" tableBorderDxfId="504" totalsRowBorderDxfId="503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502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501">
      <calculatedColumnFormula>COUNTIF(Scenario4[winner1-ability3],ShadowAbilities3Scenario4[[#This Row],[ability]])</calculatedColumnFormula>
    </tableColumn>
    <tableColumn id="4" xr3:uid="{2B28F9B7-A49E-4828-AED2-A5F9D1DB620A}" name="battles-take-rate" dataDxfId="500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499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498" headerRowBorderDxfId="497" tableBorderDxfId="496" totalsRowBorderDxfId="495">
  <autoFilter ref="K101:O104" xr:uid="{1C609518-452E-4A91-AF17-394CB05FB0F3}"/>
  <tableColumns count="5">
    <tableColumn id="1" xr3:uid="{CC33268F-C34A-43D0-A56A-74B0F609F718}" name="ability" dataDxfId="494"/>
    <tableColumn id="2" xr3:uid="{6F12010D-206B-4AD4-9F1C-7792709F1041}" name="takes" dataDxfId="493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92">
      <calculatedColumnFormula>COUNTIF(Scenario4[winner1-ability4],ShadowAbilities4Scenario4[[#This Row],[ability]])</calculatedColumnFormula>
    </tableColumn>
    <tableColumn id="4" xr3:uid="{1F1D8ECE-DB99-4E3C-A674-360B53ED1293}" name="battles-take-rate" dataDxfId="491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90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44" headerRowBorderDxfId="1743" tableBorderDxfId="1742" totalsRowBorderDxfId="1741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40">
      <calculatedColumnFormula>M18+M39+M60+M81+M102+M123</calculatedColumnFormula>
    </tableColumn>
    <tableColumn id="3" xr3:uid="{FCDACB04-C3C9-4451-9344-563AAD645EE3}" name="wins" dataDxfId="1739">
      <calculatedColumnFormula>N18+N39+N60+N81+N102+N123</calculatedColumnFormula>
    </tableColumn>
    <tableColumn id="4" xr3:uid="{A43A8590-7A57-4069-B1B8-09F7A5FC26AC}" name="battles-take-rate" dataDxfId="1738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37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89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88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87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86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85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84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83" headerRowBorderDxfId="482" tableBorderDxfId="481" totalsRowBorderDxfId="480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79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78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77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76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75" headerRowBorderDxfId="474" tableBorderDxfId="473" totalsRowBorderDxfId="472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71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70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69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68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67" headerRowBorderDxfId="466" tableBorderDxfId="465" totalsRowBorderDxfId="464">
  <autoFilter ref="K122:O125" xr:uid="{74C00B1E-EEA9-48AB-A27C-B009AE4D0A5D}"/>
  <tableColumns count="5">
    <tableColumn id="1" xr3:uid="{0AB4169E-2A81-436A-8816-892597836570}" name="ability" dataDxfId="463"/>
    <tableColumn id="2" xr3:uid="{63FA27CA-DCA1-4F45-8BB0-FAAEBF52C2E6}" name="takes" dataDxfId="462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61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60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59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58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57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56">
      <calculatedColumnFormula>L3+L24+L45+L66+L87+L108</calculatedColumnFormula>
    </tableColumn>
    <tableColumn id="4" xr3:uid="{58CA11D9-169A-46E2-9A57-9E370495AE74}" name="wins" dataDxfId="455">
      <calculatedColumnFormula>M3+M24+M45+M66+M87+M108</calculatedColumnFormula>
    </tableColumn>
    <tableColumn id="5" xr3:uid="{FCD1957D-8B13-463F-918E-7541CD4802BE}" name="battles-take-rate" dataDxfId="454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53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52" headerRowBorderDxfId="451" tableBorderDxfId="450" totalsRowBorderDxfId="449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48">
      <calculatedColumnFormula>L8+L29+L50+L71+L92+L113</calculatedColumnFormula>
    </tableColumn>
    <tableColumn id="3" xr3:uid="{8036E5FE-9DB3-44E7-AF19-651F4FEED3A5}" name="wins" dataDxfId="447">
      <calculatedColumnFormula>M8+M29+M50+M71+M92+M113</calculatedColumnFormula>
    </tableColumn>
    <tableColumn id="4" xr3:uid="{F340980B-9818-44CD-839E-1CE580EFB60A}" name="battles-take-rate" dataDxfId="446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45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44" headerRowBorderDxfId="443" tableBorderDxfId="442" totalsRowBorderDxfId="441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40">
      <calculatedColumnFormula>L13+L34+L55+L76+L97+L118</calculatedColumnFormula>
    </tableColumn>
    <tableColumn id="3" xr3:uid="{C75B917B-4ECC-4DD1-9024-BE6CDFC7ADF6}" name="wins" dataDxfId="439">
      <calculatedColumnFormula>M13+M34+M55+M76+M97+M118</calculatedColumnFormula>
    </tableColumn>
    <tableColumn id="4" xr3:uid="{33AA1918-8E3F-4AE7-B461-1D2AFB04069A}" name="battles-take-rate" dataDxfId="438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37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36" headerRowBorderDxfId="435" tableBorderDxfId="434" totalsRowBorderDxfId="433">
  <autoFilter ref="A17:E20" xr:uid="{2AADA4A0-2F4A-4009-8ECF-0BECA693390C}"/>
  <tableColumns count="5">
    <tableColumn id="1" xr3:uid="{0F824B32-1B2D-4DB9-A0E4-042F6AAA65D0}" name="ability" dataDxfId="432"/>
    <tableColumn id="2" xr3:uid="{C861246F-E022-49C0-BFAD-6CD3013B0246}" name="takes" dataDxfId="431">
      <calculatedColumnFormula>L18+L39+L60+L81+L102+L123</calculatedColumnFormula>
    </tableColumn>
    <tableColumn id="3" xr3:uid="{3FA0E70F-04C8-4FC4-898C-79D0A5C6E6C3}" name="wins" dataDxfId="430">
      <calculatedColumnFormula>M18+M39+M60+M81+M102+M123</calculatedColumnFormula>
    </tableColumn>
    <tableColumn id="4" xr3:uid="{047E06AD-872B-4FB4-9AB8-8B8E2717658B}" name="battles-take-rate" dataDxfId="429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28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36">
      <calculatedColumnFormula>S3+S24+S45+S66+S87+S108</calculatedColumnFormula>
    </tableColumn>
    <tableColumn id="3" xr3:uid="{F4CFC04E-00E1-447E-954B-909DEBE33E7C}" name="shield" dataDxfId="1735">
      <calculatedColumnFormula>T3+T24+T45+T66+T87+T108</calculatedColumnFormula>
    </tableColumn>
    <tableColumn id="4" xr3:uid="{3051F8DD-C458-45A9-A22A-CA5DF4CE7313}" name="chestpiece" dataDxfId="1734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27">
      <calculatedColumnFormula>R3+R24+R45+R66+R87+R108</calculatedColumnFormula>
    </tableColumn>
    <tableColumn id="4" xr3:uid="{F2CC5FCF-C346-4903-B131-24F9A7A7ADC9}" name="chestpiece" dataDxfId="42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25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24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23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22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21" headerRowBorderDxfId="420" tableBorderDxfId="419" totalsRowBorderDxfId="418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17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16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15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14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413" headerRowBorderDxfId="412" tableBorderDxfId="411" totalsRowBorderDxfId="410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409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408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407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406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405" headerRowBorderDxfId="404" tableBorderDxfId="403" totalsRowBorderDxfId="402">
  <autoFilter ref="K17:O20" xr:uid="{01E0B516-A92C-45D4-946B-0FCF2F31D98A}"/>
  <tableColumns count="5">
    <tableColumn id="1" xr3:uid="{95251227-5274-48FA-A791-C1AC52DA6F2E}" name="ability" dataDxfId="401"/>
    <tableColumn id="2" xr3:uid="{B7211C4B-8C9B-4B1A-B9B4-26E32C837D31}" name="takes" dataDxfId="400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399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398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397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396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395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394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393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92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91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90" headerRowBorderDxfId="389" tableBorderDxfId="388" totalsRowBorderDxfId="387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86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85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84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83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82" headerRowBorderDxfId="381" tableBorderDxfId="380" totalsRowBorderDxfId="379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78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77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76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75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74" headerRowBorderDxfId="373" tableBorderDxfId="372" totalsRowBorderDxfId="371">
  <autoFilter ref="K38:O41" xr:uid="{A1F38E75-59DE-4DB4-B81C-C0322397F6F7}"/>
  <tableColumns count="5">
    <tableColumn id="1" xr3:uid="{D120DB3D-0A5D-420D-9741-6F25B01853C8}" name="ability" dataDxfId="370"/>
    <tableColumn id="2" xr3:uid="{917AA9FD-5BE5-479F-8517-062A9D4A84E5}" name="takes" dataDxfId="369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68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67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66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33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32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31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30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65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64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63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62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61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60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59" headerRowBorderDxfId="358" tableBorderDxfId="357" totalsRowBorderDxfId="356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55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54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53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52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51" headerRowBorderDxfId="350" tableBorderDxfId="349" totalsRowBorderDxfId="348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47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46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45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44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43" headerRowBorderDxfId="342" tableBorderDxfId="341" totalsRowBorderDxfId="340">
  <autoFilter ref="K59:O62" xr:uid="{DDB7F110-02A6-4F67-8266-251AF48CB7C0}"/>
  <tableColumns count="5">
    <tableColumn id="1" xr3:uid="{10AC8AF3-38AA-4A13-B22D-4BB6F815DE68}" name="ability" dataDxfId="339"/>
    <tableColumn id="2" xr3:uid="{71D3D958-AF17-4056-8501-6475CD621FEA}" name="takes" dataDxfId="338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37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36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35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34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33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32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31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30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29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28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27" headerRowBorderDxfId="326" tableBorderDxfId="325" totalsRowBorderDxfId="324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23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22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21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20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19" headerRowBorderDxfId="318" tableBorderDxfId="317" totalsRowBorderDxfId="316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15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14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313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312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29" headerRowBorderDxfId="1728" tableBorderDxfId="1727" totalsRowBorderDxfId="1726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25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24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23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22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311" headerRowBorderDxfId="310" tableBorderDxfId="309" totalsRowBorderDxfId="308">
  <autoFilter ref="K80:O83" xr:uid="{F49F780C-91EA-4137-817A-655CE8B0C91F}"/>
  <tableColumns count="5">
    <tableColumn id="1" xr3:uid="{138AE503-6600-46A3-BBD7-4F7DDB8524ED}" name="ability" dataDxfId="307"/>
    <tableColumn id="2" xr3:uid="{38FBAF79-85EE-4F74-89FD-CD7FAD9E38AA}" name="takes" dataDxfId="306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305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304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303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302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301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300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299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298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297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296" headerRowBorderDxfId="295" tableBorderDxfId="294" totalsRowBorderDxfId="293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92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91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90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89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88" headerRowBorderDxfId="287" tableBorderDxfId="286" totalsRowBorderDxfId="285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84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83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82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81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80" headerRowBorderDxfId="279" tableBorderDxfId="278" totalsRowBorderDxfId="277">
  <autoFilter ref="K101:O104" xr:uid="{C6F46D23-B1D4-4713-9D97-360EE74CE1F5}"/>
  <tableColumns count="5">
    <tableColumn id="1" xr3:uid="{B3B7DCCA-7B08-4F79-AC94-5F36F2CC9893}" name="ability" dataDxfId="276"/>
    <tableColumn id="2" xr3:uid="{72F61BD1-75B1-4082-BCF0-F09B0A4179AF}" name="takes" dataDxfId="275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74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73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72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71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70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69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68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67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66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65" headerRowBorderDxfId="264" tableBorderDxfId="263" totalsRowBorderDxfId="262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61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60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59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58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57" headerRowBorderDxfId="256" tableBorderDxfId="255" totalsRowBorderDxfId="254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53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52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51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50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21" headerRowBorderDxfId="1720" tableBorderDxfId="1719" totalsRowBorderDxfId="1718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17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16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15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14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49" headerRowBorderDxfId="248" tableBorderDxfId="247" totalsRowBorderDxfId="246">
  <autoFilter ref="K122:O125" xr:uid="{1A744E4A-3571-459A-BF22-53EBC8CB38DE}"/>
  <tableColumns count="5">
    <tableColumn id="1" xr3:uid="{979953D5-0824-493D-B92F-3E4881005717}" name="ability" dataDxfId="245"/>
    <tableColumn id="2" xr3:uid="{4ED6C1EE-CA65-44BD-8EB5-9DEE908DECE5}" name="takes" dataDxfId="244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43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42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41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40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39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38">
      <calculatedColumnFormula>M3+M24+M45+M66+M87+M108</calculatedColumnFormula>
    </tableColumn>
    <tableColumn id="4" xr3:uid="{CDAB9E23-22AA-4C01-8C82-A6CA62B02527}" name="wins" dataDxfId="237">
      <calculatedColumnFormula>N3+N24+N45+N66+N87+N108</calculatedColumnFormula>
    </tableColumn>
    <tableColumn id="5" xr3:uid="{10E225D8-ED8B-4DEA-B697-D56C9AC10EDE}" name="battles-take-rate" dataDxfId="236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35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34" headerRowBorderDxfId="233" tableBorderDxfId="232" totalsRowBorderDxfId="231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30">
      <calculatedColumnFormula>M8+M29+M50+M71+M92+M113</calculatedColumnFormula>
    </tableColumn>
    <tableColumn id="3" xr3:uid="{B90DED9A-FB36-4010-A0F2-A4F4295C587D}" name="wins" dataDxfId="229">
      <calculatedColumnFormula>N8+N29+N50+N71+N92+N113</calculatedColumnFormula>
    </tableColumn>
    <tableColumn id="4" xr3:uid="{BE0E10ED-A980-43A5-9BDF-619C73B41AFB}" name="battles-take-rate" dataDxfId="228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27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26" headerRowBorderDxfId="225" tableBorderDxfId="224" totalsRowBorderDxfId="223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22">
      <calculatedColumnFormula>M13+M34+M55+M76+M97+M118</calculatedColumnFormula>
    </tableColumn>
    <tableColumn id="3" xr3:uid="{4F19BEBF-12CE-4B6C-A863-4DF3FEA28027}" name="wins" dataDxfId="221">
      <calculatedColumnFormula>N13+N34+N55+N76+N97+N118</calculatedColumnFormula>
    </tableColumn>
    <tableColumn id="4" xr3:uid="{797719FB-C470-4B00-B35C-54DF472BB4A2}" name="battles-take-rate" dataDxfId="220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19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18" headerRowBorderDxfId="217" tableBorderDxfId="216" totalsRowBorderDxfId="215">
  <autoFilter ref="A17:E20" xr:uid="{2AADA4A0-2F4A-4009-8ECF-0BECA693390C}"/>
  <tableColumns count="5">
    <tableColumn id="1" xr3:uid="{797653A4-EDCA-4C4D-A3D4-CD6135488CE9}" name="ability" dataDxfId="214"/>
    <tableColumn id="2" xr3:uid="{9958885A-546E-4B41-BF74-36A6885A316D}" name="takes" dataDxfId="213">
      <calculatedColumnFormula>M18+M39+M60+M81+M102+M123</calculatedColumnFormula>
    </tableColumn>
    <tableColumn id="3" xr3:uid="{F49FD5D1-7963-494A-BE27-74BE85A96B9D}" name="wins" dataDxfId="212">
      <calculatedColumnFormula>N18+N39+N60+N81+N102+N123</calculatedColumnFormula>
    </tableColumn>
    <tableColumn id="4" xr3:uid="{F7EC00D3-61D4-46E7-BE58-31BDB9ED271A}" name="battles-take-rate" dataDxfId="211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210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209">
      <calculatedColumnFormula>S3+S24+S45+S66+S87+S108</calculatedColumnFormula>
    </tableColumn>
    <tableColumn id="3" xr3:uid="{39E8DCAE-D493-4A26-A9B3-9996C564CEE7}" name="blade" dataDxfId="208">
      <calculatedColumnFormula>T3+T24+T45+T66+T87+T108</calculatedColumnFormula>
    </tableColumn>
    <tableColumn id="4" xr3:uid="{F082B021-59DE-4852-B1B3-0AA25C478097}" name="chestpiece" dataDxfId="207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206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205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204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203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202" headerRowBorderDxfId="201" tableBorderDxfId="200" totalsRowBorderDxfId="199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198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197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196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195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194" headerRowBorderDxfId="193" tableBorderDxfId="192" totalsRowBorderDxfId="191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90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89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88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87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713" headerRowBorderDxfId="1712" tableBorderDxfId="1711" totalsRowBorderDxfId="1710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709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708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707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706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86" headerRowBorderDxfId="185" tableBorderDxfId="184" totalsRowBorderDxfId="183">
  <autoFilter ref="L17:P20" xr:uid="{01E0B516-A92C-45D4-946B-0FCF2F31D98A}"/>
  <tableColumns count="5">
    <tableColumn id="1" xr3:uid="{E980F6C0-E93A-4FFA-8E1B-7186BE3B4D2B}" name="ability" dataDxfId="182"/>
    <tableColumn id="2" xr3:uid="{387091C3-7426-4F2A-A753-72A1D81097AE}" name="takes" dataDxfId="181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80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79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78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77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76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75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74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73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72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71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70" headerRowBorderDxfId="169" tableBorderDxfId="168" totalsRowBorderDxfId="167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66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65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64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63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62" headerRowBorderDxfId="161" tableBorderDxfId="160" totalsRowBorderDxfId="159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58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57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56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55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54" headerRowBorderDxfId="153" tableBorderDxfId="152" totalsRowBorderDxfId="151">
  <autoFilter ref="L38:P41" xr:uid="{A1F38E75-59DE-4DB4-B81C-C0322397F6F7}"/>
  <tableColumns count="5">
    <tableColumn id="1" xr3:uid="{B108F2DF-4A32-4ECF-B16B-02A49181826D}" name="ability" dataDxfId="150"/>
    <tableColumn id="2" xr3:uid="{A47622D9-162B-4188-B077-F04987EF9266}" name="takes" dataDxfId="149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48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47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46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45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44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43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42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41">
      <calculatedColumnFormula>COUNTIF(Scenario2[winner1-ability1],AvengerAbilities1Scenario2[[#This Row],[ability]])</calculatedColumnFormula>
    </tableColumn>
    <tableColumn id="5" xr3:uid="{9DB36862-AC92-48F0-8B86-87B94516CEAF}" name="battles-take-rate" dataDxfId="140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39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38" headerRowBorderDxfId="137" tableBorderDxfId="136" totalsRowBorderDxfId="135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34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33">
      <calculatedColumnFormula>COUNTIF(Scenario2[winner1-ability2],AvengerAbilities2Scenario2[[#This Row],[ability]])</calculatedColumnFormula>
    </tableColumn>
    <tableColumn id="4" xr3:uid="{16676FDF-F72D-4A46-9456-4F4E86ACEDE3}" name="battles-take-rate" dataDxfId="132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31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30" headerRowBorderDxfId="129" tableBorderDxfId="128" totalsRowBorderDxfId="127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26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25">
      <calculatedColumnFormula>COUNTIF(Scenario2[winner1-ability3],AvengerAbilities3Scenario2[[#This Row],[ability]])</calculatedColumnFormula>
    </tableColumn>
    <tableColumn id="4" xr3:uid="{6EA1CE83-F097-4979-BAF4-5E5DD321C889}" name="battles-take-rate" dataDxfId="124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23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705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704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703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22" headerRowBorderDxfId="121" tableBorderDxfId="120" totalsRowBorderDxfId="119">
  <autoFilter ref="L59:P62" xr:uid="{DDB7F110-02A6-4F67-8266-251AF48CB7C0}"/>
  <tableColumns count="5">
    <tableColumn id="1" xr3:uid="{0228B3A4-F54D-4604-AAB4-26F241807E53}" name="ability" dataDxfId="118"/>
    <tableColumn id="2" xr3:uid="{BE2ED41F-9201-4A8E-B960-2268FAC34946}" name="takes" dataDxfId="117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16">
      <calculatedColumnFormula>COUNTIF(Scenario2[winner1-ability4],AvengerAbilities4Scenario2[[#This Row],[ability]])</calculatedColumnFormula>
    </tableColumn>
    <tableColumn id="4" xr3:uid="{5D2EF02F-DEB6-4E46-A7E5-3F277ED38E6B}" name="battles-take-rate" dataDxfId="115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14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113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112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111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110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109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108">
      <calculatedColumnFormula>COUNTIF(Scenario3[winner1-ability1],AvengerAbilities1Scenario3[[#This Row],[ability]])</calculatedColumnFormula>
    </tableColumn>
    <tableColumn id="5" xr3:uid="{925E1B42-8A3A-40EE-9A46-817810CDD8FB}" name="battles-take-rate" dataDxfId="107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106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105" headerRowBorderDxfId="104" tableBorderDxfId="103" totalsRowBorderDxfId="102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101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100">
      <calculatedColumnFormula>COUNTIF(Scenario3[winner1-ability2],AvengerAbilities2Scenario3[[#This Row],[ability]])</calculatedColumnFormula>
    </tableColumn>
    <tableColumn id="4" xr3:uid="{DA0323F7-D766-4C91-9345-7103E5B2B2FA}" name="battles-take-rate" dataDxfId="99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98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97" headerRowBorderDxfId="96" tableBorderDxfId="95" totalsRowBorderDxfId="94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93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92">
      <calculatedColumnFormula>COUNTIF(Scenario3[winner1-ability3],AvengerAbilities3Scenario3[[#This Row],[ability]])</calculatedColumnFormula>
    </tableColumn>
    <tableColumn id="4" xr3:uid="{DC30695C-AE61-4301-A803-CC651376959D}" name="battles-take-rate" dataDxfId="91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90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89" headerRowBorderDxfId="88" tableBorderDxfId="87" totalsRowBorderDxfId="86">
  <autoFilter ref="L80:P83" xr:uid="{DFBA6C76-2A45-4005-8A4B-B62B537356D5}"/>
  <tableColumns count="5">
    <tableColumn id="1" xr3:uid="{8C137A68-6D0C-49C3-8547-6CB48E7F2480}" name="ability" dataDxfId="85"/>
    <tableColumn id="2" xr3:uid="{BD1DED06-4C3E-47DC-8BD0-68CA34A1DA7A}" name="takes" dataDxfId="84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83">
      <calculatedColumnFormula>COUNTIF(Scenario3[winner1-ability4],AvengerAbilities4Scenario3[[#This Row],[ability]])</calculatedColumnFormula>
    </tableColumn>
    <tableColumn id="4" xr3:uid="{B8548539-0603-48EF-9DA8-3DCC5CD89D09}" name="battles-take-rate" dataDxfId="82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81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80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79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78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77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76">
      <calculatedColumnFormula>COUNTIF(Scenario4[winner1-ability1],AvengerAbilities1Scenario4[[#This Row],[ability]])</calculatedColumnFormula>
    </tableColumn>
    <tableColumn id="5" xr3:uid="{2B01D9E4-5C78-4A53-A8EA-8D87E0149485}" name="battles-take-rate" dataDxfId="75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74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73" headerRowBorderDxfId="72" tableBorderDxfId="71" totalsRowBorderDxfId="70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69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68">
      <calculatedColumnFormula>COUNTIF(Scenario4[winner1-ability2],AvengerAbilities2Scenario4[[#This Row],[ability]])</calculatedColumnFormula>
    </tableColumn>
    <tableColumn id="4" xr3:uid="{0CB5E9F8-1096-4C85-BE7F-5AA7B8C01603}" name="battles-take-rate" dataDxfId="67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66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10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09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08" totalsRowDxfId="1807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702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701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700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699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65" headerRowBorderDxfId="64" tableBorderDxfId="63" totalsRowBorderDxfId="62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61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60">
      <calculatedColumnFormula>COUNTIF(Scenario4[winner1-ability3],AvengerAbilities3Scenario4[[#This Row],[ability]])</calculatedColumnFormula>
    </tableColumn>
    <tableColumn id="4" xr3:uid="{C7BFDFBD-FC68-477D-8FFA-2D300E1AA89D}" name="battles-take-rate" dataDxfId="59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58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57" headerRowBorderDxfId="56" tableBorderDxfId="55" totalsRowBorderDxfId="54">
  <autoFilter ref="L101:P104" xr:uid="{E0C2D5AA-63BE-4431-96B6-ED61F1B43B2C}"/>
  <tableColumns count="5">
    <tableColumn id="1" xr3:uid="{69A79FA2-C7FA-4C00-84A3-F37C8FA60546}" name="ability" dataDxfId="53"/>
    <tableColumn id="2" xr3:uid="{E2E7B263-F388-4826-AF29-E7140D39D1AF}" name="takes" dataDxfId="52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51">
      <calculatedColumnFormula>COUNTIF(Scenario4[winner1-ability4],AvengerAbilities4Scenario4[[#This Row],[ability]])</calculatedColumnFormula>
    </tableColumn>
    <tableColumn id="4" xr3:uid="{4AF24253-BE96-42B9-8264-BF3FCEE7A29E}" name="battles-take-rate" dataDxfId="50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49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48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47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46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45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44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43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42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41" headerRowBorderDxfId="40" tableBorderDxfId="39" totalsRowBorderDxfId="38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37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36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35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34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33" headerRowBorderDxfId="32" tableBorderDxfId="31" totalsRowBorderDxfId="30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29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28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27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26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25" headerRowBorderDxfId="24" tableBorderDxfId="23" totalsRowBorderDxfId="22">
  <autoFilter ref="L122:P125" xr:uid="{F160D1D4-E2CA-4D0C-84EC-AA2A7E301211}"/>
  <tableColumns count="5">
    <tableColumn id="1" xr3:uid="{F60168F8-23AE-4CFB-A091-D964CDF9CCBB}" name="ability" dataDxfId="21"/>
    <tableColumn id="2" xr3:uid="{3A51F650-A9B5-4C31-8F09-AC78E854A77D}" name="takes" dataDxfId="20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19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18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17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16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15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14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698" headerRowBorderDxfId="1697" tableBorderDxfId="1696" totalsRowBorderDxfId="1695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694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693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92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91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90" headerRowBorderDxfId="1689" tableBorderDxfId="1688" totalsRowBorderDxfId="1687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86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85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84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83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82" headerRowBorderDxfId="1681" tableBorderDxfId="1680" totalsRowBorderDxfId="1679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78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77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76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75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74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73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72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71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70">
      <calculatedColumnFormula>COUNTIF(Scenario2[winner1-ability1],ParagonAbilities1Scenario2[[#This Row],[ability]])</calculatedColumnFormula>
    </tableColumn>
    <tableColumn id="5" xr3:uid="{B6F725F9-59F1-4BBC-88E3-95CB9FA3D9B4}" name="battles-take-rate" dataDxfId="1669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68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67" headerRowBorderDxfId="1666" tableBorderDxfId="1665" totalsRowBorderDxfId="1664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63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62">
      <calculatedColumnFormula>COUNTIF(Scenario2[winner1-ability2],ParagonAbilities2Scenario2[[#This Row],[ability]])</calculatedColumnFormula>
    </tableColumn>
    <tableColumn id="4" xr3:uid="{E051F2C9-AD26-4F86-BA73-06F989437A9B}" name="battles-take-rate" dataDxfId="1661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60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59" headerRowBorderDxfId="1658" tableBorderDxfId="1657" totalsRowBorderDxfId="1656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55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54">
      <calculatedColumnFormula>COUNTIF(Scenario2[winner1-ability3],ParagonAbilities3Scenario2[[#This Row],[ability]])</calculatedColumnFormula>
    </tableColumn>
    <tableColumn id="4" xr3:uid="{A7CC83B2-A2E6-4450-9696-B55D92586553}" name="battles-take-rate" dataDxfId="1653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52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51" headerRowBorderDxfId="1650" tableBorderDxfId="1649" totalsRowBorderDxfId="1648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47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46">
      <calculatedColumnFormula>COUNTIF(Scenario2[winner1-ability4],ParagonAbilities4Scenario2[[#This Row],[ability]])</calculatedColumnFormula>
    </tableColumn>
    <tableColumn id="4" xr3:uid="{CA8861D8-C4EC-4F7B-8C03-8907F286C5FD}" name="battles-take-rate" dataDxfId="1645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44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43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42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41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11" totalsRowShown="0">
  <autoFilter ref="A1:AJ211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40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39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38">
      <calculatedColumnFormula>COUNTIF(Scenario3[winner1-ability1],ParagonAbilities1Scenario3[[#This Row],[ability]])</calculatedColumnFormula>
    </tableColumn>
    <tableColumn id="5" xr3:uid="{BF58455F-D839-40A6-B834-044CCA3A9D62}" name="battles-take-rate" dataDxfId="1637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36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35" headerRowBorderDxfId="1634" tableBorderDxfId="1633" totalsRowBorderDxfId="1632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31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30">
      <calculatedColumnFormula>COUNTIF(Scenario3[winner1-ability2],ParagonAbilities2Scenario3[[#This Row],[ability]])</calculatedColumnFormula>
    </tableColumn>
    <tableColumn id="4" xr3:uid="{A47A03CE-64B7-48DE-84FE-4869BB655C1E}" name="battles-take-rate" dataDxfId="1629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28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27" headerRowBorderDxfId="1626" tableBorderDxfId="1625" totalsRowBorderDxfId="1624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23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22">
      <calculatedColumnFormula>COUNTIF(Scenario3[winner1-ability3],ParagonAbilities3Scenario3[[#This Row],[ability]])</calculatedColumnFormula>
    </tableColumn>
    <tableColumn id="4" xr3:uid="{6962BF6D-C2E4-4653-B2E5-14FA4D687B66}" name="battles-take-rate" dataDxfId="1621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20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19" headerRowBorderDxfId="1618" tableBorderDxfId="1617" totalsRowBorderDxfId="1616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15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14">
      <calculatedColumnFormula>COUNTIF(Scenario3[winner1-ability4],ParagonAbilities4Scenario3[[#This Row],[ability]])</calculatedColumnFormula>
    </tableColumn>
    <tableColumn id="4" xr3:uid="{5564EF3F-A1E6-47F3-9245-63CBC8BF13EA}" name="battles-take-rate" dataDxfId="1613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612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611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610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609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608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607">
      <calculatedColumnFormula>COUNTIF(Scenario4[winner1-ability1],ParagonAbilities1Scenario4[[#This Row],[ability]])</calculatedColumnFormula>
    </tableColumn>
    <tableColumn id="5" xr3:uid="{A3A712DA-79C2-4E0A-B45F-24046DDDC055}" name="battles-take-rate" dataDxfId="1606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605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604" headerRowBorderDxfId="1603" tableBorderDxfId="1602" totalsRowBorderDxfId="1601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600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599">
      <calculatedColumnFormula>COUNTIF(Scenario4[winner1-ability2],ParagonAbilities2Scenario4[[#This Row],[ability]])</calculatedColumnFormula>
    </tableColumn>
    <tableColumn id="4" xr3:uid="{1F4853F6-9A8B-440D-A883-73FBA3E2B146}" name="battles-take-rate" dataDxfId="1598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597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596" headerRowBorderDxfId="1595" tableBorderDxfId="1594" totalsRowBorderDxfId="1593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92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91">
      <calculatedColumnFormula>COUNTIF(Scenario4[winner1-ability3],ParagonAbilities3Scenario4[[#This Row],[ability]])</calculatedColumnFormula>
    </tableColumn>
    <tableColumn id="4" xr3:uid="{90E5726D-20F9-4F3A-A0E6-A5A6EC87E009}" name="battles-take-rate" dataDxfId="1590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89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88" headerRowBorderDxfId="1587" tableBorderDxfId="1586" totalsRowBorderDxfId="1585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84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83">
      <calculatedColumnFormula>COUNTIF(Scenario4[winner1-ability4],ParagonAbilities4Scenario4[[#This Row],[ability]])</calculatedColumnFormula>
    </tableColumn>
    <tableColumn id="4" xr3:uid="{5FA50C4E-7E25-4F47-8E1C-377ED6B583BF}" name="battles-take-rate" dataDxfId="1582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81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06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805"/>
    <tableColumn id="5" xr3:uid="{128C557E-8342-4183-B44E-301E27402F84}" name="hero-4"/>
    <tableColumn id="7" xr3:uid="{AAC6C4FD-799F-4646-B17E-E24AA4D9541B}" name="team-2-win" dataDxfId="1804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803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80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79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78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77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76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75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74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73" headerRowBorderDxfId="1572" tableBorderDxfId="1571" totalsRowBorderDxfId="1570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69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68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67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66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65" headerRowBorderDxfId="1564" tableBorderDxfId="1563" totalsRowBorderDxfId="1562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61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60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59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58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57" headerRowBorderDxfId="1556" tableBorderDxfId="1555" totalsRowBorderDxfId="1554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53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52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51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50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49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48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47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46">
      <calculatedColumnFormula>L3+L24+L45+L66+L87+L108</calculatedColumnFormula>
    </tableColumn>
    <tableColumn id="4" xr3:uid="{6AD8A7A2-0013-4031-8DAB-5AD3D8FCB173}" name="wins" dataDxfId="1545">
      <calculatedColumnFormula>M3+M24+M45+M66+M87+M108</calculatedColumnFormula>
    </tableColumn>
    <tableColumn id="5" xr3:uid="{B3552DFB-EAFC-4577-B811-AF0F9687BA5C}" name="battles-take-rate" dataDxfId="1544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43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42" headerRowBorderDxfId="1541" tableBorderDxfId="1540" totalsRowBorderDxfId="1539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38">
      <calculatedColumnFormula>L8+L29+L50+L71+L92+L113</calculatedColumnFormula>
    </tableColumn>
    <tableColumn id="3" xr3:uid="{8FEED0FA-3268-41B1-9503-BD07DCBD59EB}" name="wins" dataDxfId="1537">
      <calculatedColumnFormula>M8+M29+M50+M71+M92+M113</calculatedColumnFormula>
    </tableColumn>
    <tableColumn id="4" xr3:uid="{791570BF-CF63-4FF3-98A5-66F96870FBA2}" name="battles-take-rate" dataDxfId="1536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35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34" headerRowBorderDxfId="1533" tableBorderDxfId="1532" totalsRowBorderDxfId="1531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30">
      <calculatedColumnFormula>L13+L34+L55+L76+L97+L118</calculatedColumnFormula>
    </tableColumn>
    <tableColumn id="3" xr3:uid="{03C77734-0BE9-4820-9770-29ACD0AF0635}" name="wins" dataDxfId="1529">
      <calculatedColumnFormula>M13+M34+M55+M76+M97+M118</calculatedColumnFormula>
    </tableColumn>
    <tableColumn id="4" xr3:uid="{FE54A2A3-BC60-46B8-89C1-8C761FDDC67F}" name="battles-take-rate" dataDxfId="1528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27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26" headerRowBorderDxfId="1525" tableBorderDxfId="1524" totalsRowBorderDxfId="1523">
  <autoFilter ref="A17:E20" xr:uid="{2AADA4A0-2F4A-4009-8ECF-0BECA693390C}"/>
  <tableColumns count="5">
    <tableColumn id="1" xr3:uid="{87950E31-BAB1-44C5-9C72-3AB67D671CA7}" name="ability" dataDxfId="1522"/>
    <tableColumn id="2" xr3:uid="{C84CD939-93B2-4F85-A4F0-569665A45FE6}" name="takes" dataDxfId="1521">
      <calculatedColumnFormula>L18+L39+L60+L81+L102+L123</calculatedColumnFormula>
    </tableColumn>
    <tableColumn id="3" xr3:uid="{6B188D82-4BD2-4FF2-8C12-D56DAEB9B117}" name="wins" dataDxfId="1520">
      <calculatedColumnFormula>M18+M39+M60+M81+M102+M123</calculatedColumnFormula>
    </tableColumn>
    <tableColumn id="4" xr3:uid="{00FCF0E9-BE21-44DD-BE30-37EA8F3BBCFF}" name="battles-take-rate" dataDxfId="1519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18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802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801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800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17">
      <calculatedColumnFormula>R3+R24+R45+R66+R87+R108</calculatedColumnFormula>
    </tableColumn>
    <tableColumn id="4" xr3:uid="{6BFD5C7B-4CFB-4B7D-B8E9-5C10F667B91B}" name="chestpiece" dataDxfId="151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15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14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513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512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511" headerRowBorderDxfId="1510" tableBorderDxfId="1509" totalsRowBorderDxfId="1508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507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506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505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504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503" headerRowBorderDxfId="1502" tableBorderDxfId="1501" totalsRowBorderDxfId="1500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499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498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497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496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495" headerRowBorderDxfId="1494" tableBorderDxfId="1493" totalsRowBorderDxfId="1492">
  <autoFilter ref="K17:O20" xr:uid="{01E0B516-A92C-45D4-946B-0FCF2F31D98A}"/>
  <tableColumns count="5">
    <tableColumn id="1" xr3:uid="{AA1B6D33-74EE-498E-B851-AABC093752BF}" name="ability" dataDxfId="1491"/>
    <tableColumn id="2" xr3:uid="{638C4C88-BC79-4B67-BB2F-FBF29994B680}" name="takes" dataDxfId="1490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89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88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87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86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85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84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83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82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81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80" headerRowBorderDxfId="1479" tableBorderDxfId="1478" totalsRowBorderDxfId="1477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76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75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74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73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72" headerRowBorderDxfId="1471" tableBorderDxfId="1470" totalsRowBorderDxfId="1469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68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67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66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65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64" headerRowBorderDxfId="1463" tableBorderDxfId="1462" totalsRowBorderDxfId="1461">
  <autoFilter ref="K38:O41" xr:uid="{A1F38E75-59DE-4DB4-B81C-C0322397F6F7}"/>
  <tableColumns count="5">
    <tableColumn id="1" xr3:uid="{769AEF11-64B1-48E1-81F7-44ED789A5436}" name="ability" dataDxfId="1460"/>
    <tableColumn id="2" xr3:uid="{329ABE97-FD25-4B89-85FE-EF4B7E705884}" name="takes" dataDxfId="1459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58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57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56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7" totalsRowShown="0">
  <autoFilter ref="A1:T57" xr:uid="{00000000-0009-0000-0100-000001000000}"/>
  <tableColumns count="20">
    <tableColumn id="1" xr3:uid="{936E5295-3BC3-4630-97BC-068124807D82}" name="battle" dataDxfId="1799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55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54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53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52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51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50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49" headerRowBorderDxfId="1448" tableBorderDxfId="1447" totalsRowBorderDxfId="1446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45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44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43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42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41" headerRowBorderDxfId="1440" tableBorderDxfId="1439" totalsRowBorderDxfId="1438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37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36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35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34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33" headerRowBorderDxfId="1432" tableBorderDxfId="1431" totalsRowBorderDxfId="1430">
  <autoFilter ref="K59:O62" xr:uid="{DDB7F110-02A6-4F67-8266-251AF48CB7C0}"/>
  <tableColumns count="5">
    <tableColumn id="1" xr3:uid="{24AD3B9C-E89B-4255-AF6A-993728E1E88D}" name="ability" dataDxfId="1429"/>
    <tableColumn id="2" xr3:uid="{D8585D3A-FC34-4996-9EF2-60CC70EA9A7A}" name="takes" dataDxfId="1428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27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26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25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24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23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22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21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20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19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18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17" headerRowBorderDxfId="1416" tableBorderDxfId="1415" totalsRowBorderDxfId="1414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413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412">
      <calculatedColumnFormula>COUNTIF(Scenario3[winner1-ability2],HighlanderAbilities2Scenario3[[#This Row],[ability]])</calculatedColumnFormula>
    </tableColumn>
    <tableColumn id="4" xr3:uid="{AC2E8A6D-1967-4F4D-9C38-3C0B9FDFCCDD}" name="battles-take-rate" dataDxfId="1411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410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409" headerRowBorderDxfId="1408" tableBorderDxfId="1407" totalsRowBorderDxfId="1406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405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404">
      <calculatedColumnFormula>COUNTIF(Scenario3[winner1-ability3],HighlanderAbilities3Scenario3[[#This Row],[ability]])</calculatedColumnFormula>
    </tableColumn>
    <tableColumn id="4" xr3:uid="{7F7C697F-AC90-4790-AA3C-9EFBA9C5C3BF}" name="battles-take-rate" dataDxfId="1403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402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798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797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796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401" headerRowBorderDxfId="1400" tableBorderDxfId="1399" totalsRowBorderDxfId="1398">
  <autoFilter ref="K80:O83" xr:uid="{52A1E26F-8C1E-4E44-A492-D2899C5A6AF6}"/>
  <tableColumns count="5">
    <tableColumn id="1" xr3:uid="{169774FB-455A-4DE4-A18D-B9D975DF3A85}" name="ability" dataDxfId="1397"/>
    <tableColumn id="2" xr3:uid="{E20A1519-EC59-41A4-BE08-D8DBEAC7CA6C}" name="takes" dataDxfId="1396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395">
      <calculatedColumnFormula>COUNTIF(Scenario3[winner1-ability4],HighlanderAbilities4Scenario3[[#This Row],[ability]])</calculatedColumnFormula>
    </tableColumn>
    <tableColumn id="4" xr3:uid="{E0060D4D-D837-469A-8126-E998C0BE67B4}" name="battles-take-rate" dataDxfId="1394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393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92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91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90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89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88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87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86" headerRowBorderDxfId="1385" tableBorderDxfId="1384" totalsRowBorderDxfId="1383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82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81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80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79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78" headerRowBorderDxfId="1377" tableBorderDxfId="1376" totalsRowBorderDxfId="1375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74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73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72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71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70" headerRowBorderDxfId="1369" tableBorderDxfId="1368" totalsRowBorderDxfId="1367">
  <autoFilter ref="K101:O104" xr:uid="{3021A274-1944-499F-919F-F5D82E87C071}"/>
  <tableColumns count="5">
    <tableColumn id="1" xr3:uid="{6A10C915-2B4E-4171-B1A6-BA0E08BCB5E6}" name="ability" dataDxfId="1366"/>
    <tableColumn id="2" xr3:uid="{1B63CB98-3358-4BF6-B784-DAB5C7511C79}" name="takes" dataDxfId="1365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64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63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62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61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60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59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58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57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56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55" headerRowBorderDxfId="1354" tableBorderDxfId="1353" totalsRowBorderDxfId="1352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51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50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49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48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47" headerRowBorderDxfId="1346" tableBorderDxfId="1345" totalsRowBorderDxfId="1344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43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42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41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40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795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794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793" totalsRowDxfId="1792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39" headerRowBorderDxfId="1338" tableBorderDxfId="1337" totalsRowBorderDxfId="1336">
  <autoFilter ref="K122:O125" xr:uid="{865DBF38-999A-4183-A029-CB08FB30F44C}"/>
  <tableColumns count="5">
    <tableColumn id="1" xr3:uid="{41E29E68-60A8-423B-9021-7DFA08756E06}" name="ability" dataDxfId="1335"/>
    <tableColumn id="2" xr3:uid="{9CC3CC3F-42CE-4277-9DE5-B1A61D3DB62A}" name="takes" dataDxfId="1334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33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32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31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30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29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28">
      <calculatedColumnFormula>L3+L24+L45+L66+L87+L108</calculatedColumnFormula>
    </tableColumn>
    <tableColumn id="4" xr3:uid="{30745929-46B0-48D6-B955-7A2AC6D9C7E1}" name="wins" dataDxfId="1327">
      <calculatedColumnFormula>M3+M24+M45+M66+M87+M108</calculatedColumnFormula>
    </tableColumn>
    <tableColumn id="5" xr3:uid="{6D02BF52-C170-4CC1-9A86-21AB4BDB7626}" name="battles-take-rate" dataDxfId="1326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25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24" headerRowBorderDxfId="1323" tableBorderDxfId="1322" totalsRowBorderDxfId="1321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20">
      <calculatedColumnFormula>L8+L29+L50+L71+L92+L113</calculatedColumnFormula>
    </tableColumn>
    <tableColumn id="3" xr3:uid="{48DF5F5A-0975-4E8D-B144-712277591A94}" name="wins" dataDxfId="1319">
      <calculatedColumnFormula>M8+M29+M50+M71+M92+M113</calculatedColumnFormula>
    </tableColumn>
    <tableColumn id="4" xr3:uid="{268E7864-1892-40A3-BCCF-FE157CEB565E}" name="battles-take-rate" dataDxfId="1318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17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16" headerRowBorderDxfId="1315" tableBorderDxfId="1314" totalsRowBorderDxfId="1313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312">
      <calculatedColumnFormula>L13+L34+L55+L76+L97+L118</calculatedColumnFormula>
    </tableColumn>
    <tableColumn id="3" xr3:uid="{925C0493-2E5C-4E18-B248-24590FEA740E}" name="wins" dataDxfId="1311">
      <calculatedColumnFormula>M13+M34+M55+M76+M97+M118</calculatedColumnFormula>
    </tableColumn>
    <tableColumn id="4" xr3:uid="{7164F2B9-2D78-40B4-A513-E10635D154E9}" name="battles-take-rate" dataDxfId="1310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309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308" headerRowBorderDxfId="1307" tableBorderDxfId="1306" totalsRowBorderDxfId="1305">
  <autoFilter ref="A17:E20" xr:uid="{2AADA4A0-2F4A-4009-8ECF-0BECA693390C}"/>
  <tableColumns count="5">
    <tableColumn id="1" xr3:uid="{B55E8E85-9B14-4EFC-B40F-2ADF016F740F}" name="ability" dataDxfId="1304"/>
    <tableColumn id="2" xr3:uid="{076E566F-F5E9-47AA-B1B5-F3E7825F4999}" name="takes" dataDxfId="1303">
      <calculatedColumnFormula>L18+L39+L60+L81+L102+L123</calculatedColumnFormula>
    </tableColumn>
    <tableColumn id="3" xr3:uid="{322B89F0-887F-4B61-98E6-57F772ED36C6}" name="wins" dataDxfId="1302">
      <calculatedColumnFormula>M18+M39+M60+M81+M102+M123</calculatedColumnFormula>
    </tableColumn>
    <tableColumn id="4" xr3:uid="{DD000198-4098-4FC5-A3B5-6351F4B85BF2}" name="battles-take-rate" dataDxfId="1301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300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299">
      <calculatedColumnFormula>R3+R24+R45+R66+R87+R108</calculatedColumnFormula>
    </tableColumn>
    <tableColumn id="4" xr3:uid="{59B0F45B-3883-4EBA-BA1D-13246CC2FDE2}" name="chestpiece" dataDxfId="1298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297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296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295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294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293" headerRowBorderDxfId="1292" tableBorderDxfId="1291" totalsRowBorderDxfId="1290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89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88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87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86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85" headerRowBorderDxfId="1284" tableBorderDxfId="1283" totalsRowBorderDxfId="1282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81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80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79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78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topLeftCell="A86" workbookViewId="0">
      <selection activeCell="AN44" sqref="AN44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227</v>
      </c>
      <c r="B2">
        <v>0</v>
      </c>
      <c r="C2" t="s">
        <v>53</v>
      </c>
      <c r="D2">
        <v>2</v>
      </c>
      <c r="E2">
        <v>1</v>
      </c>
      <c r="F2">
        <v>1</v>
      </c>
      <c r="G2" t="s">
        <v>54</v>
      </c>
      <c r="K2" t="s">
        <v>56</v>
      </c>
      <c r="L2">
        <v>1</v>
      </c>
      <c r="N2">
        <v>1</v>
      </c>
      <c r="O2" t="s">
        <v>57</v>
      </c>
      <c r="S2" t="s">
        <v>48</v>
      </c>
      <c r="T2">
        <v>1</v>
      </c>
      <c r="V2">
        <v>1</v>
      </c>
      <c r="W2" t="s">
        <v>49</v>
      </c>
      <c r="AA2" t="s">
        <v>33</v>
      </c>
      <c r="AB2">
        <v>2</v>
      </c>
      <c r="AD2">
        <v>1</v>
      </c>
      <c r="AE2" t="s">
        <v>46</v>
      </c>
      <c r="AI2">
        <v>2</v>
      </c>
      <c r="AJ2">
        <v>22</v>
      </c>
    </row>
    <row r="3" spans="1:36" x14ac:dyDescent="0.25">
      <c r="A3" t="s">
        <v>228</v>
      </c>
      <c r="B3">
        <v>1</v>
      </c>
      <c r="C3" t="s">
        <v>53</v>
      </c>
      <c r="D3">
        <v>1</v>
      </c>
      <c r="E3">
        <v>1</v>
      </c>
      <c r="F3">
        <v>1</v>
      </c>
      <c r="G3" t="s">
        <v>54</v>
      </c>
      <c r="H3" t="s">
        <v>113</v>
      </c>
      <c r="K3" t="s">
        <v>56</v>
      </c>
      <c r="L3">
        <v>3</v>
      </c>
      <c r="N3">
        <v>2</v>
      </c>
      <c r="O3" t="s">
        <v>57</v>
      </c>
      <c r="P3" t="s">
        <v>122</v>
      </c>
      <c r="Q3" t="s">
        <v>85</v>
      </c>
      <c r="R3" t="s">
        <v>125</v>
      </c>
      <c r="S3" t="s">
        <v>48</v>
      </c>
      <c r="T3">
        <v>3</v>
      </c>
      <c r="V3">
        <v>3</v>
      </c>
      <c r="W3" t="s">
        <v>49</v>
      </c>
      <c r="AA3" t="s">
        <v>43</v>
      </c>
      <c r="AB3">
        <v>3</v>
      </c>
      <c r="AD3">
        <v>1</v>
      </c>
      <c r="AE3" t="s">
        <v>135</v>
      </c>
      <c r="AF3" t="s">
        <v>99</v>
      </c>
      <c r="AI3">
        <v>14</v>
      </c>
      <c r="AJ3">
        <v>39</v>
      </c>
    </row>
    <row r="4" spans="1:36" x14ac:dyDescent="0.25">
      <c r="A4" t="s">
        <v>229</v>
      </c>
      <c r="B4">
        <v>2</v>
      </c>
      <c r="C4" t="s">
        <v>48</v>
      </c>
      <c r="D4">
        <v>1</v>
      </c>
      <c r="F4">
        <v>1</v>
      </c>
      <c r="G4" t="s">
        <v>49</v>
      </c>
      <c r="K4" t="s">
        <v>45</v>
      </c>
      <c r="L4">
        <v>3</v>
      </c>
      <c r="N4">
        <v>2</v>
      </c>
      <c r="O4" t="s">
        <v>47</v>
      </c>
      <c r="S4" t="s">
        <v>53</v>
      </c>
      <c r="T4">
        <v>2</v>
      </c>
      <c r="U4">
        <v>1</v>
      </c>
      <c r="V4">
        <v>1</v>
      </c>
      <c r="W4" t="s">
        <v>111</v>
      </c>
      <c r="X4" t="s">
        <v>83</v>
      </c>
      <c r="Y4" t="s">
        <v>114</v>
      </c>
      <c r="AA4" t="s">
        <v>56</v>
      </c>
      <c r="AB4">
        <v>1</v>
      </c>
      <c r="AD4">
        <v>2</v>
      </c>
      <c r="AE4" t="s">
        <v>57</v>
      </c>
      <c r="AF4" t="s">
        <v>122</v>
      </c>
      <c r="AI4">
        <v>8</v>
      </c>
      <c r="AJ4">
        <v>35</v>
      </c>
    </row>
    <row r="5" spans="1:36" x14ac:dyDescent="0.25">
      <c r="A5" t="s">
        <v>230</v>
      </c>
      <c r="B5">
        <v>3</v>
      </c>
      <c r="C5" t="s">
        <v>53</v>
      </c>
      <c r="D5">
        <v>2</v>
      </c>
      <c r="E5">
        <v>1</v>
      </c>
      <c r="F5">
        <v>1</v>
      </c>
      <c r="G5" t="s">
        <v>54</v>
      </c>
      <c r="K5" t="s">
        <v>56</v>
      </c>
      <c r="L5">
        <v>2</v>
      </c>
      <c r="N5">
        <v>1</v>
      </c>
      <c r="O5" t="s">
        <v>57</v>
      </c>
      <c r="P5" t="s">
        <v>122</v>
      </c>
      <c r="Q5" t="s">
        <v>85</v>
      </c>
      <c r="S5" t="s">
        <v>48</v>
      </c>
      <c r="T5">
        <v>3</v>
      </c>
      <c r="V5">
        <v>1</v>
      </c>
      <c r="W5" t="s">
        <v>49</v>
      </c>
      <c r="AA5" t="s">
        <v>63</v>
      </c>
      <c r="AB5">
        <v>1</v>
      </c>
      <c r="AD5">
        <v>1</v>
      </c>
      <c r="AE5" t="s">
        <v>103</v>
      </c>
      <c r="AF5" t="s">
        <v>95</v>
      </c>
      <c r="AI5">
        <v>7</v>
      </c>
      <c r="AJ5">
        <v>30</v>
      </c>
    </row>
    <row r="6" spans="1:36" x14ac:dyDescent="0.25">
      <c r="A6" t="s">
        <v>231</v>
      </c>
      <c r="B6">
        <v>4</v>
      </c>
      <c r="C6" t="s">
        <v>48</v>
      </c>
      <c r="D6">
        <v>2</v>
      </c>
      <c r="F6">
        <v>1</v>
      </c>
      <c r="G6" t="s">
        <v>49</v>
      </c>
      <c r="K6" t="s">
        <v>38</v>
      </c>
      <c r="L6">
        <v>2</v>
      </c>
      <c r="M6">
        <v>1</v>
      </c>
      <c r="N6">
        <v>1</v>
      </c>
      <c r="O6" t="s">
        <v>152</v>
      </c>
      <c r="S6" t="s">
        <v>53</v>
      </c>
      <c r="T6">
        <v>1</v>
      </c>
      <c r="U6">
        <v>1</v>
      </c>
      <c r="V6">
        <v>1</v>
      </c>
      <c r="W6" t="s">
        <v>54</v>
      </c>
      <c r="X6" t="s">
        <v>83</v>
      </c>
      <c r="AA6" t="s">
        <v>56</v>
      </c>
      <c r="AB6">
        <v>1</v>
      </c>
      <c r="AD6">
        <v>1</v>
      </c>
      <c r="AE6" t="s">
        <v>57</v>
      </c>
      <c r="AI6">
        <v>3</v>
      </c>
      <c r="AJ6">
        <v>26</v>
      </c>
    </row>
    <row r="7" spans="1:36" x14ac:dyDescent="0.25">
      <c r="A7" t="s">
        <v>232</v>
      </c>
      <c r="B7">
        <v>5</v>
      </c>
      <c r="C7" t="s">
        <v>33</v>
      </c>
      <c r="D7">
        <v>1</v>
      </c>
      <c r="F7">
        <v>1</v>
      </c>
      <c r="G7" t="s">
        <v>46</v>
      </c>
      <c r="K7" t="s">
        <v>43</v>
      </c>
      <c r="L7">
        <v>2</v>
      </c>
      <c r="N7">
        <v>1</v>
      </c>
      <c r="O7" t="s">
        <v>135</v>
      </c>
      <c r="P7" t="s">
        <v>74</v>
      </c>
      <c r="Q7" t="s">
        <v>137</v>
      </c>
      <c r="S7" t="s">
        <v>53</v>
      </c>
      <c r="T7">
        <v>2</v>
      </c>
      <c r="U7">
        <v>3</v>
      </c>
      <c r="V7">
        <v>2</v>
      </c>
      <c r="W7" t="s">
        <v>111</v>
      </c>
      <c r="AA7" t="s">
        <v>56</v>
      </c>
      <c r="AB7">
        <v>1</v>
      </c>
      <c r="AD7">
        <v>1</v>
      </c>
      <c r="AE7" t="s">
        <v>120</v>
      </c>
      <c r="AI7">
        <v>7</v>
      </c>
      <c r="AJ7">
        <v>44</v>
      </c>
    </row>
    <row r="8" spans="1:36" x14ac:dyDescent="0.25">
      <c r="A8" t="s">
        <v>233</v>
      </c>
      <c r="B8">
        <v>6</v>
      </c>
      <c r="C8" t="s">
        <v>33</v>
      </c>
      <c r="D8">
        <v>1</v>
      </c>
      <c r="F8">
        <v>3</v>
      </c>
      <c r="G8" t="s">
        <v>46</v>
      </c>
      <c r="K8" t="s">
        <v>45</v>
      </c>
      <c r="L8">
        <v>2</v>
      </c>
      <c r="N8">
        <v>1</v>
      </c>
      <c r="O8" t="s">
        <v>47</v>
      </c>
      <c r="S8" t="s">
        <v>53</v>
      </c>
      <c r="T8">
        <v>2</v>
      </c>
      <c r="U8">
        <v>1</v>
      </c>
      <c r="V8">
        <v>3</v>
      </c>
      <c r="W8" t="s">
        <v>54</v>
      </c>
      <c r="AA8" t="s">
        <v>56</v>
      </c>
      <c r="AB8">
        <v>1</v>
      </c>
      <c r="AD8">
        <v>1</v>
      </c>
      <c r="AE8" t="s">
        <v>68</v>
      </c>
      <c r="AI8">
        <v>6</v>
      </c>
      <c r="AJ8">
        <v>23</v>
      </c>
    </row>
    <row r="9" spans="1:36" x14ac:dyDescent="0.25">
      <c r="A9" t="s">
        <v>234</v>
      </c>
      <c r="B9">
        <v>7</v>
      </c>
      <c r="C9" t="s">
        <v>53</v>
      </c>
      <c r="D9">
        <v>1</v>
      </c>
      <c r="E9">
        <v>1</v>
      </c>
      <c r="F9">
        <v>1</v>
      </c>
      <c r="G9" t="s">
        <v>54</v>
      </c>
      <c r="K9" t="s">
        <v>56</v>
      </c>
      <c r="L9">
        <v>2</v>
      </c>
      <c r="N9">
        <v>1</v>
      </c>
      <c r="O9" t="s">
        <v>57</v>
      </c>
      <c r="P9" t="s">
        <v>122</v>
      </c>
      <c r="Q9" t="s">
        <v>85</v>
      </c>
      <c r="S9" t="s">
        <v>33</v>
      </c>
      <c r="T9">
        <v>2</v>
      </c>
      <c r="V9">
        <v>1</v>
      </c>
      <c r="W9" t="s">
        <v>46</v>
      </c>
      <c r="AA9" t="s">
        <v>63</v>
      </c>
      <c r="AB9">
        <v>1</v>
      </c>
      <c r="AD9">
        <v>1</v>
      </c>
      <c r="AE9" t="s">
        <v>103</v>
      </c>
      <c r="AF9" t="s">
        <v>91</v>
      </c>
      <c r="AI9">
        <v>5</v>
      </c>
      <c r="AJ9">
        <v>24</v>
      </c>
    </row>
    <row r="10" spans="1:36" x14ac:dyDescent="0.25">
      <c r="A10" t="s">
        <v>235</v>
      </c>
      <c r="B10">
        <v>8</v>
      </c>
      <c r="C10" t="s">
        <v>33</v>
      </c>
      <c r="D10">
        <v>2</v>
      </c>
      <c r="F10">
        <v>1</v>
      </c>
      <c r="G10" t="s">
        <v>46</v>
      </c>
      <c r="K10" t="s">
        <v>38</v>
      </c>
      <c r="L10">
        <v>1</v>
      </c>
      <c r="M10">
        <v>1</v>
      </c>
      <c r="N10">
        <v>1</v>
      </c>
      <c r="O10" t="s">
        <v>152</v>
      </c>
      <c r="S10" t="s">
        <v>53</v>
      </c>
      <c r="T10">
        <v>2</v>
      </c>
      <c r="U10">
        <v>1</v>
      </c>
      <c r="V10">
        <v>1</v>
      </c>
      <c r="W10" t="s">
        <v>54</v>
      </c>
      <c r="AA10" t="s">
        <v>56</v>
      </c>
      <c r="AB10">
        <v>2</v>
      </c>
      <c r="AD10">
        <v>1</v>
      </c>
      <c r="AE10" t="s">
        <v>68</v>
      </c>
      <c r="AF10" t="s">
        <v>69</v>
      </c>
      <c r="AI10">
        <v>4</v>
      </c>
      <c r="AJ10">
        <v>23</v>
      </c>
    </row>
    <row r="11" spans="1:36" x14ac:dyDescent="0.25">
      <c r="A11" t="s">
        <v>236</v>
      </c>
      <c r="B11">
        <v>9</v>
      </c>
      <c r="C11" t="s">
        <v>43</v>
      </c>
      <c r="D11">
        <v>1</v>
      </c>
      <c r="F11">
        <v>1</v>
      </c>
      <c r="G11" t="s">
        <v>135</v>
      </c>
      <c r="H11" t="s">
        <v>99</v>
      </c>
      <c r="I11" t="s">
        <v>137</v>
      </c>
      <c r="J11" t="s">
        <v>138</v>
      </c>
      <c r="K11" t="s">
        <v>45</v>
      </c>
      <c r="L11">
        <v>2</v>
      </c>
      <c r="N11">
        <v>1</v>
      </c>
      <c r="O11" t="s">
        <v>47</v>
      </c>
      <c r="P11" t="s">
        <v>141</v>
      </c>
      <c r="S11" t="s">
        <v>53</v>
      </c>
      <c r="T11">
        <v>1</v>
      </c>
      <c r="U11">
        <v>1</v>
      </c>
      <c r="V11">
        <v>1</v>
      </c>
      <c r="W11" t="s">
        <v>54</v>
      </c>
      <c r="AA11" t="s">
        <v>56</v>
      </c>
      <c r="AB11">
        <v>2</v>
      </c>
      <c r="AD11">
        <v>1</v>
      </c>
      <c r="AE11" t="s">
        <v>68</v>
      </c>
      <c r="AF11" t="s">
        <v>121</v>
      </c>
      <c r="AI11">
        <v>7</v>
      </c>
      <c r="AJ11">
        <v>69</v>
      </c>
    </row>
    <row r="12" spans="1:36" x14ac:dyDescent="0.25">
      <c r="A12" s="36" t="s">
        <v>237</v>
      </c>
      <c r="B12">
        <v>10</v>
      </c>
      <c r="C12" t="s">
        <v>53</v>
      </c>
      <c r="D12">
        <v>1</v>
      </c>
      <c r="E12">
        <v>1</v>
      </c>
      <c r="F12">
        <v>1</v>
      </c>
      <c r="G12" t="s">
        <v>54</v>
      </c>
      <c r="K12" t="s">
        <v>56</v>
      </c>
      <c r="L12">
        <v>2</v>
      </c>
      <c r="N12">
        <v>1</v>
      </c>
      <c r="O12" t="s">
        <v>68</v>
      </c>
      <c r="P12" t="s">
        <v>122</v>
      </c>
      <c r="S12" t="s">
        <v>43</v>
      </c>
      <c r="T12">
        <v>1</v>
      </c>
      <c r="V12">
        <v>1</v>
      </c>
      <c r="W12" t="s">
        <v>135</v>
      </c>
      <c r="X12" t="s">
        <v>74</v>
      </c>
      <c r="AA12" t="s">
        <v>63</v>
      </c>
      <c r="AB12">
        <v>1</v>
      </c>
      <c r="AD12">
        <v>1</v>
      </c>
      <c r="AE12" t="s">
        <v>103</v>
      </c>
      <c r="AI12">
        <v>3</v>
      </c>
      <c r="AJ12">
        <v>24</v>
      </c>
    </row>
    <row r="13" spans="1:36" x14ac:dyDescent="0.25">
      <c r="A13" t="s">
        <v>238</v>
      </c>
      <c r="B13">
        <v>11</v>
      </c>
      <c r="C13" t="s">
        <v>43</v>
      </c>
      <c r="D13">
        <v>3</v>
      </c>
      <c r="F13">
        <v>3</v>
      </c>
      <c r="G13" t="s">
        <v>135</v>
      </c>
      <c r="H13" t="s">
        <v>74</v>
      </c>
      <c r="I13" t="s">
        <v>137</v>
      </c>
      <c r="J13" t="s">
        <v>138</v>
      </c>
      <c r="K13" t="s">
        <v>38</v>
      </c>
      <c r="L13">
        <v>1</v>
      </c>
      <c r="M13">
        <v>1</v>
      </c>
      <c r="N13">
        <v>1</v>
      </c>
      <c r="O13" t="s">
        <v>152</v>
      </c>
      <c r="S13" t="s">
        <v>53</v>
      </c>
      <c r="T13">
        <v>2</v>
      </c>
      <c r="U13">
        <v>1</v>
      </c>
      <c r="V13">
        <v>1</v>
      </c>
      <c r="W13" t="s">
        <v>54</v>
      </c>
      <c r="AA13" t="s">
        <v>56</v>
      </c>
      <c r="AB13">
        <v>3</v>
      </c>
      <c r="AD13">
        <v>2</v>
      </c>
      <c r="AE13" t="s">
        <v>68</v>
      </c>
      <c r="AI13">
        <v>12</v>
      </c>
      <c r="AJ13">
        <v>39</v>
      </c>
    </row>
    <row r="14" spans="1:36" x14ac:dyDescent="0.25">
      <c r="A14" t="s">
        <v>239</v>
      </c>
      <c r="B14">
        <v>12</v>
      </c>
      <c r="C14" t="s">
        <v>45</v>
      </c>
      <c r="D14">
        <v>3</v>
      </c>
      <c r="F14">
        <v>2</v>
      </c>
      <c r="G14" t="s">
        <v>86</v>
      </c>
      <c r="H14" t="s">
        <v>76</v>
      </c>
      <c r="I14" t="s">
        <v>93</v>
      </c>
      <c r="K14" t="s">
        <v>63</v>
      </c>
      <c r="L14">
        <v>1</v>
      </c>
      <c r="N14">
        <v>1</v>
      </c>
      <c r="O14" t="s">
        <v>103</v>
      </c>
      <c r="P14" t="s">
        <v>95</v>
      </c>
      <c r="S14" t="s">
        <v>53</v>
      </c>
      <c r="T14">
        <v>3</v>
      </c>
      <c r="U14">
        <v>1</v>
      </c>
      <c r="V14">
        <v>1</v>
      </c>
      <c r="W14" t="s">
        <v>54</v>
      </c>
      <c r="X14" t="s">
        <v>55</v>
      </c>
      <c r="Y14" t="s">
        <v>97</v>
      </c>
      <c r="AA14" t="s">
        <v>56</v>
      </c>
      <c r="AB14">
        <v>1</v>
      </c>
      <c r="AD14">
        <v>1</v>
      </c>
      <c r="AE14" t="s">
        <v>57</v>
      </c>
      <c r="AI14">
        <v>10</v>
      </c>
      <c r="AJ14">
        <v>30</v>
      </c>
    </row>
    <row r="15" spans="1:36" x14ac:dyDescent="0.25">
      <c r="A15" t="s">
        <v>240</v>
      </c>
      <c r="B15">
        <v>13</v>
      </c>
      <c r="C15" t="s">
        <v>45</v>
      </c>
      <c r="D15">
        <v>3</v>
      </c>
      <c r="F15">
        <v>2</v>
      </c>
      <c r="G15" t="s">
        <v>86</v>
      </c>
      <c r="K15" t="s">
        <v>38</v>
      </c>
      <c r="L15">
        <v>1</v>
      </c>
      <c r="M15">
        <v>1</v>
      </c>
      <c r="N15">
        <v>1</v>
      </c>
      <c r="O15" t="s">
        <v>152</v>
      </c>
      <c r="P15" t="s">
        <v>40</v>
      </c>
      <c r="S15" t="s">
        <v>53</v>
      </c>
      <c r="T15">
        <v>3</v>
      </c>
      <c r="U15">
        <v>1</v>
      </c>
      <c r="V15">
        <v>2</v>
      </c>
      <c r="W15" t="s">
        <v>54</v>
      </c>
      <c r="X15" t="s">
        <v>55</v>
      </c>
      <c r="AA15" t="s">
        <v>56</v>
      </c>
      <c r="AB15">
        <v>1</v>
      </c>
      <c r="AD15">
        <v>1</v>
      </c>
      <c r="AE15" t="s">
        <v>68</v>
      </c>
      <c r="AI15">
        <v>8</v>
      </c>
      <c r="AJ15">
        <v>26</v>
      </c>
    </row>
    <row r="16" spans="1:36" x14ac:dyDescent="0.25">
      <c r="A16" t="s">
        <v>241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54</v>
      </c>
      <c r="H16" t="s">
        <v>55</v>
      </c>
      <c r="K16" t="s">
        <v>56</v>
      </c>
      <c r="L16">
        <v>1</v>
      </c>
      <c r="N16">
        <v>1</v>
      </c>
      <c r="O16" t="s">
        <v>57</v>
      </c>
      <c r="P16" t="s">
        <v>122</v>
      </c>
      <c r="S16" t="s">
        <v>63</v>
      </c>
      <c r="T16">
        <v>1</v>
      </c>
      <c r="V16">
        <v>1</v>
      </c>
      <c r="W16" t="s">
        <v>103</v>
      </c>
      <c r="AA16" t="s">
        <v>38</v>
      </c>
      <c r="AB16">
        <v>2</v>
      </c>
      <c r="AC16">
        <v>1</v>
      </c>
      <c r="AD16">
        <v>1</v>
      </c>
      <c r="AE16" t="s">
        <v>152</v>
      </c>
      <c r="AI16">
        <v>4</v>
      </c>
      <c r="AJ16">
        <v>21</v>
      </c>
    </row>
    <row r="17" spans="1:36" x14ac:dyDescent="0.25">
      <c r="A17" t="s">
        <v>242</v>
      </c>
      <c r="B17">
        <v>15</v>
      </c>
      <c r="C17" t="s">
        <v>56</v>
      </c>
      <c r="D17">
        <v>2</v>
      </c>
      <c r="F17">
        <v>1</v>
      </c>
      <c r="G17" t="s">
        <v>57</v>
      </c>
      <c r="H17" t="s">
        <v>122</v>
      </c>
      <c r="K17" t="s">
        <v>33</v>
      </c>
      <c r="L17">
        <v>1</v>
      </c>
      <c r="N17">
        <v>3</v>
      </c>
      <c r="O17" t="s">
        <v>46</v>
      </c>
      <c r="S17" t="s">
        <v>53</v>
      </c>
      <c r="T17">
        <v>2</v>
      </c>
      <c r="U17">
        <v>1</v>
      </c>
      <c r="V17">
        <v>3</v>
      </c>
      <c r="W17" t="s">
        <v>54</v>
      </c>
      <c r="X17" t="s">
        <v>55</v>
      </c>
      <c r="AA17" t="s">
        <v>48</v>
      </c>
      <c r="AB17">
        <v>2</v>
      </c>
      <c r="AD17">
        <v>1</v>
      </c>
      <c r="AE17" t="s">
        <v>89</v>
      </c>
      <c r="AI17">
        <v>9</v>
      </c>
      <c r="AJ17">
        <v>28</v>
      </c>
    </row>
    <row r="18" spans="1:36" x14ac:dyDescent="0.25">
      <c r="A18" t="s">
        <v>243</v>
      </c>
      <c r="B18">
        <v>16</v>
      </c>
      <c r="C18" t="s">
        <v>56</v>
      </c>
      <c r="D18">
        <v>1</v>
      </c>
      <c r="F18">
        <v>1</v>
      </c>
      <c r="G18" t="s">
        <v>57</v>
      </c>
      <c r="H18" t="s">
        <v>122</v>
      </c>
      <c r="I18" t="s">
        <v>85</v>
      </c>
      <c r="K18" t="s">
        <v>43</v>
      </c>
      <c r="L18">
        <v>1</v>
      </c>
      <c r="N18">
        <v>1</v>
      </c>
      <c r="O18" t="s">
        <v>135</v>
      </c>
      <c r="P18" t="s">
        <v>74</v>
      </c>
      <c r="Q18" t="s">
        <v>75</v>
      </c>
      <c r="R18" t="s">
        <v>101</v>
      </c>
      <c r="S18" t="s">
        <v>53</v>
      </c>
      <c r="T18">
        <v>1</v>
      </c>
      <c r="U18">
        <v>3</v>
      </c>
      <c r="V18">
        <v>1</v>
      </c>
      <c r="W18" t="s">
        <v>54</v>
      </c>
      <c r="AA18" t="s">
        <v>48</v>
      </c>
      <c r="AB18">
        <v>3</v>
      </c>
      <c r="AD18">
        <v>1</v>
      </c>
      <c r="AE18" t="s">
        <v>89</v>
      </c>
      <c r="AI18">
        <v>9</v>
      </c>
      <c r="AJ18">
        <v>22</v>
      </c>
    </row>
    <row r="19" spans="1:36" x14ac:dyDescent="0.25">
      <c r="A19" t="s">
        <v>244</v>
      </c>
      <c r="B19">
        <v>17</v>
      </c>
      <c r="C19" t="s">
        <v>56</v>
      </c>
      <c r="D19">
        <v>1</v>
      </c>
      <c r="F19">
        <v>1</v>
      </c>
      <c r="G19" t="s">
        <v>57</v>
      </c>
      <c r="H19" t="s">
        <v>122</v>
      </c>
      <c r="I19" t="s">
        <v>85</v>
      </c>
      <c r="K19" t="s">
        <v>45</v>
      </c>
      <c r="L19">
        <v>3</v>
      </c>
      <c r="N19">
        <v>1</v>
      </c>
      <c r="O19" t="s">
        <v>47</v>
      </c>
      <c r="S19" t="s">
        <v>53</v>
      </c>
      <c r="T19">
        <v>2</v>
      </c>
      <c r="U19">
        <v>1</v>
      </c>
      <c r="V19">
        <v>1</v>
      </c>
      <c r="W19" t="s">
        <v>54</v>
      </c>
      <c r="AA19" t="s">
        <v>48</v>
      </c>
      <c r="AB19">
        <v>1</v>
      </c>
      <c r="AD19">
        <v>1</v>
      </c>
      <c r="AE19" t="s">
        <v>89</v>
      </c>
      <c r="AI19">
        <v>5</v>
      </c>
      <c r="AJ19">
        <v>19</v>
      </c>
    </row>
    <row r="20" spans="1:36" x14ac:dyDescent="0.25">
      <c r="A20" t="s">
        <v>245</v>
      </c>
      <c r="B20">
        <v>18</v>
      </c>
      <c r="C20" t="s">
        <v>53</v>
      </c>
      <c r="D20">
        <v>2</v>
      </c>
      <c r="E20">
        <v>1</v>
      </c>
      <c r="F20">
        <v>1</v>
      </c>
      <c r="G20" t="s">
        <v>54</v>
      </c>
      <c r="K20" t="s">
        <v>48</v>
      </c>
      <c r="L20">
        <v>2</v>
      </c>
      <c r="N20">
        <v>1</v>
      </c>
      <c r="O20" t="s">
        <v>49</v>
      </c>
      <c r="S20" t="s">
        <v>56</v>
      </c>
      <c r="T20">
        <v>2</v>
      </c>
      <c r="V20">
        <v>1</v>
      </c>
      <c r="W20" t="s">
        <v>57</v>
      </c>
      <c r="X20" t="s">
        <v>122</v>
      </c>
      <c r="AA20" t="s">
        <v>63</v>
      </c>
      <c r="AB20">
        <v>1</v>
      </c>
      <c r="AD20">
        <v>1</v>
      </c>
      <c r="AE20" t="s">
        <v>103</v>
      </c>
      <c r="AF20" t="s">
        <v>91</v>
      </c>
      <c r="AI20">
        <v>5</v>
      </c>
      <c r="AJ20">
        <v>29</v>
      </c>
    </row>
    <row r="21" spans="1:36" x14ac:dyDescent="0.25">
      <c r="A21" t="s">
        <v>246</v>
      </c>
      <c r="B21">
        <v>19</v>
      </c>
      <c r="C21" t="s">
        <v>53</v>
      </c>
      <c r="D21">
        <v>1</v>
      </c>
      <c r="E21">
        <v>1</v>
      </c>
      <c r="F21">
        <v>1</v>
      </c>
      <c r="G21" t="s">
        <v>54</v>
      </c>
      <c r="K21" t="s">
        <v>48</v>
      </c>
      <c r="L21">
        <v>3</v>
      </c>
      <c r="N21">
        <v>2</v>
      </c>
      <c r="O21" t="s">
        <v>49</v>
      </c>
      <c r="P21" t="s">
        <v>84</v>
      </c>
      <c r="Q21" t="s">
        <v>90</v>
      </c>
      <c r="R21" t="s">
        <v>52</v>
      </c>
      <c r="S21" t="s">
        <v>56</v>
      </c>
      <c r="T21">
        <v>3</v>
      </c>
      <c r="V21">
        <v>3</v>
      </c>
      <c r="W21" t="s">
        <v>57</v>
      </c>
      <c r="X21" t="s">
        <v>122</v>
      </c>
      <c r="Y21" t="s">
        <v>85</v>
      </c>
      <c r="Z21" t="s">
        <v>88</v>
      </c>
      <c r="AA21" t="s">
        <v>38</v>
      </c>
      <c r="AB21">
        <v>1</v>
      </c>
      <c r="AC21">
        <v>1</v>
      </c>
      <c r="AD21">
        <v>1</v>
      </c>
      <c r="AE21" t="s">
        <v>152</v>
      </c>
      <c r="AI21">
        <v>13</v>
      </c>
      <c r="AJ21">
        <v>47</v>
      </c>
    </row>
    <row r="22" spans="1:36" x14ac:dyDescent="0.25">
      <c r="A22" t="s">
        <v>247</v>
      </c>
      <c r="B22">
        <v>20</v>
      </c>
      <c r="C22" t="s">
        <v>33</v>
      </c>
      <c r="D22">
        <v>2</v>
      </c>
      <c r="F22">
        <v>2</v>
      </c>
      <c r="G22" t="s">
        <v>46</v>
      </c>
      <c r="K22" t="s">
        <v>43</v>
      </c>
      <c r="L22">
        <v>1</v>
      </c>
      <c r="N22">
        <v>1</v>
      </c>
      <c r="O22" t="s">
        <v>135</v>
      </c>
      <c r="P22" t="s">
        <v>74</v>
      </c>
      <c r="S22" t="s">
        <v>53</v>
      </c>
      <c r="T22">
        <v>1</v>
      </c>
      <c r="U22">
        <v>1</v>
      </c>
      <c r="V22">
        <v>1</v>
      </c>
      <c r="W22" t="s">
        <v>54</v>
      </c>
      <c r="AA22" t="s">
        <v>48</v>
      </c>
      <c r="AB22">
        <v>3</v>
      </c>
      <c r="AD22">
        <v>1</v>
      </c>
      <c r="AE22" t="s">
        <v>89</v>
      </c>
      <c r="AI22">
        <v>5</v>
      </c>
      <c r="AJ22">
        <v>19</v>
      </c>
    </row>
    <row r="23" spans="1:36" x14ac:dyDescent="0.25">
      <c r="A23" t="s">
        <v>248</v>
      </c>
      <c r="B23">
        <v>21</v>
      </c>
      <c r="C23" t="s">
        <v>33</v>
      </c>
      <c r="D23">
        <v>2</v>
      </c>
      <c r="F23">
        <v>3</v>
      </c>
      <c r="G23" t="s">
        <v>46</v>
      </c>
      <c r="K23" t="s">
        <v>45</v>
      </c>
      <c r="L23">
        <v>2</v>
      </c>
      <c r="N23">
        <v>1</v>
      </c>
      <c r="O23" t="s">
        <v>47</v>
      </c>
      <c r="S23" t="s">
        <v>53</v>
      </c>
      <c r="T23">
        <v>1</v>
      </c>
      <c r="U23">
        <v>1</v>
      </c>
      <c r="V23">
        <v>1</v>
      </c>
      <c r="W23" t="s">
        <v>54</v>
      </c>
      <c r="AA23" t="s">
        <v>48</v>
      </c>
      <c r="AB23">
        <v>2</v>
      </c>
      <c r="AD23">
        <v>1</v>
      </c>
      <c r="AE23" t="s">
        <v>89</v>
      </c>
      <c r="AI23">
        <v>5</v>
      </c>
      <c r="AJ23">
        <v>36</v>
      </c>
    </row>
    <row r="24" spans="1:36" x14ac:dyDescent="0.25">
      <c r="A24" t="s">
        <v>249</v>
      </c>
      <c r="B24">
        <v>22</v>
      </c>
      <c r="C24" t="s">
        <v>33</v>
      </c>
      <c r="D24">
        <v>2</v>
      </c>
      <c r="F24">
        <v>1</v>
      </c>
      <c r="G24" t="s">
        <v>46</v>
      </c>
      <c r="K24" t="s">
        <v>63</v>
      </c>
      <c r="L24">
        <v>2</v>
      </c>
      <c r="N24">
        <v>1</v>
      </c>
      <c r="O24" t="s">
        <v>103</v>
      </c>
      <c r="P24" t="s">
        <v>146</v>
      </c>
      <c r="S24" t="s">
        <v>53</v>
      </c>
      <c r="T24">
        <v>2</v>
      </c>
      <c r="U24">
        <v>1</v>
      </c>
      <c r="V24">
        <v>1</v>
      </c>
      <c r="W24" t="s">
        <v>54</v>
      </c>
      <c r="X24" t="s">
        <v>113</v>
      </c>
      <c r="AA24" t="s">
        <v>48</v>
      </c>
      <c r="AB24">
        <v>1</v>
      </c>
      <c r="AD24">
        <v>1</v>
      </c>
      <c r="AE24" t="s">
        <v>49</v>
      </c>
      <c r="AI24">
        <v>5</v>
      </c>
      <c r="AJ24">
        <v>28</v>
      </c>
    </row>
    <row r="25" spans="1:36" x14ac:dyDescent="0.25">
      <c r="A25" t="s">
        <v>250</v>
      </c>
      <c r="B25">
        <v>23</v>
      </c>
      <c r="C25" t="s">
        <v>33</v>
      </c>
      <c r="D25">
        <v>2</v>
      </c>
      <c r="F25">
        <v>2</v>
      </c>
      <c r="G25" t="s">
        <v>46</v>
      </c>
      <c r="K25" t="s">
        <v>38</v>
      </c>
      <c r="L25">
        <v>1</v>
      </c>
      <c r="M25">
        <v>1</v>
      </c>
      <c r="N25">
        <v>2</v>
      </c>
      <c r="O25" t="s">
        <v>152</v>
      </c>
      <c r="P25" t="s">
        <v>70</v>
      </c>
      <c r="S25" t="s">
        <v>53</v>
      </c>
      <c r="T25">
        <v>1</v>
      </c>
      <c r="U25">
        <v>1</v>
      </c>
      <c r="V25">
        <v>2</v>
      </c>
      <c r="W25" t="s">
        <v>54</v>
      </c>
      <c r="AA25" t="s">
        <v>48</v>
      </c>
      <c r="AB25">
        <v>1</v>
      </c>
      <c r="AD25">
        <v>1</v>
      </c>
      <c r="AE25" t="s">
        <v>89</v>
      </c>
      <c r="AI25">
        <v>5</v>
      </c>
      <c r="AJ25">
        <v>28</v>
      </c>
    </row>
    <row r="26" spans="1:36" x14ac:dyDescent="0.25">
      <c r="A26" t="s">
        <v>251</v>
      </c>
      <c r="B26">
        <v>24</v>
      </c>
      <c r="C26" t="s">
        <v>43</v>
      </c>
      <c r="D26">
        <v>1</v>
      </c>
      <c r="F26">
        <v>1</v>
      </c>
      <c r="G26" t="s">
        <v>135</v>
      </c>
      <c r="H26" t="s">
        <v>74</v>
      </c>
      <c r="I26" t="s">
        <v>137</v>
      </c>
      <c r="J26" t="s">
        <v>101</v>
      </c>
      <c r="K26" t="s">
        <v>45</v>
      </c>
      <c r="L26">
        <v>3</v>
      </c>
      <c r="N26">
        <v>1</v>
      </c>
      <c r="O26" t="s">
        <v>47</v>
      </c>
      <c r="S26" t="s">
        <v>53</v>
      </c>
      <c r="T26">
        <v>2</v>
      </c>
      <c r="U26">
        <v>2</v>
      </c>
      <c r="V26">
        <v>1</v>
      </c>
      <c r="W26" t="s">
        <v>54</v>
      </c>
      <c r="AA26" t="s">
        <v>48</v>
      </c>
      <c r="AB26">
        <v>3</v>
      </c>
      <c r="AD26">
        <v>1</v>
      </c>
      <c r="AE26" t="s">
        <v>89</v>
      </c>
      <c r="AI26">
        <v>9</v>
      </c>
      <c r="AJ26">
        <v>27</v>
      </c>
    </row>
    <row r="27" spans="1:36" x14ac:dyDescent="0.25">
      <c r="A27" t="s">
        <v>252</v>
      </c>
      <c r="B27">
        <v>25</v>
      </c>
      <c r="C27" t="s">
        <v>43</v>
      </c>
      <c r="D27">
        <v>2</v>
      </c>
      <c r="F27">
        <v>1</v>
      </c>
      <c r="G27" t="s">
        <v>135</v>
      </c>
      <c r="K27" t="s">
        <v>63</v>
      </c>
      <c r="L27">
        <v>1</v>
      </c>
      <c r="N27">
        <v>1</v>
      </c>
      <c r="O27" t="s">
        <v>103</v>
      </c>
      <c r="S27" t="s">
        <v>53</v>
      </c>
      <c r="T27">
        <v>1</v>
      </c>
      <c r="U27">
        <v>1</v>
      </c>
      <c r="V27">
        <v>1</v>
      </c>
      <c r="W27" t="s">
        <v>54</v>
      </c>
      <c r="AA27" t="s">
        <v>48</v>
      </c>
      <c r="AB27">
        <v>1</v>
      </c>
      <c r="AD27">
        <v>1</v>
      </c>
      <c r="AE27" t="s">
        <v>49</v>
      </c>
      <c r="AI27">
        <v>1</v>
      </c>
      <c r="AJ27">
        <v>30</v>
      </c>
    </row>
    <row r="28" spans="1:36" x14ac:dyDescent="0.25">
      <c r="A28" t="s">
        <v>253</v>
      </c>
      <c r="B28">
        <v>26</v>
      </c>
      <c r="C28" t="s">
        <v>43</v>
      </c>
      <c r="D28">
        <v>2</v>
      </c>
      <c r="F28">
        <v>2</v>
      </c>
      <c r="G28" t="s">
        <v>135</v>
      </c>
      <c r="H28" t="s">
        <v>74</v>
      </c>
      <c r="I28" t="s">
        <v>137</v>
      </c>
      <c r="K28" t="s">
        <v>38</v>
      </c>
      <c r="L28">
        <v>2</v>
      </c>
      <c r="M28">
        <v>1</v>
      </c>
      <c r="N28">
        <v>1</v>
      </c>
      <c r="O28" t="s">
        <v>152</v>
      </c>
      <c r="P28" t="s">
        <v>96</v>
      </c>
      <c r="S28" t="s">
        <v>53</v>
      </c>
      <c r="T28">
        <v>3</v>
      </c>
      <c r="U28">
        <v>1</v>
      </c>
      <c r="V28">
        <v>2</v>
      </c>
      <c r="W28" t="s">
        <v>54</v>
      </c>
      <c r="X28" t="s">
        <v>83</v>
      </c>
      <c r="AA28" t="s">
        <v>48</v>
      </c>
      <c r="AB28">
        <v>1</v>
      </c>
      <c r="AD28">
        <v>1</v>
      </c>
      <c r="AE28" t="s">
        <v>89</v>
      </c>
      <c r="AI28">
        <v>10</v>
      </c>
      <c r="AJ28">
        <v>27</v>
      </c>
    </row>
    <row r="29" spans="1:36" x14ac:dyDescent="0.25">
      <c r="A29" t="s">
        <v>254</v>
      </c>
      <c r="B29">
        <v>27</v>
      </c>
      <c r="C29" t="s">
        <v>45</v>
      </c>
      <c r="D29">
        <v>3</v>
      </c>
      <c r="F29">
        <v>2</v>
      </c>
      <c r="G29" t="s">
        <v>47</v>
      </c>
      <c r="K29" t="s">
        <v>63</v>
      </c>
      <c r="L29">
        <v>2</v>
      </c>
      <c r="N29">
        <v>1</v>
      </c>
      <c r="O29" t="s">
        <v>103</v>
      </c>
      <c r="S29" t="s">
        <v>53</v>
      </c>
      <c r="T29">
        <v>2</v>
      </c>
      <c r="U29">
        <v>2</v>
      </c>
      <c r="V29">
        <v>1</v>
      </c>
      <c r="W29" t="s">
        <v>54</v>
      </c>
      <c r="AA29" t="s">
        <v>48</v>
      </c>
      <c r="AB29">
        <v>1</v>
      </c>
      <c r="AD29">
        <v>1</v>
      </c>
      <c r="AE29" t="s">
        <v>49</v>
      </c>
      <c r="AI29">
        <v>6</v>
      </c>
      <c r="AJ29">
        <v>35</v>
      </c>
    </row>
    <row r="30" spans="1:36" x14ac:dyDescent="0.25">
      <c r="A30" t="s">
        <v>255</v>
      </c>
      <c r="B30">
        <v>28</v>
      </c>
      <c r="C30" t="s">
        <v>53</v>
      </c>
      <c r="D30">
        <v>2</v>
      </c>
      <c r="E30">
        <v>1</v>
      </c>
      <c r="F30">
        <v>1</v>
      </c>
      <c r="G30" t="s">
        <v>54</v>
      </c>
      <c r="K30" t="s">
        <v>48</v>
      </c>
      <c r="L30">
        <v>1</v>
      </c>
      <c r="N30">
        <v>1</v>
      </c>
      <c r="O30" t="s">
        <v>89</v>
      </c>
      <c r="P30" t="s">
        <v>50</v>
      </c>
      <c r="Q30" t="s">
        <v>127</v>
      </c>
      <c r="R30" t="s">
        <v>128</v>
      </c>
      <c r="S30" t="s">
        <v>45</v>
      </c>
      <c r="T30">
        <v>2</v>
      </c>
      <c r="V30">
        <v>1</v>
      </c>
      <c r="W30" t="s">
        <v>47</v>
      </c>
      <c r="AA30" t="s">
        <v>38</v>
      </c>
      <c r="AB30">
        <v>1</v>
      </c>
      <c r="AC30">
        <v>1</v>
      </c>
      <c r="AD30">
        <v>1</v>
      </c>
      <c r="AE30" t="s">
        <v>152</v>
      </c>
      <c r="AI30">
        <v>5</v>
      </c>
      <c r="AJ30">
        <v>25</v>
      </c>
    </row>
    <row r="31" spans="1:36" x14ac:dyDescent="0.25">
      <c r="A31" t="s">
        <v>256</v>
      </c>
      <c r="B31">
        <v>29</v>
      </c>
      <c r="C31" t="s">
        <v>53</v>
      </c>
      <c r="D31">
        <v>3</v>
      </c>
      <c r="E31">
        <v>1</v>
      </c>
      <c r="F31">
        <v>2</v>
      </c>
      <c r="G31" t="s">
        <v>54</v>
      </c>
      <c r="H31" t="s">
        <v>83</v>
      </c>
      <c r="I31" t="s">
        <v>97</v>
      </c>
      <c r="K31" t="s">
        <v>48</v>
      </c>
      <c r="L31">
        <v>1</v>
      </c>
      <c r="N31">
        <v>1</v>
      </c>
      <c r="O31" t="s">
        <v>49</v>
      </c>
      <c r="P31" t="s">
        <v>50</v>
      </c>
      <c r="S31" t="s">
        <v>63</v>
      </c>
      <c r="T31">
        <v>1</v>
      </c>
      <c r="V31">
        <v>1</v>
      </c>
      <c r="W31" t="s">
        <v>103</v>
      </c>
      <c r="AA31" t="s">
        <v>38</v>
      </c>
      <c r="AB31">
        <v>3</v>
      </c>
      <c r="AC31">
        <v>3</v>
      </c>
      <c r="AD31">
        <v>3</v>
      </c>
      <c r="AE31" t="s">
        <v>152</v>
      </c>
      <c r="AF31" t="s">
        <v>40</v>
      </c>
      <c r="AG31" t="s">
        <v>154</v>
      </c>
      <c r="AI31">
        <v>14</v>
      </c>
      <c r="AJ31">
        <v>41</v>
      </c>
    </row>
    <row r="32" spans="1:36" x14ac:dyDescent="0.25">
      <c r="A32" t="s">
        <v>257</v>
      </c>
      <c r="B32">
        <v>30</v>
      </c>
      <c r="C32" t="s">
        <v>53</v>
      </c>
      <c r="D32">
        <v>1</v>
      </c>
      <c r="E32">
        <v>1</v>
      </c>
      <c r="F32">
        <v>1</v>
      </c>
      <c r="G32" t="s">
        <v>54</v>
      </c>
      <c r="K32" t="s">
        <v>33</v>
      </c>
      <c r="L32">
        <v>2</v>
      </c>
      <c r="N32">
        <v>3</v>
      </c>
      <c r="O32" t="s">
        <v>46</v>
      </c>
      <c r="S32" t="s">
        <v>56</v>
      </c>
      <c r="T32">
        <v>1</v>
      </c>
      <c r="V32">
        <v>1</v>
      </c>
      <c r="W32" t="s">
        <v>57</v>
      </c>
      <c r="AA32" t="s">
        <v>48</v>
      </c>
      <c r="AB32">
        <v>1</v>
      </c>
      <c r="AD32">
        <v>1</v>
      </c>
      <c r="AE32" t="s">
        <v>49</v>
      </c>
      <c r="AF32" t="s">
        <v>50</v>
      </c>
      <c r="AI32">
        <v>4</v>
      </c>
      <c r="AJ32">
        <v>23</v>
      </c>
    </row>
    <row r="33" spans="1:36" x14ac:dyDescent="0.25">
      <c r="A33" t="s">
        <v>258</v>
      </c>
      <c r="B33">
        <v>31</v>
      </c>
      <c r="C33" t="s">
        <v>56</v>
      </c>
      <c r="D33">
        <v>1</v>
      </c>
      <c r="F33">
        <v>1</v>
      </c>
      <c r="G33" t="s">
        <v>57</v>
      </c>
      <c r="H33" t="s">
        <v>121</v>
      </c>
      <c r="K33" t="s">
        <v>43</v>
      </c>
      <c r="L33">
        <v>2</v>
      </c>
      <c r="N33">
        <v>2</v>
      </c>
      <c r="O33" t="s">
        <v>135</v>
      </c>
      <c r="P33" t="s">
        <v>99</v>
      </c>
      <c r="Q33" t="s">
        <v>75</v>
      </c>
      <c r="S33" t="s">
        <v>53</v>
      </c>
      <c r="T33">
        <v>1</v>
      </c>
      <c r="U33">
        <v>1</v>
      </c>
      <c r="V33">
        <v>1</v>
      </c>
      <c r="W33" t="s">
        <v>54</v>
      </c>
      <c r="X33" t="s">
        <v>83</v>
      </c>
      <c r="Y33" t="s">
        <v>105</v>
      </c>
      <c r="Z33" t="s">
        <v>98</v>
      </c>
      <c r="AA33" t="s">
        <v>33</v>
      </c>
      <c r="AB33">
        <v>2</v>
      </c>
      <c r="AD33">
        <v>1</v>
      </c>
      <c r="AE33" t="s">
        <v>46</v>
      </c>
      <c r="AI33">
        <v>9</v>
      </c>
      <c r="AJ33">
        <v>32</v>
      </c>
    </row>
    <row r="34" spans="1:36" x14ac:dyDescent="0.25">
      <c r="A34" t="s">
        <v>259</v>
      </c>
      <c r="B34">
        <v>32</v>
      </c>
      <c r="C34" t="s">
        <v>53</v>
      </c>
      <c r="D34">
        <v>2</v>
      </c>
      <c r="E34">
        <v>1</v>
      </c>
      <c r="F34">
        <v>1</v>
      </c>
      <c r="G34" t="s">
        <v>54</v>
      </c>
      <c r="H34" t="s">
        <v>83</v>
      </c>
      <c r="K34" t="s">
        <v>33</v>
      </c>
      <c r="L34">
        <v>2</v>
      </c>
      <c r="N34">
        <v>2</v>
      </c>
      <c r="O34" t="s">
        <v>46</v>
      </c>
      <c r="S34" t="s">
        <v>56</v>
      </c>
      <c r="T34">
        <v>1</v>
      </c>
      <c r="V34">
        <v>1</v>
      </c>
      <c r="W34" t="s">
        <v>57</v>
      </c>
      <c r="AA34" t="s">
        <v>45</v>
      </c>
      <c r="AB34">
        <v>3</v>
      </c>
      <c r="AD34">
        <v>1</v>
      </c>
      <c r="AE34" t="s">
        <v>86</v>
      </c>
      <c r="AI34">
        <v>6</v>
      </c>
      <c r="AJ34">
        <v>20</v>
      </c>
    </row>
    <row r="35" spans="1:36" x14ac:dyDescent="0.25">
      <c r="A35" t="s">
        <v>260</v>
      </c>
      <c r="B35">
        <v>33</v>
      </c>
      <c r="C35" t="s">
        <v>53</v>
      </c>
      <c r="D35">
        <v>3</v>
      </c>
      <c r="E35">
        <v>1</v>
      </c>
      <c r="F35">
        <v>2</v>
      </c>
      <c r="G35" t="s">
        <v>54</v>
      </c>
      <c r="H35" t="s">
        <v>55</v>
      </c>
      <c r="K35" t="s">
        <v>33</v>
      </c>
      <c r="L35">
        <v>2</v>
      </c>
      <c r="N35">
        <v>1</v>
      </c>
      <c r="O35" t="s">
        <v>46</v>
      </c>
      <c r="S35" t="s">
        <v>56</v>
      </c>
      <c r="T35">
        <v>1</v>
      </c>
      <c r="V35">
        <v>1</v>
      </c>
      <c r="W35" t="s">
        <v>57</v>
      </c>
      <c r="X35" t="s">
        <v>122</v>
      </c>
      <c r="AA35" t="s">
        <v>63</v>
      </c>
      <c r="AB35">
        <v>1</v>
      </c>
      <c r="AD35">
        <v>1</v>
      </c>
      <c r="AE35" t="s">
        <v>103</v>
      </c>
      <c r="AF35" t="s">
        <v>95</v>
      </c>
      <c r="AI35">
        <v>7</v>
      </c>
      <c r="AJ35">
        <v>30</v>
      </c>
    </row>
    <row r="36" spans="1:36" x14ac:dyDescent="0.25">
      <c r="A36" t="s">
        <v>261</v>
      </c>
      <c r="B36">
        <v>34</v>
      </c>
      <c r="C36" t="s">
        <v>53</v>
      </c>
      <c r="D36">
        <v>1</v>
      </c>
      <c r="E36">
        <v>1</v>
      </c>
      <c r="F36">
        <v>2</v>
      </c>
      <c r="G36" t="s">
        <v>54</v>
      </c>
      <c r="H36" t="s">
        <v>55</v>
      </c>
      <c r="K36" t="s">
        <v>33</v>
      </c>
      <c r="L36">
        <v>2</v>
      </c>
      <c r="N36">
        <v>2</v>
      </c>
      <c r="O36" t="s">
        <v>46</v>
      </c>
      <c r="S36" t="s">
        <v>56</v>
      </c>
      <c r="T36">
        <v>2</v>
      </c>
      <c r="V36">
        <v>1</v>
      </c>
      <c r="W36" t="s">
        <v>57</v>
      </c>
      <c r="AA36" t="s">
        <v>38</v>
      </c>
      <c r="AB36">
        <v>1</v>
      </c>
      <c r="AC36">
        <v>1</v>
      </c>
      <c r="AD36">
        <v>1</v>
      </c>
      <c r="AE36" t="s">
        <v>152</v>
      </c>
      <c r="AI36">
        <v>5</v>
      </c>
      <c r="AJ36">
        <v>40</v>
      </c>
    </row>
    <row r="37" spans="1:36" x14ac:dyDescent="0.25">
      <c r="A37" t="s">
        <v>262</v>
      </c>
      <c r="B37">
        <v>36</v>
      </c>
      <c r="C37" t="s">
        <v>53</v>
      </c>
      <c r="D37">
        <v>2</v>
      </c>
      <c r="E37">
        <v>1</v>
      </c>
      <c r="F37">
        <v>1</v>
      </c>
      <c r="G37" t="s">
        <v>111</v>
      </c>
      <c r="H37" t="s">
        <v>113</v>
      </c>
      <c r="K37" t="s">
        <v>33</v>
      </c>
      <c r="L37">
        <v>2</v>
      </c>
      <c r="N37">
        <v>3</v>
      </c>
      <c r="O37" t="s">
        <v>46</v>
      </c>
      <c r="S37" t="s">
        <v>48</v>
      </c>
      <c r="T37">
        <v>3</v>
      </c>
      <c r="V37">
        <v>1</v>
      </c>
      <c r="W37" t="s">
        <v>49</v>
      </c>
      <c r="AA37" t="s">
        <v>45</v>
      </c>
      <c r="AB37">
        <v>1</v>
      </c>
      <c r="AD37">
        <v>1</v>
      </c>
      <c r="AE37" t="s">
        <v>47</v>
      </c>
      <c r="AI37">
        <v>7</v>
      </c>
      <c r="AJ37">
        <v>30</v>
      </c>
    </row>
    <row r="38" spans="1:36" x14ac:dyDescent="0.25">
      <c r="A38" t="s">
        <v>263</v>
      </c>
      <c r="B38">
        <v>41</v>
      </c>
      <c r="C38" t="s">
        <v>43</v>
      </c>
      <c r="D38">
        <v>1</v>
      </c>
      <c r="F38">
        <v>1</v>
      </c>
      <c r="G38" t="s">
        <v>135</v>
      </c>
      <c r="H38" t="s">
        <v>136</v>
      </c>
      <c r="K38" t="s">
        <v>38</v>
      </c>
      <c r="L38">
        <v>1</v>
      </c>
      <c r="M38">
        <v>1</v>
      </c>
      <c r="N38">
        <v>2</v>
      </c>
      <c r="O38" t="s">
        <v>152</v>
      </c>
      <c r="P38" t="s">
        <v>70</v>
      </c>
      <c r="S38" t="s">
        <v>53</v>
      </c>
      <c r="T38">
        <v>1</v>
      </c>
      <c r="U38">
        <v>1</v>
      </c>
      <c r="V38">
        <v>1</v>
      </c>
      <c r="W38" t="s">
        <v>54</v>
      </c>
      <c r="AA38" t="s">
        <v>33</v>
      </c>
      <c r="AB38">
        <v>1</v>
      </c>
      <c r="AD38">
        <v>1</v>
      </c>
      <c r="AE38" t="s">
        <v>46</v>
      </c>
      <c r="AI38">
        <v>3</v>
      </c>
      <c r="AJ38">
        <v>31</v>
      </c>
    </row>
    <row r="39" spans="1:36" x14ac:dyDescent="0.25">
      <c r="A39" t="s">
        <v>264</v>
      </c>
      <c r="B39">
        <v>44</v>
      </c>
      <c r="C39" t="s">
        <v>53</v>
      </c>
      <c r="D39">
        <v>3</v>
      </c>
      <c r="E39">
        <v>2</v>
      </c>
      <c r="F39">
        <v>2</v>
      </c>
      <c r="G39" t="s">
        <v>54</v>
      </c>
      <c r="H39" t="s">
        <v>83</v>
      </c>
      <c r="I39" t="s">
        <v>114</v>
      </c>
      <c r="J39" t="s">
        <v>98</v>
      </c>
      <c r="K39" t="s">
        <v>33</v>
      </c>
      <c r="L39">
        <v>1</v>
      </c>
      <c r="N39">
        <v>2</v>
      </c>
      <c r="O39" t="s">
        <v>46</v>
      </c>
      <c r="S39" t="s">
        <v>63</v>
      </c>
      <c r="T39">
        <v>3</v>
      </c>
      <c r="V39">
        <v>2</v>
      </c>
      <c r="W39" t="s">
        <v>103</v>
      </c>
      <c r="X39" t="s">
        <v>95</v>
      </c>
      <c r="Y39" t="s">
        <v>147</v>
      </c>
      <c r="Z39" t="s">
        <v>151</v>
      </c>
      <c r="AA39" t="s">
        <v>38</v>
      </c>
      <c r="AB39">
        <v>1</v>
      </c>
      <c r="AC39">
        <v>1</v>
      </c>
      <c r="AD39">
        <v>1</v>
      </c>
      <c r="AE39" t="s">
        <v>152</v>
      </c>
      <c r="AF39" t="s">
        <v>40</v>
      </c>
      <c r="AI39">
        <v>15</v>
      </c>
      <c r="AJ39">
        <v>42</v>
      </c>
    </row>
    <row r="40" spans="1:36" x14ac:dyDescent="0.25">
      <c r="A40" t="s">
        <v>265</v>
      </c>
      <c r="B40">
        <v>45</v>
      </c>
      <c r="C40" t="s">
        <v>56</v>
      </c>
      <c r="D40">
        <v>3</v>
      </c>
      <c r="F40">
        <v>3</v>
      </c>
      <c r="G40" t="s">
        <v>57</v>
      </c>
      <c r="H40" t="s">
        <v>122</v>
      </c>
      <c r="I40" t="s">
        <v>85</v>
      </c>
      <c r="K40" t="s">
        <v>48</v>
      </c>
      <c r="L40">
        <v>1</v>
      </c>
      <c r="N40">
        <v>1</v>
      </c>
      <c r="O40" t="s">
        <v>49</v>
      </c>
      <c r="P40" t="s">
        <v>50</v>
      </c>
      <c r="S40" t="s">
        <v>53</v>
      </c>
      <c r="T40">
        <v>3</v>
      </c>
      <c r="U40">
        <v>1</v>
      </c>
      <c r="V40">
        <v>2</v>
      </c>
      <c r="W40" t="s">
        <v>54</v>
      </c>
      <c r="X40" t="s">
        <v>55</v>
      </c>
      <c r="AA40" t="s">
        <v>43</v>
      </c>
      <c r="AB40">
        <v>2</v>
      </c>
      <c r="AD40">
        <v>1</v>
      </c>
      <c r="AE40" t="s">
        <v>135</v>
      </c>
      <c r="AF40" t="s">
        <v>99</v>
      </c>
      <c r="AI40">
        <v>13</v>
      </c>
      <c r="AJ40">
        <v>36</v>
      </c>
    </row>
    <row r="41" spans="1:36" x14ac:dyDescent="0.25">
      <c r="A41" t="s">
        <v>266</v>
      </c>
      <c r="B41">
        <v>46</v>
      </c>
      <c r="C41" t="s">
        <v>53</v>
      </c>
      <c r="D41">
        <v>2</v>
      </c>
      <c r="E41">
        <v>1</v>
      </c>
      <c r="F41">
        <v>1</v>
      </c>
      <c r="G41" t="s">
        <v>54</v>
      </c>
      <c r="H41" t="s">
        <v>83</v>
      </c>
      <c r="I41" t="s">
        <v>114</v>
      </c>
      <c r="K41" t="s">
        <v>43</v>
      </c>
      <c r="L41">
        <v>3</v>
      </c>
      <c r="N41">
        <v>1</v>
      </c>
      <c r="O41" t="s">
        <v>135</v>
      </c>
      <c r="P41" t="s">
        <v>136</v>
      </c>
      <c r="S41" t="s">
        <v>56</v>
      </c>
      <c r="T41">
        <v>1</v>
      </c>
      <c r="V41">
        <v>1</v>
      </c>
      <c r="W41" t="s">
        <v>68</v>
      </c>
      <c r="X41" t="s">
        <v>69</v>
      </c>
      <c r="AA41" t="s">
        <v>33</v>
      </c>
      <c r="AB41">
        <v>1</v>
      </c>
      <c r="AD41">
        <v>3</v>
      </c>
      <c r="AE41" t="s">
        <v>46</v>
      </c>
      <c r="AI41">
        <v>9</v>
      </c>
      <c r="AJ41">
        <v>33</v>
      </c>
    </row>
    <row r="42" spans="1:36" x14ac:dyDescent="0.25">
      <c r="A42" t="s">
        <v>267</v>
      </c>
      <c r="B42">
        <v>47</v>
      </c>
      <c r="C42" t="s">
        <v>53</v>
      </c>
      <c r="D42">
        <v>2</v>
      </c>
      <c r="E42">
        <v>1</v>
      </c>
      <c r="F42">
        <v>1</v>
      </c>
      <c r="G42" t="s">
        <v>54</v>
      </c>
      <c r="K42" t="s">
        <v>43</v>
      </c>
      <c r="L42">
        <v>3</v>
      </c>
      <c r="N42">
        <v>2</v>
      </c>
      <c r="O42" t="s">
        <v>135</v>
      </c>
      <c r="P42" t="s">
        <v>74</v>
      </c>
      <c r="Q42" t="s">
        <v>75</v>
      </c>
      <c r="S42" t="s">
        <v>56</v>
      </c>
      <c r="T42">
        <v>2</v>
      </c>
      <c r="V42">
        <v>2</v>
      </c>
      <c r="W42" t="s">
        <v>57</v>
      </c>
      <c r="AA42" t="s">
        <v>45</v>
      </c>
      <c r="AB42">
        <v>2</v>
      </c>
      <c r="AD42">
        <v>1</v>
      </c>
      <c r="AE42" t="s">
        <v>47</v>
      </c>
      <c r="AI42">
        <v>9</v>
      </c>
      <c r="AJ42">
        <v>19</v>
      </c>
    </row>
    <row r="43" spans="1:36" x14ac:dyDescent="0.25">
      <c r="A43" t="s">
        <v>268</v>
      </c>
      <c r="B43">
        <v>48</v>
      </c>
      <c r="C43" t="s">
        <v>53</v>
      </c>
      <c r="D43">
        <v>3</v>
      </c>
      <c r="E43">
        <v>1</v>
      </c>
      <c r="F43">
        <v>1</v>
      </c>
      <c r="G43" t="s">
        <v>54</v>
      </c>
      <c r="H43" t="s">
        <v>55</v>
      </c>
      <c r="K43" t="s">
        <v>43</v>
      </c>
      <c r="L43">
        <v>3</v>
      </c>
      <c r="N43">
        <v>1</v>
      </c>
      <c r="O43" t="s">
        <v>135</v>
      </c>
      <c r="P43" t="s">
        <v>99</v>
      </c>
      <c r="S43" t="s">
        <v>56</v>
      </c>
      <c r="T43">
        <v>1</v>
      </c>
      <c r="V43">
        <v>3</v>
      </c>
      <c r="W43" t="s">
        <v>57</v>
      </c>
      <c r="AA43" t="s">
        <v>63</v>
      </c>
      <c r="AB43">
        <v>1</v>
      </c>
      <c r="AD43">
        <v>1</v>
      </c>
      <c r="AE43" t="s">
        <v>103</v>
      </c>
      <c r="AF43" t="s">
        <v>95</v>
      </c>
      <c r="AI43">
        <v>9</v>
      </c>
      <c r="AJ43">
        <v>31</v>
      </c>
    </row>
    <row r="44" spans="1:36" x14ac:dyDescent="0.25">
      <c r="A44" t="s">
        <v>269</v>
      </c>
      <c r="B44">
        <v>49</v>
      </c>
      <c r="C44" t="s">
        <v>53</v>
      </c>
      <c r="D44">
        <v>1</v>
      </c>
      <c r="E44">
        <v>1</v>
      </c>
      <c r="F44">
        <v>1</v>
      </c>
      <c r="G44" t="s">
        <v>54</v>
      </c>
      <c r="H44" t="s">
        <v>113</v>
      </c>
      <c r="K44" t="s">
        <v>43</v>
      </c>
      <c r="L44">
        <v>1</v>
      </c>
      <c r="N44">
        <v>3</v>
      </c>
      <c r="O44" t="s">
        <v>135</v>
      </c>
      <c r="P44" t="s">
        <v>74</v>
      </c>
      <c r="Q44" t="s">
        <v>75</v>
      </c>
      <c r="S44" t="s">
        <v>56</v>
      </c>
      <c r="T44">
        <v>3</v>
      </c>
      <c r="V44">
        <v>1</v>
      </c>
      <c r="W44" t="s">
        <v>57</v>
      </c>
      <c r="X44" t="s">
        <v>122</v>
      </c>
      <c r="AA44" t="s">
        <v>38</v>
      </c>
      <c r="AB44">
        <v>1</v>
      </c>
      <c r="AC44">
        <v>1</v>
      </c>
      <c r="AD44">
        <v>2</v>
      </c>
      <c r="AE44" t="s">
        <v>152</v>
      </c>
      <c r="AF44" t="s">
        <v>70</v>
      </c>
      <c r="AI44">
        <v>10</v>
      </c>
      <c r="AJ44">
        <v>34</v>
      </c>
    </row>
    <row r="45" spans="1:36" x14ac:dyDescent="0.25">
      <c r="A45" t="s">
        <v>270</v>
      </c>
      <c r="B45">
        <v>50</v>
      </c>
      <c r="C45" t="s">
        <v>48</v>
      </c>
      <c r="D45">
        <v>1</v>
      </c>
      <c r="F45">
        <v>1</v>
      </c>
      <c r="G45" t="s">
        <v>49</v>
      </c>
      <c r="H45" t="s">
        <v>84</v>
      </c>
      <c r="I45" t="s">
        <v>127</v>
      </c>
      <c r="K45" t="s">
        <v>33</v>
      </c>
      <c r="L45">
        <v>2</v>
      </c>
      <c r="N45">
        <v>2</v>
      </c>
      <c r="O45" t="s">
        <v>46</v>
      </c>
      <c r="P45" t="s">
        <v>66</v>
      </c>
      <c r="S45" t="s">
        <v>53</v>
      </c>
      <c r="T45">
        <v>3</v>
      </c>
      <c r="U45">
        <v>2</v>
      </c>
      <c r="V45">
        <v>2</v>
      </c>
      <c r="W45" t="s">
        <v>54</v>
      </c>
      <c r="X45" t="s">
        <v>55</v>
      </c>
      <c r="Y45" t="s">
        <v>97</v>
      </c>
      <c r="AA45" t="s">
        <v>43</v>
      </c>
      <c r="AB45">
        <v>1</v>
      </c>
      <c r="AD45">
        <v>1</v>
      </c>
      <c r="AE45" t="s">
        <v>135</v>
      </c>
      <c r="AF45" t="s">
        <v>74</v>
      </c>
      <c r="AI45">
        <v>12</v>
      </c>
      <c r="AJ45">
        <v>43</v>
      </c>
    </row>
    <row r="46" spans="1:36" x14ac:dyDescent="0.25">
      <c r="A46" t="s">
        <v>271</v>
      </c>
      <c r="B46">
        <v>51</v>
      </c>
      <c r="C46" t="s">
        <v>48</v>
      </c>
      <c r="D46">
        <v>3</v>
      </c>
      <c r="F46">
        <v>1</v>
      </c>
      <c r="G46" t="s">
        <v>49</v>
      </c>
      <c r="K46" t="s">
        <v>45</v>
      </c>
      <c r="L46">
        <v>2</v>
      </c>
      <c r="N46">
        <v>1</v>
      </c>
      <c r="O46" t="s">
        <v>47</v>
      </c>
      <c r="S46" t="s">
        <v>53</v>
      </c>
      <c r="T46">
        <v>3</v>
      </c>
      <c r="U46">
        <v>1</v>
      </c>
      <c r="V46">
        <v>1</v>
      </c>
      <c r="W46" t="s">
        <v>54</v>
      </c>
      <c r="X46" t="s">
        <v>55</v>
      </c>
      <c r="AA46" t="s">
        <v>43</v>
      </c>
      <c r="AB46">
        <v>1</v>
      </c>
      <c r="AD46">
        <v>1</v>
      </c>
      <c r="AE46" t="s">
        <v>135</v>
      </c>
      <c r="AI46">
        <v>6</v>
      </c>
      <c r="AJ46">
        <v>29</v>
      </c>
    </row>
    <row r="47" spans="1:36" x14ac:dyDescent="0.25">
      <c r="A47" t="s">
        <v>272</v>
      </c>
      <c r="B47">
        <v>52</v>
      </c>
      <c r="C47" t="s">
        <v>53</v>
      </c>
      <c r="D47">
        <v>2</v>
      </c>
      <c r="E47">
        <v>1</v>
      </c>
      <c r="F47">
        <v>1</v>
      </c>
      <c r="G47" t="s">
        <v>54</v>
      </c>
      <c r="K47" t="s">
        <v>43</v>
      </c>
      <c r="L47">
        <v>3</v>
      </c>
      <c r="N47">
        <v>1</v>
      </c>
      <c r="O47" t="s">
        <v>135</v>
      </c>
      <c r="P47" t="s">
        <v>99</v>
      </c>
      <c r="S47" t="s">
        <v>48</v>
      </c>
      <c r="T47">
        <v>2</v>
      </c>
      <c r="V47">
        <v>1</v>
      </c>
      <c r="W47" t="s">
        <v>49</v>
      </c>
      <c r="AA47" t="s">
        <v>63</v>
      </c>
      <c r="AB47">
        <v>1</v>
      </c>
      <c r="AD47">
        <v>1</v>
      </c>
      <c r="AE47" t="s">
        <v>103</v>
      </c>
      <c r="AI47">
        <v>5</v>
      </c>
      <c r="AJ47">
        <v>24</v>
      </c>
    </row>
    <row r="48" spans="1:36" x14ac:dyDescent="0.25">
      <c r="A48" t="s">
        <v>273</v>
      </c>
      <c r="B48">
        <v>53</v>
      </c>
      <c r="C48" t="s">
        <v>48</v>
      </c>
      <c r="D48">
        <v>1</v>
      </c>
      <c r="F48">
        <v>1</v>
      </c>
      <c r="G48" t="s">
        <v>49</v>
      </c>
      <c r="H48" t="s">
        <v>50</v>
      </c>
      <c r="K48" t="s">
        <v>38</v>
      </c>
      <c r="L48">
        <v>1</v>
      </c>
      <c r="M48">
        <v>1</v>
      </c>
      <c r="N48">
        <v>1</v>
      </c>
      <c r="O48" t="s">
        <v>152</v>
      </c>
      <c r="P48" t="s">
        <v>70</v>
      </c>
      <c r="S48" t="s">
        <v>53</v>
      </c>
      <c r="T48">
        <v>2</v>
      </c>
      <c r="U48">
        <v>1</v>
      </c>
      <c r="V48">
        <v>1</v>
      </c>
      <c r="W48" t="s">
        <v>54</v>
      </c>
      <c r="AA48" t="s">
        <v>43</v>
      </c>
      <c r="AB48">
        <v>1</v>
      </c>
      <c r="AD48">
        <v>1</v>
      </c>
      <c r="AE48" t="s">
        <v>135</v>
      </c>
      <c r="AI48">
        <v>3</v>
      </c>
      <c r="AJ48">
        <v>30</v>
      </c>
    </row>
    <row r="49" spans="1:36" x14ac:dyDescent="0.25">
      <c r="A49" t="s">
        <v>274</v>
      </c>
      <c r="B49">
        <v>54</v>
      </c>
      <c r="C49" t="s">
        <v>33</v>
      </c>
      <c r="D49">
        <v>2</v>
      </c>
      <c r="F49">
        <v>1</v>
      </c>
      <c r="G49" t="s">
        <v>46</v>
      </c>
      <c r="K49" t="s">
        <v>45</v>
      </c>
      <c r="L49">
        <v>3</v>
      </c>
      <c r="N49">
        <v>2</v>
      </c>
      <c r="O49" t="s">
        <v>47</v>
      </c>
      <c r="P49" t="s">
        <v>92</v>
      </c>
      <c r="S49" t="s">
        <v>53</v>
      </c>
      <c r="T49">
        <v>1</v>
      </c>
      <c r="U49">
        <v>2</v>
      </c>
      <c r="V49">
        <v>2</v>
      </c>
      <c r="W49" t="s">
        <v>54</v>
      </c>
      <c r="AA49" t="s">
        <v>43</v>
      </c>
      <c r="AB49">
        <v>1</v>
      </c>
      <c r="AD49">
        <v>2</v>
      </c>
      <c r="AE49" t="s">
        <v>135</v>
      </c>
      <c r="AF49" t="s">
        <v>136</v>
      </c>
      <c r="AI49">
        <v>9</v>
      </c>
      <c r="AJ49">
        <v>25</v>
      </c>
    </row>
    <row r="50" spans="1:36" x14ac:dyDescent="0.25">
      <c r="A50" t="s">
        <v>275</v>
      </c>
      <c r="B50">
        <v>55</v>
      </c>
      <c r="C50" t="s">
        <v>33</v>
      </c>
      <c r="D50">
        <v>3</v>
      </c>
      <c r="F50">
        <v>1</v>
      </c>
      <c r="G50" t="s">
        <v>46</v>
      </c>
      <c r="K50" t="s">
        <v>63</v>
      </c>
      <c r="L50">
        <v>1</v>
      </c>
      <c r="N50">
        <v>1</v>
      </c>
      <c r="O50" t="s">
        <v>103</v>
      </c>
      <c r="P50" t="s">
        <v>95</v>
      </c>
      <c r="S50" t="s">
        <v>53</v>
      </c>
      <c r="T50">
        <v>2</v>
      </c>
      <c r="U50">
        <v>1</v>
      </c>
      <c r="V50">
        <v>1</v>
      </c>
      <c r="W50" t="s">
        <v>54</v>
      </c>
      <c r="X50" t="s">
        <v>55</v>
      </c>
      <c r="AA50" t="s">
        <v>43</v>
      </c>
      <c r="AB50">
        <v>3</v>
      </c>
      <c r="AD50">
        <v>1</v>
      </c>
      <c r="AE50" t="s">
        <v>135</v>
      </c>
      <c r="AF50" t="s">
        <v>136</v>
      </c>
      <c r="AI50">
        <v>8</v>
      </c>
      <c r="AJ50">
        <v>46</v>
      </c>
    </row>
    <row r="51" spans="1:36" x14ac:dyDescent="0.25">
      <c r="A51" t="s">
        <v>276</v>
      </c>
      <c r="B51">
        <v>56</v>
      </c>
      <c r="C51" t="s">
        <v>53</v>
      </c>
      <c r="D51">
        <v>2</v>
      </c>
      <c r="E51">
        <v>1</v>
      </c>
      <c r="F51">
        <v>2</v>
      </c>
      <c r="G51" t="s">
        <v>54</v>
      </c>
      <c r="H51" t="s">
        <v>55</v>
      </c>
      <c r="K51" t="s">
        <v>43</v>
      </c>
      <c r="L51">
        <v>1</v>
      </c>
      <c r="N51">
        <v>1</v>
      </c>
      <c r="O51" t="s">
        <v>135</v>
      </c>
      <c r="P51" t="s">
        <v>74</v>
      </c>
      <c r="S51" t="s">
        <v>33</v>
      </c>
      <c r="T51">
        <v>1</v>
      </c>
      <c r="V51">
        <v>2</v>
      </c>
      <c r="W51" t="s">
        <v>46</v>
      </c>
      <c r="AA51" t="s">
        <v>38</v>
      </c>
      <c r="AB51">
        <v>3</v>
      </c>
      <c r="AC51">
        <v>1</v>
      </c>
      <c r="AD51">
        <v>1</v>
      </c>
      <c r="AE51" t="s">
        <v>152</v>
      </c>
      <c r="AF51" t="s">
        <v>70</v>
      </c>
      <c r="AI51">
        <v>8</v>
      </c>
      <c r="AJ51">
        <v>25</v>
      </c>
    </row>
    <row r="52" spans="1:36" x14ac:dyDescent="0.25">
      <c r="A52" t="s">
        <v>277</v>
      </c>
      <c r="B52">
        <v>57</v>
      </c>
      <c r="C52" t="s">
        <v>53</v>
      </c>
      <c r="D52">
        <v>1</v>
      </c>
      <c r="E52">
        <v>1</v>
      </c>
      <c r="F52">
        <v>1</v>
      </c>
      <c r="G52" t="s">
        <v>54</v>
      </c>
      <c r="H52" t="s">
        <v>113</v>
      </c>
      <c r="K52" t="s">
        <v>43</v>
      </c>
      <c r="L52">
        <v>3</v>
      </c>
      <c r="N52">
        <v>3</v>
      </c>
      <c r="O52" t="s">
        <v>135</v>
      </c>
      <c r="P52" t="s">
        <v>99</v>
      </c>
      <c r="Q52" t="s">
        <v>137</v>
      </c>
      <c r="R52" t="s">
        <v>138</v>
      </c>
      <c r="S52" t="s">
        <v>45</v>
      </c>
      <c r="T52">
        <v>3</v>
      </c>
      <c r="V52">
        <v>3</v>
      </c>
      <c r="W52" t="s">
        <v>47</v>
      </c>
      <c r="X52" t="s">
        <v>141</v>
      </c>
      <c r="AA52" t="s">
        <v>63</v>
      </c>
      <c r="AB52">
        <v>1</v>
      </c>
      <c r="AD52">
        <v>1</v>
      </c>
      <c r="AE52" t="s">
        <v>103</v>
      </c>
      <c r="AF52" t="s">
        <v>146</v>
      </c>
      <c r="AI52">
        <v>14</v>
      </c>
      <c r="AJ52">
        <v>35</v>
      </c>
    </row>
    <row r="53" spans="1:36" x14ac:dyDescent="0.25">
      <c r="A53" t="s">
        <v>278</v>
      </c>
      <c r="B53">
        <v>58</v>
      </c>
      <c r="C53" t="s">
        <v>45</v>
      </c>
      <c r="D53">
        <v>2</v>
      </c>
      <c r="F53">
        <v>1</v>
      </c>
      <c r="G53" t="s">
        <v>86</v>
      </c>
      <c r="K53" t="s">
        <v>38</v>
      </c>
      <c r="L53">
        <v>3</v>
      </c>
      <c r="M53">
        <v>1</v>
      </c>
      <c r="N53">
        <v>1</v>
      </c>
      <c r="O53" t="s">
        <v>152</v>
      </c>
      <c r="P53" t="s">
        <v>70</v>
      </c>
      <c r="Q53" t="s">
        <v>41</v>
      </c>
      <c r="R53" t="s">
        <v>42</v>
      </c>
      <c r="S53" t="s">
        <v>53</v>
      </c>
      <c r="T53">
        <v>1</v>
      </c>
      <c r="U53">
        <v>1</v>
      </c>
      <c r="V53">
        <v>1</v>
      </c>
      <c r="W53" t="s">
        <v>54</v>
      </c>
      <c r="AA53" t="s">
        <v>43</v>
      </c>
      <c r="AB53">
        <v>1</v>
      </c>
      <c r="AD53">
        <v>1</v>
      </c>
      <c r="AE53" t="s">
        <v>135</v>
      </c>
      <c r="AF53" t="s">
        <v>99</v>
      </c>
      <c r="AI53">
        <v>7</v>
      </c>
      <c r="AJ53">
        <v>36</v>
      </c>
    </row>
    <row r="54" spans="1:36" x14ac:dyDescent="0.25">
      <c r="A54" t="s">
        <v>279</v>
      </c>
      <c r="B54">
        <v>59</v>
      </c>
      <c r="C54" t="s">
        <v>53</v>
      </c>
      <c r="D54">
        <v>1</v>
      </c>
      <c r="E54">
        <v>1</v>
      </c>
      <c r="F54">
        <v>1</v>
      </c>
      <c r="G54" t="s">
        <v>54</v>
      </c>
      <c r="K54" t="s">
        <v>43</v>
      </c>
      <c r="L54">
        <v>2</v>
      </c>
      <c r="N54">
        <v>1</v>
      </c>
      <c r="O54" t="s">
        <v>135</v>
      </c>
      <c r="P54" t="s">
        <v>74</v>
      </c>
      <c r="Q54" t="s">
        <v>137</v>
      </c>
      <c r="R54" t="s">
        <v>139</v>
      </c>
      <c r="S54" t="s">
        <v>63</v>
      </c>
      <c r="T54">
        <v>1</v>
      </c>
      <c r="V54">
        <v>1</v>
      </c>
      <c r="W54" t="s">
        <v>103</v>
      </c>
      <c r="AA54" t="s">
        <v>38</v>
      </c>
      <c r="AB54">
        <v>2</v>
      </c>
      <c r="AC54">
        <v>1</v>
      </c>
      <c r="AD54">
        <v>2</v>
      </c>
      <c r="AE54" t="s">
        <v>152</v>
      </c>
      <c r="AI54">
        <v>6</v>
      </c>
      <c r="AJ54">
        <v>55</v>
      </c>
    </row>
    <row r="55" spans="1:36" x14ac:dyDescent="0.25">
      <c r="A55" t="s">
        <v>280</v>
      </c>
      <c r="B55">
        <v>60</v>
      </c>
      <c r="C55" t="s">
        <v>53</v>
      </c>
      <c r="D55">
        <v>1</v>
      </c>
      <c r="E55">
        <v>1</v>
      </c>
      <c r="F55">
        <v>2</v>
      </c>
      <c r="G55" t="s">
        <v>54</v>
      </c>
      <c r="K55" t="s">
        <v>45</v>
      </c>
      <c r="L55">
        <v>3</v>
      </c>
      <c r="N55">
        <v>1</v>
      </c>
      <c r="O55" t="s">
        <v>47</v>
      </c>
      <c r="S55" t="s">
        <v>56</v>
      </c>
      <c r="T55">
        <v>1</v>
      </c>
      <c r="V55">
        <v>1</v>
      </c>
      <c r="W55" t="s">
        <v>57</v>
      </c>
      <c r="AA55" t="s">
        <v>48</v>
      </c>
      <c r="AB55">
        <v>1</v>
      </c>
      <c r="AD55">
        <v>1</v>
      </c>
      <c r="AE55" t="s">
        <v>49</v>
      </c>
      <c r="AF55" t="s">
        <v>50</v>
      </c>
      <c r="AG55" t="s">
        <v>127</v>
      </c>
      <c r="AI55">
        <v>5</v>
      </c>
      <c r="AJ55">
        <v>24</v>
      </c>
    </row>
    <row r="56" spans="1:36" x14ac:dyDescent="0.25">
      <c r="A56" t="s">
        <v>281</v>
      </c>
      <c r="B56">
        <v>61</v>
      </c>
      <c r="C56" t="s">
        <v>53</v>
      </c>
      <c r="D56">
        <v>2</v>
      </c>
      <c r="E56">
        <v>1</v>
      </c>
      <c r="F56">
        <v>1</v>
      </c>
      <c r="G56" t="s">
        <v>54</v>
      </c>
      <c r="K56" t="s">
        <v>45</v>
      </c>
      <c r="L56">
        <v>2</v>
      </c>
      <c r="N56">
        <v>1</v>
      </c>
      <c r="O56" t="s">
        <v>47</v>
      </c>
      <c r="S56" t="s">
        <v>56</v>
      </c>
      <c r="T56">
        <v>1</v>
      </c>
      <c r="V56">
        <v>1</v>
      </c>
      <c r="W56" t="s">
        <v>68</v>
      </c>
      <c r="AA56" t="s">
        <v>33</v>
      </c>
      <c r="AB56">
        <v>1</v>
      </c>
      <c r="AD56">
        <v>2</v>
      </c>
      <c r="AE56" t="s">
        <v>46</v>
      </c>
      <c r="AI56">
        <v>3</v>
      </c>
      <c r="AJ56">
        <v>17</v>
      </c>
    </row>
    <row r="57" spans="1:36" x14ac:dyDescent="0.25">
      <c r="A57" t="s">
        <v>282</v>
      </c>
      <c r="B57">
        <v>62</v>
      </c>
      <c r="C57" t="s">
        <v>53</v>
      </c>
      <c r="D57">
        <v>2</v>
      </c>
      <c r="E57">
        <v>1</v>
      </c>
      <c r="F57">
        <v>1</v>
      </c>
      <c r="G57" t="s">
        <v>54</v>
      </c>
      <c r="H57" t="s">
        <v>83</v>
      </c>
      <c r="I57" t="s">
        <v>114</v>
      </c>
      <c r="K57" t="s">
        <v>45</v>
      </c>
      <c r="L57">
        <v>3</v>
      </c>
      <c r="N57">
        <v>1</v>
      </c>
      <c r="O57" t="s">
        <v>47</v>
      </c>
      <c r="S57" t="s">
        <v>56</v>
      </c>
      <c r="T57">
        <v>3</v>
      </c>
      <c r="V57">
        <v>1</v>
      </c>
      <c r="W57" t="s">
        <v>57</v>
      </c>
      <c r="X57" t="s">
        <v>122</v>
      </c>
      <c r="AA57" t="s">
        <v>43</v>
      </c>
      <c r="AB57">
        <v>1</v>
      </c>
      <c r="AD57">
        <v>1</v>
      </c>
      <c r="AE57" t="s">
        <v>135</v>
      </c>
      <c r="AF57" t="s">
        <v>136</v>
      </c>
      <c r="AI57">
        <v>9</v>
      </c>
      <c r="AJ57">
        <v>23</v>
      </c>
    </row>
    <row r="58" spans="1:36" x14ac:dyDescent="0.25">
      <c r="A58" t="s">
        <v>283</v>
      </c>
      <c r="B58">
        <v>63</v>
      </c>
      <c r="C58" t="s">
        <v>56</v>
      </c>
      <c r="D58">
        <v>2</v>
      </c>
      <c r="F58">
        <v>1</v>
      </c>
      <c r="G58" t="s">
        <v>57</v>
      </c>
      <c r="H58" t="s">
        <v>122</v>
      </c>
      <c r="I58" t="s">
        <v>85</v>
      </c>
      <c r="K58" t="s">
        <v>63</v>
      </c>
      <c r="L58">
        <v>2</v>
      </c>
      <c r="N58">
        <v>1</v>
      </c>
      <c r="O58" t="s">
        <v>103</v>
      </c>
      <c r="P58" t="s">
        <v>95</v>
      </c>
      <c r="S58" t="s">
        <v>53</v>
      </c>
      <c r="T58">
        <v>2</v>
      </c>
      <c r="U58">
        <v>1</v>
      </c>
      <c r="V58">
        <v>3</v>
      </c>
      <c r="W58" t="s">
        <v>54</v>
      </c>
      <c r="X58" t="s">
        <v>55</v>
      </c>
      <c r="Y58" t="s">
        <v>97</v>
      </c>
      <c r="AA58" t="s">
        <v>45</v>
      </c>
      <c r="AB58">
        <v>2</v>
      </c>
      <c r="AD58">
        <v>2</v>
      </c>
      <c r="AE58" t="s">
        <v>86</v>
      </c>
      <c r="AI58">
        <v>12</v>
      </c>
      <c r="AJ58">
        <v>36</v>
      </c>
    </row>
    <row r="59" spans="1:36" x14ac:dyDescent="0.25">
      <c r="A59" t="s">
        <v>284</v>
      </c>
      <c r="B59">
        <v>64</v>
      </c>
      <c r="C59" t="s">
        <v>53</v>
      </c>
      <c r="D59">
        <v>1</v>
      </c>
      <c r="E59">
        <v>1</v>
      </c>
      <c r="F59">
        <v>1</v>
      </c>
      <c r="G59" t="s">
        <v>54</v>
      </c>
      <c r="K59" t="s">
        <v>45</v>
      </c>
      <c r="L59">
        <v>2</v>
      </c>
      <c r="N59">
        <v>2</v>
      </c>
      <c r="O59" t="s">
        <v>47</v>
      </c>
      <c r="S59" t="s">
        <v>56</v>
      </c>
      <c r="T59">
        <v>1</v>
      </c>
      <c r="V59">
        <v>2</v>
      </c>
      <c r="W59" t="s">
        <v>57</v>
      </c>
      <c r="AA59" t="s">
        <v>38</v>
      </c>
      <c r="AB59">
        <v>1</v>
      </c>
      <c r="AC59">
        <v>1</v>
      </c>
      <c r="AD59">
        <v>2</v>
      </c>
      <c r="AE59" t="s">
        <v>152</v>
      </c>
      <c r="AI59">
        <v>4</v>
      </c>
      <c r="AJ59">
        <v>30</v>
      </c>
    </row>
    <row r="60" spans="1:36" x14ac:dyDescent="0.25">
      <c r="A60" t="s">
        <v>285</v>
      </c>
      <c r="B60">
        <v>65</v>
      </c>
      <c r="C60" t="s">
        <v>53</v>
      </c>
      <c r="D60">
        <v>1</v>
      </c>
      <c r="E60">
        <v>1</v>
      </c>
      <c r="F60">
        <v>2</v>
      </c>
      <c r="G60" t="s">
        <v>54</v>
      </c>
      <c r="K60" t="s">
        <v>45</v>
      </c>
      <c r="L60">
        <v>2</v>
      </c>
      <c r="N60">
        <v>1</v>
      </c>
      <c r="O60" t="s">
        <v>86</v>
      </c>
      <c r="S60" t="s">
        <v>48</v>
      </c>
      <c r="T60">
        <v>1</v>
      </c>
      <c r="V60">
        <v>1</v>
      </c>
      <c r="W60" t="s">
        <v>49</v>
      </c>
      <c r="X60" t="s">
        <v>50</v>
      </c>
      <c r="AA60" t="s">
        <v>33</v>
      </c>
      <c r="AB60">
        <v>1</v>
      </c>
      <c r="AD60">
        <v>2</v>
      </c>
      <c r="AE60" t="s">
        <v>46</v>
      </c>
      <c r="AI60">
        <v>4</v>
      </c>
      <c r="AJ60">
        <v>37</v>
      </c>
    </row>
    <row r="61" spans="1:36" x14ac:dyDescent="0.25">
      <c r="A61" t="s">
        <v>286</v>
      </c>
      <c r="B61">
        <v>66</v>
      </c>
      <c r="C61" t="s">
        <v>48</v>
      </c>
      <c r="D61">
        <v>1</v>
      </c>
      <c r="F61">
        <v>1</v>
      </c>
      <c r="G61" t="s">
        <v>49</v>
      </c>
      <c r="H61" t="s">
        <v>50</v>
      </c>
      <c r="K61" t="s">
        <v>43</v>
      </c>
      <c r="L61">
        <v>2</v>
      </c>
      <c r="N61">
        <v>1</v>
      </c>
      <c r="O61" t="s">
        <v>135</v>
      </c>
      <c r="P61" t="s">
        <v>74</v>
      </c>
      <c r="Q61" t="s">
        <v>100</v>
      </c>
      <c r="R61" t="s">
        <v>138</v>
      </c>
      <c r="S61" t="s">
        <v>53</v>
      </c>
      <c r="T61">
        <v>1</v>
      </c>
      <c r="U61">
        <v>1</v>
      </c>
      <c r="V61">
        <v>2</v>
      </c>
      <c r="W61" t="s">
        <v>54</v>
      </c>
      <c r="X61" t="s">
        <v>83</v>
      </c>
      <c r="AA61" t="s">
        <v>45</v>
      </c>
      <c r="AB61">
        <v>2</v>
      </c>
      <c r="AD61">
        <v>1</v>
      </c>
      <c r="AE61" t="s">
        <v>47</v>
      </c>
      <c r="AI61">
        <v>8</v>
      </c>
      <c r="AJ61">
        <v>27</v>
      </c>
    </row>
    <row r="62" spans="1:36" x14ac:dyDescent="0.25">
      <c r="A62" t="s">
        <v>287</v>
      </c>
      <c r="B62">
        <v>67</v>
      </c>
      <c r="C62" t="s">
        <v>48</v>
      </c>
      <c r="D62">
        <v>1</v>
      </c>
      <c r="F62">
        <v>2</v>
      </c>
      <c r="G62" t="s">
        <v>49</v>
      </c>
      <c r="H62" t="s">
        <v>84</v>
      </c>
      <c r="I62" t="s">
        <v>127</v>
      </c>
      <c r="K62" t="s">
        <v>63</v>
      </c>
      <c r="L62">
        <v>1</v>
      </c>
      <c r="N62">
        <v>1</v>
      </c>
      <c r="O62" t="s">
        <v>103</v>
      </c>
      <c r="S62" t="s">
        <v>53</v>
      </c>
      <c r="T62">
        <v>2</v>
      </c>
      <c r="U62">
        <v>1</v>
      </c>
      <c r="V62">
        <v>2</v>
      </c>
      <c r="W62" t="s">
        <v>54</v>
      </c>
      <c r="X62" t="s">
        <v>55</v>
      </c>
      <c r="AA62" t="s">
        <v>45</v>
      </c>
      <c r="AB62">
        <v>2</v>
      </c>
      <c r="AD62">
        <v>1</v>
      </c>
      <c r="AE62" t="s">
        <v>47</v>
      </c>
      <c r="AI62">
        <v>7</v>
      </c>
      <c r="AJ62">
        <v>34</v>
      </c>
    </row>
    <row r="63" spans="1:36" x14ac:dyDescent="0.25">
      <c r="A63" t="s">
        <v>288</v>
      </c>
      <c r="B63">
        <v>68</v>
      </c>
      <c r="C63" t="s">
        <v>53</v>
      </c>
      <c r="D63">
        <v>2</v>
      </c>
      <c r="E63">
        <v>1</v>
      </c>
      <c r="F63">
        <v>1</v>
      </c>
      <c r="G63" t="s">
        <v>54</v>
      </c>
      <c r="K63" t="s">
        <v>45</v>
      </c>
      <c r="L63">
        <v>1</v>
      </c>
      <c r="N63">
        <v>1</v>
      </c>
      <c r="O63" t="s">
        <v>47</v>
      </c>
      <c r="S63" t="s">
        <v>48</v>
      </c>
      <c r="T63">
        <v>2</v>
      </c>
      <c r="V63">
        <v>1</v>
      </c>
      <c r="W63" t="s">
        <v>49</v>
      </c>
      <c r="AA63" t="s">
        <v>38</v>
      </c>
      <c r="AB63">
        <v>1</v>
      </c>
      <c r="AC63">
        <v>1</v>
      </c>
      <c r="AD63">
        <v>1</v>
      </c>
      <c r="AE63" t="s">
        <v>152</v>
      </c>
      <c r="AI63">
        <v>2</v>
      </c>
      <c r="AJ63">
        <v>27</v>
      </c>
    </row>
    <row r="64" spans="1:36" x14ac:dyDescent="0.25">
      <c r="A64" t="s">
        <v>289</v>
      </c>
      <c r="B64">
        <v>69</v>
      </c>
      <c r="C64" t="s">
        <v>33</v>
      </c>
      <c r="D64">
        <v>2</v>
      </c>
      <c r="F64">
        <v>2</v>
      </c>
      <c r="G64" t="s">
        <v>46</v>
      </c>
      <c r="K64" t="s">
        <v>43</v>
      </c>
      <c r="L64">
        <v>2</v>
      </c>
      <c r="N64">
        <v>1</v>
      </c>
      <c r="O64" t="s">
        <v>135</v>
      </c>
      <c r="P64" t="s">
        <v>74</v>
      </c>
      <c r="Q64" t="s">
        <v>137</v>
      </c>
      <c r="S64" t="s">
        <v>53</v>
      </c>
      <c r="T64">
        <v>1</v>
      </c>
      <c r="U64">
        <v>1</v>
      </c>
      <c r="V64">
        <v>1</v>
      </c>
      <c r="W64" t="s">
        <v>112</v>
      </c>
      <c r="AA64" t="s">
        <v>45</v>
      </c>
      <c r="AB64">
        <v>3</v>
      </c>
      <c r="AD64">
        <v>1</v>
      </c>
      <c r="AE64" t="s">
        <v>47</v>
      </c>
      <c r="AI64">
        <v>7</v>
      </c>
      <c r="AJ64">
        <v>21</v>
      </c>
    </row>
    <row r="65" spans="1:36" x14ac:dyDescent="0.25">
      <c r="A65" t="s">
        <v>290</v>
      </c>
      <c r="B65">
        <v>70</v>
      </c>
      <c r="C65" t="s">
        <v>53</v>
      </c>
      <c r="D65">
        <v>1</v>
      </c>
      <c r="E65">
        <v>1</v>
      </c>
      <c r="F65">
        <v>1</v>
      </c>
      <c r="G65" t="s">
        <v>54</v>
      </c>
      <c r="K65" t="s">
        <v>45</v>
      </c>
      <c r="L65">
        <v>2</v>
      </c>
      <c r="N65">
        <v>1</v>
      </c>
      <c r="O65" t="s">
        <v>86</v>
      </c>
      <c r="S65" t="s">
        <v>33</v>
      </c>
      <c r="T65">
        <v>1</v>
      </c>
      <c r="V65">
        <v>2</v>
      </c>
      <c r="W65" t="s">
        <v>46</v>
      </c>
      <c r="AA65" t="s">
        <v>63</v>
      </c>
      <c r="AB65">
        <v>1</v>
      </c>
      <c r="AD65">
        <v>1</v>
      </c>
      <c r="AE65" t="s">
        <v>103</v>
      </c>
      <c r="AF65" t="s">
        <v>95</v>
      </c>
      <c r="AI65">
        <v>3</v>
      </c>
      <c r="AJ65">
        <v>26</v>
      </c>
    </row>
    <row r="66" spans="1:36" x14ac:dyDescent="0.25">
      <c r="A66" t="s">
        <v>291</v>
      </c>
      <c r="B66">
        <v>71</v>
      </c>
      <c r="C66" t="s">
        <v>53</v>
      </c>
      <c r="D66">
        <v>1</v>
      </c>
      <c r="E66">
        <v>1</v>
      </c>
      <c r="F66">
        <v>1</v>
      </c>
      <c r="G66" t="s">
        <v>54</v>
      </c>
      <c r="K66" t="s">
        <v>45</v>
      </c>
      <c r="L66">
        <v>3</v>
      </c>
      <c r="N66">
        <v>1</v>
      </c>
      <c r="O66" t="s">
        <v>47</v>
      </c>
      <c r="S66" t="s">
        <v>33</v>
      </c>
      <c r="T66">
        <v>1</v>
      </c>
      <c r="V66">
        <v>2</v>
      </c>
      <c r="W66" t="s">
        <v>46</v>
      </c>
      <c r="AA66" t="s">
        <v>38</v>
      </c>
      <c r="AB66">
        <v>1</v>
      </c>
      <c r="AC66">
        <v>1</v>
      </c>
      <c r="AD66">
        <v>1</v>
      </c>
      <c r="AE66" t="s">
        <v>152</v>
      </c>
      <c r="AI66">
        <v>3</v>
      </c>
      <c r="AJ66">
        <v>25</v>
      </c>
    </row>
    <row r="67" spans="1:36" x14ac:dyDescent="0.25">
      <c r="A67" t="s">
        <v>292</v>
      </c>
      <c r="B67">
        <v>72</v>
      </c>
      <c r="C67" t="s">
        <v>53</v>
      </c>
      <c r="D67">
        <v>2</v>
      </c>
      <c r="E67">
        <v>1</v>
      </c>
      <c r="F67">
        <v>1</v>
      </c>
      <c r="G67" t="s">
        <v>54</v>
      </c>
      <c r="K67" t="s">
        <v>45</v>
      </c>
      <c r="L67">
        <v>3</v>
      </c>
      <c r="N67">
        <v>1</v>
      </c>
      <c r="O67" t="s">
        <v>47</v>
      </c>
      <c r="S67" t="s">
        <v>43</v>
      </c>
      <c r="T67">
        <v>2</v>
      </c>
      <c r="V67">
        <v>1</v>
      </c>
      <c r="W67" t="s">
        <v>135</v>
      </c>
      <c r="AA67" t="s">
        <v>63</v>
      </c>
      <c r="AB67">
        <v>1</v>
      </c>
      <c r="AD67">
        <v>2</v>
      </c>
      <c r="AE67" t="s">
        <v>103</v>
      </c>
      <c r="AI67">
        <v>5</v>
      </c>
      <c r="AJ67">
        <v>19</v>
      </c>
    </row>
    <row r="68" spans="1:36" x14ac:dyDescent="0.25">
      <c r="A68" t="s">
        <v>293</v>
      </c>
      <c r="B68">
        <v>73</v>
      </c>
      <c r="C68" t="s">
        <v>53</v>
      </c>
      <c r="D68">
        <v>1</v>
      </c>
      <c r="E68">
        <v>1</v>
      </c>
      <c r="F68">
        <v>1</v>
      </c>
      <c r="G68" t="s">
        <v>54</v>
      </c>
      <c r="K68" t="s">
        <v>45</v>
      </c>
      <c r="L68">
        <v>3</v>
      </c>
      <c r="N68">
        <v>1</v>
      </c>
      <c r="O68" t="s">
        <v>86</v>
      </c>
      <c r="P68" t="s">
        <v>76</v>
      </c>
      <c r="S68" t="s">
        <v>43</v>
      </c>
      <c r="T68">
        <v>1</v>
      </c>
      <c r="V68">
        <v>3</v>
      </c>
      <c r="W68" t="s">
        <v>135</v>
      </c>
      <c r="X68" t="s">
        <v>74</v>
      </c>
      <c r="AA68" t="s">
        <v>38</v>
      </c>
      <c r="AB68">
        <v>2</v>
      </c>
      <c r="AC68">
        <v>1</v>
      </c>
      <c r="AD68">
        <v>1</v>
      </c>
      <c r="AE68" t="s">
        <v>152</v>
      </c>
      <c r="AI68">
        <v>7</v>
      </c>
      <c r="AJ68">
        <v>26</v>
      </c>
    </row>
    <row r="69" spans="1:36" x14ac:dyDescent="0.25">
      <c r="A69" t="s">
        <v>294</v>
      </c>
      <c r="B69">
        <v>74</v>
      </c>
      <c r="C69" t="s">
        <v>53</v>
      </c>
      <c r="D69">
        <v>1</v>
      </c>
      <c r="E69">
        <v>1</v>
      </c>
      <c r="F69">
        <v>1</v>
      </c>
      <c r="G69" t="s">
        <v>54</v>
      </c>
      <c r="H69" t="s">
        <v>113</v>
      </c>
      <c r="K69" t="s">
        <v>45</v>
      </c>
      <c r="L69">
        <v>3</v>
      </c>
      <c r="N69">
        <v>2</v>
      </c>
      <c r="O69" t="s">
        <v>47</v>
      </c>
      <c r="S69" t="s">
        <v>63</v>
      </c>
      <c r="T69">
        <v>3</v>
      </c>
      <c r="V69">
        <v>1</v>
      </c>
      <c r="W69" t="s">
        <v>103</v>
      </c>
      <c r="AA69" t="s">
        <v>38</v>
      </c>
      <c r="AB69">
        <v>1</v>
      </c>
      <c r="AC69">
        <v>1</v>
      </c>
      <c r="AD69">
        <v>1</v>
      </c>
      <c r="AE69" t="s">
        <v>152</v>
      </c>
      <c r="AI69">
        <v>6</v>
      </c>
      <c r="AJ69">
        <v>31</v>
      </c>
    </row>
    <row r="70" spans="1:36" x14ac:dyDescent="0.25">
      <c r="A70" t="s">
        <v>295</v>
      </c>
      <c r="B70">
        <v>75</v>
      </c>
      <c r="C70" t="s">
        <v>56</v>
      </c>
      <c r="D70">
        <v>1</v>
      </c>
      <c r="F70">
        <v>1</v>
      </c>
      <c r="G70" t="s">
        <v>57</v>
      </c>
      <c r="H70" t="s">
        <v>122</v>
      </c>
      <c r="I70" t="s">
        <v>85</v>
      </c>
      <c r="K70" t="s">
        <v>48</v>
      </c>
      <c r="L70">
        <v>2</v>
      </c>
      <c r="N70">
        <v>1</v>
      </c>
      <c r="O70" t="s">
        <v>49</v>
      </c>
      <c r="S70" t="s">
        <v>53</v>
      </c>
      <c r="T70">
        <v>1</v>
      </c>
      <c r="U70">
        <v>1</v>
      </c>
      <c r="V70">
        <v>1</v>
      </c>
      <c r="W70" t="s">
        <v>54</v>
      </c>
      <c r="X70" t="s">
        <v>55</v>
      </c>
      <c r="AA70" t="s">
        <v>63</v>
      </c>
      <c r="AB70">
        <v>2</v>
      </c>
      <c r="AD70">
        <v>1</v>
      </c>
      <c r="AE70" t="s">
        <v>103</v>
      </c>
      <c r="AF70" t="s">
        <v>91</v>
      </c>
      <c r="AI70">
        <v>6</v>
      </c>
      <c r="AJ70">
        <v>34</v>
      </c>
    </row>
    <row r="71" spans="1:36" x14ac:dyDescent="0.25">
      <c r="A71" t="s">
        <v>296</v>
      </c>
      <c r="B71">
        <v>76</v>
      </c>
      <c r="C71" t="s">
        <v>56</v>
      </c>
      <c r="D71">
        <v>1</v>
      </c>
      <c r="F71">
        <v>1</v>
      </c>
      <c r="G71" t="s">
        <v>57</v>
      </c>
      <c r="H71" t="s">
        <v>122</v>
      </c>
      <c r="K71" t="s">
        <v>33</v>
      </c>
      <c r="L71">
        <v>2</v>
      </c>
      <c r="N71">
        <v>1</v>
      </c>
      <c r="O71" t="s">
        <v>46</v>
      </c>
      <c r="S71" t="s">
        <v>53</v>
      </c>
      <c r="T71">
        <v>1</v>
      </c>
      <c r="U71">
        <v>1</v>
      </c>
      <c r="V71">
        <v>1</v>
      </c>
      <c r="W71" t="s">
        <v>54</v>
      </c>
      <c r="AA71" t="s">
        <v>63</v>
      </c>
      <c r="AB71">
        <v>2</v>
      </c>
      <c r="AD71">
        <v>1</v>
      </c>
      <c r="AE71" t="s">
        <v>72</v>
      </c>
      <c r="AI71">
        <v>3</v>
      </c>
      <c r="AJ71">
        <v>26</v>
      </c>
    </row>
    <row r="72" spans="1:36" x14ac:dyDescent="0.25">
      <c r="A72" t="s">
        <v>297</v>
      </c>
      <c r="B72">
        <v>77</v>
      </c>
      <c r="C72" t="s">
        <v>56</v>
      </c>
      <c r="D72">
        <v>1</v>
      </c>
      <c r="F72">
        <v>1</v>
      </c>
      <c r="G72" t="s">
        <v>57</v>
      </c>
      <c r="H72" t="s">
        <v>122</v>
      </c>
      <c r="K72" t="s">
        <v>43</v>
      </c>
      <c r="L72">
        <v>1</v>
      </c>
      <c r="N72">
        <v>1</v>
      </c>
      <c r="O72" t="s">
        <v>135</v>
      </c>
      <c r="P72" t="s">
        <v>74</v>
      </c>
      <c r="Q72" t="s">
        <v>137</v>
      </c>
      <c r="S72" t="s">
        <v>53</v>
      </c>
      <c r="T72">
        <v>2</v>
      </c>
      <c r="U72">
        <v>1</v>
      </c>
      <c r="V72">
        <v>1</v>
      </c>
      <c r="W72" t="s">
        <v>54</v>
      </c>
      <c r="AA72" t="s">
        <v>63</v>
      </c>
      <c r="AB72">
        <v>1</v>
      </c>
      <c r="AD72">
        <v>1</v>
      </c>
      <c r="AE72" t="s">
        <v>72</v>
      </c>
      <c r="AF72" t="s">
        <v>91</v>
      </c>
      <c r="AI72">
        <v>5</v>
      </c>
      <c r="AJ72">
        <v>27</v>
      </c>
    </row>
    <row r="73" spans="1:36" x14ac:dyDescent="0.25">
      <c r="A73" t="s">
        <v>298</v>
      </c>
      <c r="B73">
        <v>78</v>
      </c>
      <c r="C73" t="s">
        <v>56</v>
      </c>
      <c r="D73">
        <v>1</v>
      </c>
      <c r="F73">
        <v>1</v>
      </c>
      <c r="G73" t="s">
        <v>57</v>
      </c>
      <c r="H73" t="s">
        <v>122</v>
      </c>
      <c r="K73" t="s">
        <v>45</v>
      </c>
      <c r="L73">
        <v>2</v>
      </c>
      <c r="N73">
        <v>1</v>
      </c>
      <c r="O73" t="s">
        <v>47</v>
      </c>
      <c r="S73" t="s">
        <v>53</v>
      </c>
      <c r="T73">
        <v>1</v>
      </c>
      <c r="U73">
        <v>1</v>
      </c>
      <c r="V73">
        <v>1</v>
      </c>
      <c r="W73" t="s">
        <v>54</v>
      </c>
      <c r="AA73" t="s">
        <v>63</v>
      </c>
      <c r="AB73">
        <v>1</v>
      </c>
      <c r="AD73">
        <v>1</v>
      </c>
      <c r="AE73" t="s">
        <v>72</v>
      </c>
      <c r="AI73">
        <v>2</v>
      </c>
      <c r="AJ73">
        <v>31</v>
      </c>
    </row>
    <row r="74" spans="1:36" x14ac:dyDescent="0.25">
      <c r="A74" t="s">
        <v>299</v>
      </c>
      <c r="B74">
        <v>79</v>
      </c>
      <c r="C74" t="s">
        <v>53</v>
      </c>
      <c r="D74">
        <v>3</v>
      </c>
      <c r="E74">
        <v>1</v>
      </c>
      <c r="F74">
        <v>1</v>
      </c>
      <c r="G74" t="s">
        <v>54</v>
      </c>
      <c r="H74" t="s">
        <v>55</v>
      </c>
      <c r="I74" t="s">
        <v>114</v>
      </c>
      <c r="K74" t="s">
        <v>63</v>
      </c>
      <c r="L74">
        <v>2</v>
      </c>
      <c r="N74">
        <v>1</v>
      </c>
      <c r="O74" t="s">
        <v>103</v>
      </c>
      <c r="P74" t="s">
        <v>91</v>
      </c>
      <c r="S74" t="s">
        <v>56</v>
      </c>
      <c r="T74">
        <v>2</v>
      </c>
      <c r="V74">
        <v>1</v>
      </c>
      <c r="W74" t="s">
        <v>57</v>
      </c>
      <c r="X74" t="s">
        <v>122</v>
      </c>
      <c r="Y74" t="s">
        <v>85</v>
      </c>
      <c r="AA74" t="s">
        <v>38</v>
      </c>
      <c r="AB74">
        <v>1</v>
      </c>
      <c r="AC74">
        <v>1</v>
      </c>
      <c r="AD74">
        <v>1</v>
      </c>
      <c r="AE74" t="s">
        <v>152</v>
      </c>
      <c r="AI74">
        <v>9</v>
      </c>
      <c r="AJ74">
        <v>31</v>
      </c>
    </row>
    <row r="75" spans="1:36" x14ac:dyDescent="0.25">
      <c r="A75" t="s">
        <v>300</v>
      </c>
      <c r="B75">
        <v>80</v>
      </c>
      <c r="C75" t="s">
        <v>48</v>
      </c>
      <c r="D75">
        <v>1</v>
      </c>
      <c r="F75">
        <v>1</v>
      </c>
      <c r="G75" t="s">
        <v>49</v>
      </c>
      <c r="H75" t="s">
        <v>50</v>
      </c>
      <c r="I75" t="s">
        <v>51</v>
      </c>
      <c r="K75" t="s">
        <v>33</v>
      </c>
      <c r="L75">
        <v>2</v>
      </c>
      <c r="N75">
        <v>1</v>
      </c>
      <c r="O75" t="s">
        <v>46</v>
      </c>
      <c r="S75" t="s">
        <v>53</v>
      </c>
      <c r="T75">
        <v>1</v>
      </c>
      <c r="U75">
        <v>1</v>
      </c>
      <c r="V75">
        <v>1</v>
      </c>
      <c r="W75" t="s">
        <v>54</v>
      </c>
      <c r="X75" t="s">
        <v>55</v>
      </c>
      <c r="AA75" t="s">
        <v>63</v>
      </c>
      <c r="AB75">
        <v>1</v>
      </c>
      <c r="AD75">
        <v>1</v>
      </c>
      <c r="AE75" t="s">
        <v>72</v>
      </c>
      <c r="AI75">
        <v>4</v>
      </c>
      <c r="AJ75">
        <v>27</v>
      </c>
    </row>
    <row r="76" spans="1:36" x14ac:dyDescent="0.25">
      <c r="A76" t="s">
        <v>301</v>
      </c>
      <c r="B76">
        <v>81</v>
      </c>
      <c r="C76" t="s">
        <v>53</v>
      </c>
      <c r="D76">
        <v>2</v>
      </c>
      <c r="E76">
        <v>1</v>
      </c>
      <c r="F76">
        <v>1</v>
      </c>
      <c r="G76" t="s">
        <v>111</v>
      </c>
      <c r="K76" t="s">
        <v>63</v>
      </c>
      <c r="L76">
        <v>2</v>
      </c>
      <c r="N76">
        <v>1</v>
      </c>
      <c r="O76" t="s">
        <v>72</v>
      </c>
      <c r="S76" t="s">
        <v>48</v>
      </c>
      <c r="T76">
        <v>1</v>
      </c>
      <c r="V76">
        <v>2</v>
      </c>
      <c r="W76" t="s">
        <v>49</v>
      </c>
      <c r="X76" t="s">
        <v>84</v>
      </c>
      <c r="AA76" t="s">
        <v>43</v>
      </c>
      <c r="AB76">
        <v>1</v>
      </c>
      <c r="AD76">
        <v>1</v>
      </c>
      <c r="AE76" t="s">
        <v>135</v>
      </c>
      <c r="AF76" t="s">
        <v>74</v>
      </c>
      <c r="AI76">
        <v>5</v>
      </c>
      <c r="AJ76">
        <v>35</v>
      </c>
    </row>
    <row r="77" spans="1:36" x14ac:dyDescent="0.25">
      <c r="A77" t="s">
        <v>302</v>
      </c>
      <c r="B77">
        <v>82</v>
      </c>
      <c r="C77" t="s">
        <v>53</v>
      </c>
      <c r="D77">
        <v>3</v>
      </c>
      <c r="E77">
        <v>1</v>
      </c>
      <c r="F77">
        <v>1</v>
      </c>
      <c r="G77" t="s">
        <v>54</v>
      </c>
      <c r="K77" t="s">
        <v>63</v>
      </c>
      <c r="L77">
        <v>1</v>
      </c>
      <c r="N77">
        <v>1</v>
      </c>
      <c r="O77" t="s">
        <v>72</v>
      </c>
      <c r="S77" t="s">
        <v>48</v>
      </c>
      <c r="T77">
        <v>2</v>
      </c>
      <c r="V77">
        <v>1</v>
      </c>
      <c r="W77" t="s">
        <v>49</v>
      </c>
      <c r="AA77" t="s">
        <v>45</v>
      </c>
      <c r="AB77">
        <v>2</v>
      </c>
      <c r="AD77">
        <v>1</v>
      </c>
      <c r="AE77" t="s">
        <v>47</v>
      </c>
      <c r="AI77">
        <v>4</v>
      </c>
      <c r="AJ77">
        <v>28</v>
      </c>
    </row>
    <row r="78" spans="1:36" x14ac:dyDescent="0.25">
      <c r="A78" t="s">
        <v>303</v>
      </c>
      <c r="B78">
        <v>83</v>
      </c>
      <c r="C78" t="s">
        <v>48</v>
      </c>
      <c r="D78">
        <v>1</v>
      </c>
      <c r="F78">
        <v>1</v>
      </c>
      <c r="G78" t="s">
        <v>49</v>
      </c>
      <c r="H78" t="s">
        <v>50</v>
      </c>
      <c r="K78" t="s">
        <v>38</v>
      </c>
      <c r="L78">
        <v>3</v>
      </c>
      <c r="M78">
        <v>3</v>
      </c>
      <c r="N78">
        <v>2</v>
      </c>
      <c r="O78" t="s">
        <v>152</v>
      </c>
      <c r="P78" t="s">
        <v>70</v>
      </c>
      <c r="S78" t="s">
        <v>53</v>
      </c>
      <c r="T78">
        <v>2</v>
      </c>
      <c r="U78">
        <v>1</v>
      </c>
      <c r="V78">
        <v>2</v>
      </c>
      <c r="W78" t="s">
        <v>111</v>
      </c>
      <c r="X78" t="s">
        <v>83</v>
      </c>
      <c r="Y78" t="s">
        <v>97</v>
      </c>
      <c r="AA78" t="s">
        <v>63</v>
      </c>
      <c r="AB78">
        <v>1</v>
      </c>
      <c r="AD78">
        <v>1</v>
      </c>
      <c r="AE78" t="s">
        <v>72</v>
      </c>
      <c r="AI78">
        <v>11</v>
      </c>
      <c r="AJ78">
        <v>44</v>
      </c>
    </row>
    <row r="79" spans="1:36" x14ac:dyDescent="0.25">
      <c r="A79" t="s">
        <v>304</v>
      </c>
      <c r="B79">
        <v>84</v>
      </c>
      <c r="C79" t="s">
        <v>33</v>
      </c>
      <c r="D79">
        <v>1</v>
      </c>
      <c r="F79">
        <v>3</v>
      </c>
      <c r="G79" t="s">
        <v>46</v>
      </c>
      <c r="K79" t="s">
        <v>43</v>
      </c>
      <c r="L79">
        <v>1</v>
      </c>
      <c r="N79">
        <v>1</v>
      </c>
      <c r="O79" t="s">
        <v>135</v>
      </c>
      <c r="P79" t="s">
        <v>99</v>
      </c>
      <c r="Q79" t="s">
        <v>100</v>
      </c>
      <c r="R79" t="s">
        <v>101</v>
      </c>
      <c r="S79" t="s">
        <v>53</v>
      </c>
      <c r="T79">
        <v>2</v>
      </c>
      <c r="U79">
        <v>3</v>
      </c>
      <c r="V79">
        <v>2</v>
      </c>
      <c r="W79" t="s">
        <v>54</v>
      </c>
      <c r="AA79" t="s">
        <v>63</v>
      </c>
      <c r="AB79">
        <v>1</v>
      </c>
      <c r="AD79">
        <v>1</v>
      </c>
      <c r="AE79" t="s">
        <v>72</v>
      </c>
      <c r="AI79">
        <v>9</v>
      </c>
      <c r="AJ79">
        <v>30</v>
      </c>
    </row>
    <row r="80" spans="1:36" x14ac:dyDescent="0.25">
      <c r="A80" t="s">
        <v>305</v>
      </c>
      <c r="B80">
        <v>85</v>
      </c>
      <c r="C80" t="s">
        <v>33</v>
      </c>
      <c r="D80">
        <v>2</v>
      </c>
      <c r="F80">
        <v>1</v>
      </c>
      <c r="G80" t="s">
        <v>46</v>
      </c>
      <c r="K80" t="s">
        <v>45</v>
      </c>
      <c r="L80">
        <v>3</v>
      </c>
      <c r="N80">
        <v>1</v>
      </c>
      <c r="O80" t="s">
        <v>47</v>
      </c>
      <c r="S80" t="s">
        <v>53</v>
      </c>
      <c r="T80">
        <v>1</v>
      </c>
      <c r="U80">
        <v>2</v>
      </c>
      <c r="V80">
        <v>1</v>
      </c>
      <c r="W80" t="s">
        <v>111</v>
      </c>
      <c r="X80" t="s">
        <v>83</v>
      </c>
      <c r="AA80" t="s">
        <v>63</v>
      </c>
      <c r="AB80">
        <v>1</v>
      </c>
      <c r="AD80">
        <v>1</v>
      </c>
      <c r="AE80" t="s">
        <v>72</v>
      </c>
      <c r="AI80">
        <v>5</v>
      </c>
      <c r="AJ80">
        <v>21</v>
      </c>
    </row>
    <row r="81" spans="1:36" x14ac:dyDescent="0.25">
      <c r="A81" t="s">
        <v>306</v>
      </c>
      <c r="B81">
        <v>86</v>
      </c>
      <c r="C81" t="s">
        <v>53</v>
      </c>
      <c r="D81">
        <v>1</v>
      </c>
      <c r="E81">
        <v>1</v>
      </c>
      <c r="F81">
        <v>1</v>
      </c>
      <c r="G81" t="s">
        <v>54</v>
      </c>
      <c r="K81" t="s">
        <v>63</v>
      </c>
      <c r="L81">
        <v>3</v>
      </c>
      <c r="N81">
        <v>1</v>
      </c>
      <c r="O81" t="s">
        <v>72</v>
      </c>
      <c r="S81" t="s">
        <v>33</v>
      </c>
      <c r="T81">
        <v>2</v>
      </c>
      <c r="V81">
        <v>1</v>
      </c>
      <c r="W81" t="s">
        <v>46</v>
      </c>
      <c r="AA81" t="s">
        <v>38</v>
      </c>
      <c r="AB81">
        <v>2</v>
      </c>
      <c r="AC81">
        <v>1</v>
      </c>
      <c r="AD81">
        <v>1</v>
      </c>
      <c r="AE81" t="s">
        <v>152</v>
      </c>
      <c r="AI81">
        <v>4</v>
      </c>
      <c r="AJ81">
        <v>19</v>
      </c>
    </row>
    <row r="82" spans="1:36" x14ac:dyDescent="0.25">
      <c r="A82" t="s">
        <v>307</v>
      </c>
      <c r="B82">
        <v>87</v>
      </c>
      <c r="C82" t="s">
        <v>43</v>
      </c>
      <c r="D82">
        <v>1</v>
      </c>
      <c r="F82">
        <v>1</v>
      </c>
      <c r="G82" t="s">
        <v>135</v>
      </c>
      <c r="H82" t="s">
        <v>74</v>
      </c>
      <c r="K82" t="s">
        <v>45</v>
      </c>
      <c r="L82">
        <v>3</v>
      </c>
      <c r="N82">
        <v>2</v>
      </c>
      <c r="O82" t="s">
        <v>47</v>
      </c>
      <c r="S82" t="s">
        <v>53</v>
      </c>
      <c r="T82">
        <v>1</v>
      </c>
      <c r="U82">
        <v>1</v>
      </c>
      <c r="V82">
        <v>1</v>
      </c>
      <c r="W82" t="s">
        <v>54</v>
      </c>
      <c r="X82" t="s">
        <v>55</v>
      </c>
      <c r="AA82" t="s">
        <v>63</v>
      </c>
      <c r="AB82">
        <v>3</v>
      </c>
      <c r="AD82">
        <v>1</v>
      </c>
      <c r="AE82" t="s">
        <v>72</v>
      </c>
      <c r="AF82" t="s">
        <v>91</v>
      </c>
      <c r="AI82">
        <v>8</v>
      </c>
      <c r="AJ82">
        <v>30</v>
      </c>
    </row>
    <row r="83" spans="1:36" x14ac:dyDescent="0.25">
      <c r="A83" t="s">
        <v>308</v>
      </c>
      <c r="B83">
        <v>88</v>
      </c>
      <c r="C83" t="s">
        <v>53</v>
      </c>
      <c r="D83">
        <v>2</v>
      </c>
      <c r="E83">
        <v>1</v>
      </c>
      <c r="F83">
        <v>1</v>
      </c>
      <c r="G83" t="s">
        <v>54</v>
      </c>
      <c r="H83" t="s">
        <v>55</v>
      </c>
      <c r="K83" t="s">
        <v>63</v>
      </c>
      <c r="L83">
        <v>1</v>
      </c>
      <c r="N83">
        <v>1</v>
      </c>
      <c r="O83" t="s">
        <v>72</v>
      </c>
      <c r="P83" t="s">
        <v>95</v>
      </c>
      <c r="S83" t="s">
        <v>43</v>
      </c>
      <c r="T83">
        <v>1</v>
      </c>
      <c r="V83">
        <v>1</v>
      </c>
      <c r="W83" t="s">
        <v>135</v>
      </c>
      <c r="X83" t="s">
        <v>74</v>
      </c>
      <c r="AA83" t="s">
        <v>38</v>
      </c>
      <c r="AB83">
        <v>1</v>
      </c>
      <c r="AC83">
        <v>1</v>
      </c>
      <c r="AD83">
        <v>1</v>
      </c>
      <c r="AE83" t="s">
        <v>152</v>
      </c>
      <c r="AF83" t="s">
        <v>96</v>
      </c>
      <c r="AI83">
        <v>5</v>
      </c>
      <c r="AJ83">
        <v>21</v>
      </c>
    </row>
    <row r="84" spans="1:36" x14ac:dyDescent="0.25">
      <c r="A84" t="s">
        <v>309</v>
      </c>
      <c r="B84">
        <v>89</v>
      </c>
      <c r="C84" t="s">
        <v>53</v>
      </c>
      <c r="D84">
        <v>2</v>
      </c>
      <c r="E84">
        <v>1</v>
      </c>
      <c r="F84">
        <v>1</v>
      </c>
      <c r="G84" t="s">
        <v>54</v>
      </c>
      <c r="K84" t="s">
        <v>63</v>
      </c>
      <c r="L84">
        <v>1</v>
      </c>
      <c r="N84">
        <v>1</v>
      </c>
      <c r="O84" t="s">
        <v>72</v>
      </c>
      <c r="S84" t="s">
        <v>45</v>
      </c>
      <c r="T84">
        <v>1</v>
      </c>
      <c r="V84">
        <v>1</v>
      </c>
      <c r="W84" t="s">
        <v>47</v>
      </c>
      <c r="AA84" t="s">
        <v>38</v>
      </c>
      <c r="AB84">
        <v>1</v>
      </c>
      <c r="AC84">
        <v>2</v>
      </c>
      <c r="AD84">
        <v>2</v>
      </c>
      <c r="AE84" t="s">
        <v>152</v>
      </c>
      <c r="AI84">
        <v>3</v>
      </c>
      <c r="AJ84">
        <v>17</v>
      </c>
    </row>
    <row r="85" spans="1:36" x14ac:dyDescent="0.25">
      <c r="A85" t="s">
        <v>310</v>
      </c>
      <c r="B85">
        <v>90</v>
      </c>
      <c r="C85" t="s">
        <v>56</v>
      </c>
      <c r="D85">
        <v>1</v>
      </c>
      <c r="F85">
        <v>1</v>
      </c>
      <c r="G85" t="s">
        <v>57</v>
      </c>
      <c r="K85" t="s">
        <v>48</v>
      </c>
      <c r="L85">
        <v>3</v>
      </c>
      <c r="N85">
        <v>3</v>
      </c>
      <c r="O85" t="s">
        <v>49</v>
      </c>
      <c r="P85" t="s">
        <v>71</v>
      </c>
      <c r="S85" t="s">
        <v>53</v>
      </c>
      <c r="T85">
        <v>2</v>
      </c>
      <c r="U85">
        <v>1</v>
      </c>
      <c r="V85">
        <v>1</v>
      </c>
      <c r="W85" t="s">
        <v>54</v>
      </c>
      <c r="AA85" t="s">
        <v>38</v>
      </c>
      <c r="AB85">
        <v>1</v>
      </c>
      <c r="AC85">
        <v>3</v>
      </c>
      <c r="AD85">
        <v>2</v>
      </c>
      <c r="AE85" t="s">
        <v>67</v>
      </c>
      <c r="AI85">
        <v>9</v>
      </c>
      <c r="AJ85">
        <v>32</v>
      </c>
    </row>
    <row r="86" spans="1:36" x14ac:dyDescent="0.25">
      <c r="A86" t="s">
        <v>311</v>
      </c>
      <c r="B86">
        <v>91</v>
      </c>
      <c r="C86" t="s">
        <v>56</v>
      </c>
      <c r="D86">
        <v>1</v>
      </c>
      <c r="F86">
        <v>1</v>
      </c>
      <c r="G86" t="s">
        <v>57</v>
      </c>
      <c r="H86" t="s">
        <v>122</v>
      </c>
      <c r="I86" t="s">
        <v>85</v>
      </c>
      <c r="K86" t="s">
        <v>33</v>
      </c>
      <c r="L86">
        <v>1</v>
      </c>
      <c r="N86">
        <v>2</v>
      </c>
      <c r="O86" t="s">
        <v>46</v>
      </c>
      <c r="S86" t="s">
        <v>53</v>
      </c>
      <c r="T86">
        <v>1</v>
      </c>
      <c r="U86">
        <v>1</v>
      </c>
      <c r="V86">
        <v>2</v>
      </c>
      <c r="W86" t="s">
        <v>54</v>
      </c>
      <c r="AA86" t="s">
        <v>38</v>
      </c>
      <c r="AB86">
        <v>1</v>
      </c>
      <c r="AC86">
        <v>1</v>
      </c>
      <c r="AD86">
        <v>2</v>
      </c>
      <c r="AE86" t="s">
        <v>152</v>
      </c>
      <c r="AI86">
        <v>6</v>
      </c>
      <c r="AJ86">
        <v>26</v>
      </c>
    </row>
    <row r="87" spans="1:36" x14ac:dyDescent="0.25">
      <c r="A87" t="s">
        <v>312</v>
      </c>
      <c r="B87">
        <v>92</v>
      </c>
      <c r="C87" t="s">
        <v>56</v>
      </c>
      <c r="D87">
        <v>1</v>
      </c>
      <c r="F87">
        <v>1</v>
      </c>
      <c r="G87" t="s">
        <v>57</v>
      </c>
      <c r="H87" t="s">
        <v>122</v>
      </c>
      <c r="K87" t="s">
        <v>43</v>
      </c>
      <c r="L87">
        <v>2</v>
      </c>
      <c r="N87">
        <v>1</v>
      </c>
      <c r="O87" t="s">
        <v>135</v>
      </c>
      <c r="P87" t="s">
        <v>74</v>
      </c>
      <c r="S87" t="s">
        <v>53</v>
      </c>
      <c r="T87">
        <v>1</v>
      </c>
      <c r="U87">
        <v>1</v>
      </c>
      <c r="V87">
        <v>1</v>
      </c>
      <c r="W87" t="s">
        <v>54</v>
      </c>
      <c r="AA87" t="s">
        <v>38</v>
      </c>
      <c r="AB87">
        <v>1</v>
      </c>
      <c r="AC87">
        <v>3</v>
      </c>
      <c r="AD87">
        <v>3</v>
      </c>
      <c r="AE87" t="s">
        <v>67</v>
      </c>
      <c r="AF87" t="s">
        <v>40</v>
      </c>
      <c r="AI87">
        <v>8</v>
      </c>
      <c r="AJ87">
        <v>24</v>
      </c>
    </row>
    <row r="88" spans="1:36" x14ac:dyDescent="0.25">
      <c r="A88" t="s">
        <v>313</v>
      </c>
      <c r="B88">
        <v>93</v>
      </c>
      <c r="C88" t="s">
        <v>53</v>
      </c>
      <c r="D88">
        <v>3</v>
      </c>
      <c r="E88">
        <v>1</v>
      </c>
      <c r="F88">
        <v>1</v>
      </c>
      <c r="G88" t="s">
        <v>54</v>
      </c>
      <c r="H88" t="s">
        <v>83</v>
      </c>
      <c r="I88" t="s">
        <v>97</v>
      </c>
      <c r="K88" t="s">
        <v>38</v>
      </c>
      <c r="L88">
        <v>3</v>
      </c>
      <c r="M88">
        <v>1</v>
      </c>
      <c r="N88">
        <v>2</v>
      </c>
      <c r="O88" t="s">
        <v>67</v>
      </c>
      <c r="S88" t="s">
        <v>56</v>
      </c>
      <c r="T88">
        <v>1</v>
      </c>
      <c r="V88">
        <v>1</v>
      </c>
      <c r="W88" t="s">
        <v>57</v>
      </c>
      <c r="AA88" t="s">
        <v>45</v>
      </c>
      <c r="AB88">
        <v>3</v>
      </c>
      <c r="AD88">
        <v>2</v>
      </c>
      <c r="AE88" t="s">
        <v>47</v>
      </c>
      <c r="AI88">
        <v>10</v>
      </c>
      <c r="AJ88">
        <v>31</v>
      </c>
    </row>
    <row r="89" spans="1:36" x14ac:dyDescent="0.25">
      <c r="A89" t="s">
        <v>314</v>
      </c>
      <c r="B89">
        <v>94</v>
      </c>
      <c r="C89" t="s">
        <v>56</v>
      </c>
      <c r="D89">
        <v>1</v>
      </c>
      <c r="F89">
        <v>1</v>
      </c>
      <c r="G89" t="s">
        <v>57</v>
      </c>
      <c r="H89" t="s">
        <v>122</v>
      </c>
      <c r="I89" t="s">
        <v>85</v>
      </c>
      <c r="K89" t="s">
        <v>63</v>
      </c>
      <c r="L89">
        <v>2</v>
      </c>
      <c r="N89">
        <v>1</v>
      </c>
      <c r="O89" t="s">
        <v>103</v>
      </c>
      <c r="P89" t="s">
        <v>95</v>
      </c>
      <c r="S89" t="s">
        <v>53</v>
      </c>
      <c r="T89">
        <v>1</v>
      </c>
      <c r="U89">
        <v>1</v>
      </c>
      <c r="V89">
        <v>1</v>
      </c>
      <c r="W89" t="s">
        <v>54</v>
      </c>
      <c r="AA89" t="s">
        <v>38</v>
      </c>
      <c r="AB89">
        <v>1</v>
      </c>
      <c r="AC89">
        <v>3</v>
      </c>
      <c r="AD89">
        <v>3</v>
      </c>
      <c r="AE89" t="s">
        <v>152</v>
      </c>
      <c r="AI89">
        <v>8</v>
      </c>
      <c r="AJ89">
        <v>25</v>
      </c>
    </row>
    <row r="90" spans="1:36" x14ac:dyDescent="0.25">
      <c r="A90" t="s">
        <v>315</v>
      </c>
      <c r="B90">
        <v>95</v>
      </c>
      <c r="C90" t="s">
        <v>48</v>
      </c>
      <c r="D90">
        <v>1</v>
      </c>
      <c r="F90">
        <v>1</v>
      </c>
      <c r="G90" t="s">
        <v>49</v>
      </c>
      <c r="K90" t="s">
        <v>33</v>
      </c>
      <c r="L90">
        <v>2</v>
      </c>
      <c r="N90">
        <v>1</v>
      </c>
      <c r="O90" t="s">
        <v>46</v>
      </c>
      <c r="S90" t="s">
        <v>53</v>
      </c>
      <c r="T90">
        <v>2</v>
      </c>
      <c r="U90">
        <v>3</v>
      </c>
      <c r="V90">
        <v>1</v>
      </c>
      <c r="W90" t="s">
        <v>111</v>
      </c>
      <c r="AA90" t="s">
        <v>38</v>
      </c>
      <c r="AB90">
        <v>1</v>
      </c>
      <c r="AC90">
        <v>1</v>
      </c>
      <c r="AD90">
        <v>1</v>
      </c>
      <c r="AE90" t="s">
        <v>152</v>
      </c>
      <c r="AI90">
        <v>4</v>
      </c>
      <c r="AJ90">
        <v>23</v>
      </c>
    </row>
    <row r="91" spans="1:36" x14ac:dyDescent="0.25">
      <c r="A91" t="s">
        <v>316</v>
      </c>
      <c r="B91">
        <v>96</v>
      </c>
      <c r="C91" t="s">
        <v>48</v>
      </c>
      <c r="D91">
        <v>1</v>
      </c>
      <c r="F91">
        <v>1</v>
      </c>
      <c r="G91" t="s">
        <v>49</v>
      </c>
      <c r="H91" t="s">
        <v>50</v>
      </c>
      <c r="I91" t="s">
        <v>127</v>
      </c>
      <c r="K91" t="s">
        <v>43</v>
      </c>
      <c r="L91">
        <v>1</v>
      </c>
      <c r="N91">
        <v>1</v>
      </c>
      <c r="O91" t="s">
        <v>135</v>
      </c>
      <c r="P91" t="s">
        <v>99</v>
      </c>
      <c r="S91" t="s">
        <v>53</v>
      </c>
      <c r="T91">
        <v>3</v>
      </c>
      <c r="U91">
        <v>1</v>
      </c>
      <c r="V91">
        <v>1</v>
      </c>
      <c r="W91" t="s">
        <v>54</v>
      </c>
      <c r="AA91" t="s">
        <v>38</v>
      </c>
      <c r="AB91">
        <v>1</v>
      </c>
      <c r="AC91">
        <v>2</v>
      </c>
      <c r="AD91">
        <v>2</v>
      </c>
      <c r="AE91" t="s">
        <v>67</v>
      </c>
      <c r="AI91">
        <v>7</v>
      </c>
      <c r="AJ91">
        <v>34</v>
      </c>
    </row>
    <row r="92" spans="1:36" x14ac:dyDescent="0.25">
      <c r="A92" t="s">
        <v>317</v>
      </c>
      <c r="B92">
        <v>97</v>
      </c>
      <c r="C92" t="s">
        <v>53</v>
      </c>
      <c r="D92">
        <v>2</v>
      </c>
      <c r="E92">
        <v>1</v>
      </c>
      <c r="F92">
        <v>1</v>
      </c>
      <c r="G92" t="s">
        <v>54</v>
      </c>
      <c r="H92" t="s">
        <v>83</v>
      </c>
      <c r="K92" t="s">
        <v>38</v>
      </c>
      <c r="L92">
        <v>1</v>
      </c>
      <c r="M92">
        <v>1</v>
      </c>
      <c r="N92">
        <v>1</v>
      </c>
      <c r="O92" t="s">
        <v>67</v>
      </c>
      <c r="S92" t="s">
        <v>48</v>
      </c>
      <c r="T92">
        <v>3</v>
      </c>
      <c r="V92">
        <v>1</v>
      </c>
      <c r="W92" t="s">
        <v>49</v>
      </c>
      <c r="AA92" t="s">
        <v>45</v>
      </c>
      <c r="AB92">
        <v>2</v>
      </c>
      <c r="AD92">
        <v>1</v>
      </c>
      <c r="AE92" t="s">
        <v>86</v>
      </c>
      <c r="AI92">
        <v>5</v>
      </c>
      <c r="AJ92">
        <v>29</v>
      </c>
    </row>
    <row r="93" spans="1:36" x14ac:dyDescent="0.25">
      <c r="A93" t="s">
        <v>318</v>
      </c>
      <c r="B93">
        <v>98</v>
      </c>
      <c r="C93" t="s">
        <v>53</v>
      </c>
      <c r="D93">
        <v>2</v>
      </c>
      <c r="E93">
        <v>1</v>
      </c>
      <c r="F93">
        <v>1</v>
      </c>
      <c r="G93" t="s">
        <v>54</v>
      </c>
      <c r="H93" t="s">
        <v>55</v>
      </c>
      <c r="K93" t="s">
        <v>38</v>
      </c>
      <c r="L93">
        <v>1</v>
      </c>
      <c r="M93">
        <v>1</v>
      </c>
      <c r="N93">
        <v>2</v>
      </c>
      <c r="O93" t="s">
        <v>67</v>
      </c>
      <c r="P93" t="s">
        <v>70</v>
      </c>
      <c r="S93" t="s">
        <v>48</v>
      </c>
      <c r="T93">
        <v>1</v>
      </c>
      <c r="V93">
        <v>1</v>
      </c>
      <c r="W93" t="s">
        <v>49</v>
      </c>
      <c r="X93" t="s">
        <v>84</v>
      </c>
      <c r="Y93" t="s">
        <v>90</v>
      </c>
      <c r="AA93" t="s">
        <v>63</v>
      </c>
      <c r="AB93">
        <v>1</v>
      </c>
      <c r="AD93">
        <v>1</v>
      </c>
      <c r="AE93" t="s">
        <v>103</v>
      </c>
      <c r="AI93">
        <v>6</v>
      </c>
      <c r="AJ93">
        <v>37</v>
      </c>
    </row>
    <row r="94" spans="1:36" x14ac:dyDescent="0.25">
      <c r="A94" t="s">
        <v>319</v>
      </c>
      <c r="B94">
        <v>99</v>
      </c>
      <c r="C94" t="s">
        <v>33</v>
      </c>
      <c r="D94">
        <v>1</v>
      </c>
      <c r="F94">
        <v>2</v>
      </c>
      <c r="G94" t="s">
        <v>46</v>
      </c>
      <c r="K94" t="s">
        <v>43</v>
      </c>
      <c r="L94">
        <v>2</v>
      </c>
      <c r="N94">
        <v>1</v>
      </c>
      <c r="O94" t="s">
        <v>135</v>
      </c>
      <c r="P94" t="s">
        <v>74</v>
      </c>
      <c r="S94" t="s">
        <v>53</v>
      </c>
      <c r="T94">
        <v>1</v>
      </c>
      <c r="U94">
        <v>1</v>
      </c>
      <c r="V94">
        <v>1</v>
      </c>
      <c r="W94" t="s">
        <v>54</v>
      </c>
      <c r="AA94" t="s">
        <v>38</v>
      </c>
      <c r="AB94">
        <v>1</v>
      </c>
      <c r="AC94">
        <v>1</v>
      </c>
      <c r="AD94">
        <v>3</v>
      </c>
      <c r="AE94" t="s">
        <v>67</v>
      </c>
      <c r="AI94">
        <v>5</v>
      </c>
      <c r="AJ94">
        <v>24</v>
      </c>
    </row>
    <row r="95" spans="1:36" x14ac:dyDescent="0.25">
      <c r="A95" t="s">
        <v>320</v>
      </c>
      <c r="B95">
        <v>100</v>
      </c>
      <c r="C95" t="s">
        <v>53</v>
      </c>
      <c r="D95">
        <v>1</v>
      </c>
      <c r="E95">
        <v>1</v>
      </c>
      <c r="F95">
        <v>1</v>
      </c>
      <c r="G95" t="s">
        <v>54</v>
      </c>
      <c r="K95" t="s">
        <v>38</v>
      </c>
      <c r="L95">
        <v>1</v>
      </c>
      <c r="M95">
        <v>1</v>
      </c>
      <c r="N95">
        <v>2</v>
      </c>
      <c r="O95" t="s">
        <v>67</v>
      </c>
      <c r="S95" t="s">
        <v>33</v>
      </c>
      <c r="T95">
        <v>1</v>
      </c>
      <c r="V95">
        <v>1</v>
      </c>
      <c r="W95" t="s">
        <v>46</v>
      </c>
      <c r="AA95" t="s">
        <v>45</v>
      </c>
      <c r="AB95">
        <v>1</v>
      </c>
      <c r="AD95">
        <v>2</v>
      </c>
      <c r="AE95" t="s">
        <v>47</v>
      </c>
      <c r="AI95">
        <v>2</v>
      </c>
      <c r="AJ95">
        <v>15</v>
      </c>
    </row>
    <row r="96" spans="1:36" x14ac:dyDescent="0.25">
      <c r="A96" t="s">
        <v>321</v>
      </c>
      <c r="B96">
        <v>101</v>
      </c>
      <c r="C96" t="s">
        <v>33</v>
      </c>
      <c r="D96">
        <v>2</v>
      </c>
      <c r="F96">
        <v>3</v>
      </c>
      <c r="G96" t="s">
        <v>46</v>
      </c>
      <c r="K96" t="s">
        <v>63</v>
      </c>
      <c r="L96">
        <v>1</v>
      </c>
      <c r="N96">
        <v>1</v>
      </c>
      <c r="O96" t="s">
        <v>103</v>
      </c>
      <c r="P96" t="s">
        <v>95</v>
      </c>
      <c r="S96" t="s">
        <v>53</v>
      </c>
      <c r="T96">
        <v>2</v>
      </c>
      <c r="U96">
        <v>1</v>
      </c>
      <c r="V96">
        <v>1</v>
      </c>
      <c r="W96" t="s">
        <v>54</v>
      </c>
      <c r="AA96" t="s">
        <v>38</v>
      </c>
      <c r="AB96">
        <v>1</v>
      </c>
      <c r="AC96">
        <v>1</v>
      </c>
      <c r="AD96">
        <v>2</v>
      </c>
      <c r="AE96" t="s">
        <v>67</v>
      </c>
      <c r="AI96">
        <v>6</v>
      </c>
      <c r="AJ96">
        <v>29</v>
      </c>
    </row>
    <row r="97" spans="1:36" x14ac:dyDescent="0.25">
      <c r="A97" t="s">
        <v>322</v>
      </c>
      <c r="B97">
        <v>102</v>
      </c>
      <c r="C97" t="s">
        <v>53</v>
      </c>
      <c r="D97">
        <v>1</v>
      </c>
      <c r="E97">
        <v>1</v>
      </c>
      <c r="F97">
        <v>1</v>
      </c>
      <c r="G97" t="s">
        <v>54</v>
      </c>
      <c r="K97" t="s">
        <v>38</v>
      </c>
      <c r="L97">
        <v>1</v>
      </c>
      <c r="M97">
        <v>1</v>
      </c>
      <c r="N97">
        <v>2</v>
      </c>
      <c r="O97" t="s">
        <v>67</v>
      </c>
      <c r="P97" t="s">
        <v>70</v>
      </c>
      <c r="S97" t="s">
        <v>43</v>
      </c>
      <c r="T97">
        <v>2</v>
      </c>
      <c r="V97">
        <v>1</v>
      </c>
      <c r="W97" t="s">
        <v>135</v>
      </c>
      <c r="X97" t="s">
        <v>74</v>
      </c>
      <c r="Y97" t="s">
        <v>75</v>
      </c>
      <c r="AA97" t="s">
        <v>45</v>
      </c>
      <c r="AB97">
        <v>1</v>
      </c>
      <c r="AD97">
        <v>1</v>
      </c>
      <c r="AE97" t="s">
        <v>47</v>
      </c>
      <c r="AI97">
        <v>5</v>
      </c>
      <c r="AJ97">
        <v>25</v>
      </c>
    </row>
    <row r="98" spans="1:36" x14ac:dyDescent="0.25">
      <c r="A98" t="s">
        <v>323</v>
      </c>
      <c r="B98">
        <v>103</v>
      </c>
      <c r="C98" t="s">
        <v>43</v>
      </c>
      <c r="D98">
        <v>1</v>
      </c>
      <c r="F98">
        <v>2</v>
      </c>
      <c r="G98" t="s">
        <v>135</v>
      </c>
      <c r="H98" t="s">
        <v>74</v>
      </c>
      <c r="I98" t="s">
        <v>75</v>
      </c>
      <c r="K98" t="s">
        <v>63</v>
      </c>
      <c r="L98">
        <v>1</v>
      </c>
      <c r="N98">
        <v>1</v>
      </c>
      <c r="O98" t="s">
        <v>103</v>
      </c>
      <c r="P98" t="s">
        <v>95</v>
      </c>
      <c r="S98" t="s">
        <v>53</v>
      </c>
      <c r="T98">
        <v>1</v>
      </c>
      <c r="U98">
        <v>1</v>
      </c>
      <c r="V98">
        <v>1</v>
      </c>
      <c r="W98" t="s">
        <v>54</v>
      </c>
      <c r="X98" t="s">
        <v>55</v>
      </c>
      <c r="AA98" t="s">
        <v>38</v>
      </c>
      <c r="AB98">
        <v>1</v>
      </c>
      <c r="AC98">
        <v>1</v>
      </c>
      <c r="AD98">
        <v>1</v>
      </c>
      <c r="AE98" t="s">
        <v>152</v>
      </c>
      <c r="AF98" t="s">
        <v>70</v>
      </c>
      <c r="AI98">
        <v>6</v>
      </c>
      <c r="AJ98">
        <v>31</v>
      </c>
    </row>
    <row r="99" spans="1:36" x14ac:dyDescent="0.25">
      <c r="A99" t="s">
        <v>324</v>
      </c>
      <c r="B99">
        <v>104</v>
      </c>
      <c r="C99" t="s">
        <v>45</v>
      </c>
      <c r="D99">
        <v>2</v>
      </c>
      <c r="F99">
        <v>1</v>
      </c>
      <c r="G99" t="s">
        <v>47</v>
      </c>
      <c r="K99" t="s">
        <v>63</v>
      </c>
      <c r="L99">
        <v>2</v>
      </c>
      <c r="N99">
        <v>1</v>
      </c>
      <c r="O99" t="s">
        <v>103</v>
      </c>
      <c r="P99" t="s">
        <v>91</v>
      </c>
      <c r="S99" t="s">
        <v>53</v>
      </c>
      <c r="T99">
        <v>3</v>
      </c>
      <c r="U99">
        <v>1</v>
      </c>
      <c r="V99">
        <v>1</v>
      </c>
      <c r="W99" t="s">
        <v>54</v>
      </c>
      <c r="AA99" t="s">
        <v>38</v>
      </c>
      <c r="AB99">
        <v>1</v>
      </c>
      <c r="AC99">
        <v>2</v>
      </c>
      <c r="AD99">
        <v>1</v>
      </c>
      <c r="AE99" t="s">
        <v>152</v>
      </c>
      <c r="AI99">
        <v>6</v>
      </c>
      <c r="AJ99">
        <v>26</v>
      </c>
    </row>
    <row r="100" spans="1:36" x14ac:dyDescent="0.25">
      <c r="A100" t="s">
        <v>325</v>
      </c>
      <c r="B100">
        <v>105</v>
      </c>
      <c r="C100" t="s">
        <v>56</v>
      </c>
      <c r="D100">
        <v>1</v>
      </c>
      <c r="F100">
        <v>1</v>
      </c>
      <c r="G100" t="s">
        <v>120</v>
      </c>
      <c r="K100" t="s">
        <v>48</v>
      </c>
      <c r="L100">
        <v>3</v>
      </c>
      <c r="N100">
        <v>1</v>
      </c>
      <c r="O100" t="s">
        <v>89</v>
      </c>
      <c r="S100" t="s">
        <v>33</v>
      </c>
      <c r="T100">
        <v>2</v>
      </c>
      <c r="V100">
        <v>1</v>
      </c>
      <c r="W100" t="s">
        <v>46</v>
      </c>
      <c r="AA100" t="s">
        <v>43</v>
      </c>
      <c r="AB100">
        <v>2</v>
      </c>
      <c r="AD100">
        <v>1</v>
      </c>
      <c r="AE100" t="s">
        <v>135</v>
      </c>
      <c r="AI100">
        <v>4</v>
      </c>
      <c r="AJ100">
        <v>21</v>
      </c>
    </row>
    <row r="101" spans="1:36" x14ac:dyDescent="0.25">
      <c r="A101" t="s">
        <v>326</v>
      </c>
      <c r="B101">
        <v>106</v>
      </c>
      <c r="C101" t="s">
        <v>33</v>
      </c>
      <c r="D101">
        <v>2</v>
      </c>
      <c r="F101">
        <v>1</v>
      </c>
      <c r="G101" t="s">
        <v>46</v>
      </c>
      <c r="K101" t="s">
        <v>45</v>
      </c>
      <c r="L101">
        <v>2</v>
      </c>
      <c r="N101">
        <v>1</v>
      </c>
      <c r="O101" t="s">
        <v>47</v>
      </c>
      <c r="S101" t="s">
        <v>56</v>
      </c>
      <c r="T101">
        <v>1</v>
      </c>
      <c r="V101">
        <v>1</v>
      </c>
      <c r="W101" t="s">
        <v>68</v>
      </c>
      <c r="AA101" t="s">
        <v>48</v>
      </c>
      <c r="AB101">
        <v>1</v>
      </c>
      <c r="AD101">
        <v>1</v>
      </c>
      <c r="AE101" t="s">
        <v>89</v>
      </c>
      <c r="AI101">
        <v>2</v>
      </c>
      <c r="AJ101">
        <v>19</v>
      </c>
    </row>
    <row r="102" spans="1:36" x14ac:dyDescent="0.25">
      <c r="A102" t="s">
        <v>327</v>
      </c>
      <c r="B102">
        <v>107</v>
      </c>
      <c r="C102" t="s">
        <v>56</v>
      </c>
      <c r="D102">
        <v>1</v>
      </c>
      <c r="F102">
        <v>1</v>
      </c>
      <c r="G102" t="s">
        <v>68</v>
      </c>
      <c r="K102" t="s">
        <v>48</v>
      </c>
      <c r="L102">
        <v>3</v>
      </c>
      <c r="N102">
        <v>1</v>
      </c>
      <c r="O102" t="s">
        <v>49</v>
      </c>
      <c r="P102" t="s">
        <v>71</v>
      </c>
      <c r="Q102" t="s">
        <v>51</v>
      </c>
      <c r="S102" t="s">
        <v>33</v>
      </c>
      <c r="T102">
        <v>3</v>
      </c>
      <c r="V102">
        <v>2</v>
      </c>
      <c r="W102" t="s">
        <v>46</v>
      </c>
      <c r="AA102" t="s">
        <v>63</v>
      </c>
      <c r="AB102">
        <v>1</v>
      </c>
      <c r="AD102">
        <v>1</v>
      </c>
      <c r="AE102" t="s">
        <v>103</v>
      </c>
      <c r="AF102" t="s">
        <v>91</v>
      </c>
      <c r="AI102">
        <v>8</v>
      </c>
      <c r="AJ102">
        <v>48</v>
      </c>
    </row>
    <row r="103" spans="1:36" x14ac:dyDescent="0.25">
      <c r="A103" t="s">
        <v>328</v>
      </c>
      <c r="B103">
        <v>108</v>
      </c>
      <c r="C103" t="s">
        <v>56</v>
      </c>
      <c r="D103">
        <v>2</v>
      </c>
      <c r="F103">
        <v>1</v>
      </c>
      <c r="G103" t="s">
        <v>68</v>
      </c>
      <c r="K103" t="s">
        <v>48</v>
      </c>
      <c r="L103">
        <v>3</v>
      </c>
      <c r="N103">
        <v>1</v>
      </c>
      <c r="O103" t="s">
        <v>89</v>
      </c>
      <c r="S103" t="s">
        <v>33</v>
      </c>
      <c r="T103">
        <v>2</v>
      </c>
      <c r="V103">
        <v>2</v>
      </c>
      <c r="W103" t="s">
        <v>46</v>
      </c>
      <c r="AA103" t="s">
        <v>38</v>
      </c>
      <c r="AB103">
        <v>1</v>
      </c>
      <c r="AC103">
        <v>1</v>
      </c>
      <c r="AD103">
        <v>1</v>
      </c>
      <c r="AE103" t="s">
        <v>152</v>
      </c>
      <c r="AI103">
        <v>5</v>
      </c>
      <c r="AJ103">
        <v>18</v>
      </c>
    </row>
    <row r="104" spans="1:36" x14ac:dyDescent="0.25">
      <c r="A104" t="s">
        <v>329</v>
      </c>
      <c r="B104">
        <v>109</v>
      </c>
      <c r="C104" t="s">
        <v>43</v>
      </c>
      <c r="D104">
        <v>1</v>
      </c>
      <c r="F104">
        <v>2</v>
      </c>
      <c r="G104" t="s">
        <v>135</v>
      </c>
      <c r="H104" t="s">
        <v>74</v>
      </c>
      <c r="I104" t="s">
        <v>75</v>
      </c>
      <c r="K104" t="s">
        <v>45</v>
      </c>
      <c r="L104">
        <v>2</v>
      </c>
      <c r="N104">
        <v>2</v>
      </c>
      <c r="O104" t="s">
        <v>47</v>
      </c>
      <c r="P104" t="s">
        <v>141</v>
      </c>
      <c r="S104" t="s">
        <v>56</v>
      </c>
      <c r="T104">
        <v>1</v>
      </c>
      <c r="V104">
        <v>2</v>
      </c>
      <c r="W104" t="s">
        <v>68</v>
      </c>
      <c r="AA104" t="s">
        <v>48</v>
      </c>
      <c r="AB104">
        <v>2</v>
      </c>
      <c r="AD104">
        <v>1</v>
      </c>
      <c r="AE104" t="s">
        <v>89</v>
      </c>
      <c r="AI104">
        <v>8</v>
      </c>
      <c r="AJ104">
        <v>26</v>
      </c>
    </row>
    <row r="105" spans="1:36" x14ac:dyDescent="0.25">
      <c r="A105" t="s">
        <v>330</v>
      </c>
      <c r="B105">
        <v>110</v>
      </c>
      <c r="C105" t="s">
        <v>56</v>
      </c>
      <c r="D105">
        <v>1</v>
      </c>
      <c r="F105">
        <v>1</v>
      </c>
      <c r="G105" t="s">
        <v>68</v>
      </c>
      <c r="K105" t="s">
        <v>48</v>
      </c>
      <c r="L105">
        <v>3</v>
      </c>
      <c r="N105">
        <v>3</v>
      </c>
      <c r="O105" t="s">
        <v>49</v>
      </c>
      <c r="P105" t="s">
        <v>50</v>
      </c>
      <c r="Q105" t="s">
        <v>51</v>
      </c>
      <c r="R105" t="s">
        <v>129</v>
      </c>
      <c r="S105" t="s">
        <v>43</v>
      </c>
      <c r="T105">
        <v>3</v>
      </c>
      <c r="V105">
        <v>3</v>
      </c>
      <c r="W105" t="s">
        <v>73</v>
      </c>
      <c r="X105" t="s">
        <v>99</v>
      </c>
      <c r="Y105" t="s">
        <v>100</v>
      </c>
      <c r="Z105" t="s">
        <v>139</v>
      </c>
      <c r="AA105" t="s">
        <v>63</v>
      </c>
      <c r="AB105">
        <v>1</v>
      </c>
      <c r="AD105">
        <v>1</v>
      </c>
      <c r="AE105" t="s">
        <v>103</v>
      </c>
      <c r="AI105">
        <v>14</v>
      </c>
      <c r="AJ105">
        <v>59</v>
      </c>
    </row>
    <row r="106" spans="1:36" x14ac:dyDescent="0.25">
      <c r="A106" t="s">
        <v>331</v>
      </c>
      <c r="B106">
        <v>111</v>
      </c>
      <c r="C106" t="s">
        <v>43</v>
      </c>
      <c r="D106">
        <v>2</v>
      </c>
      <c r="F106">
        <v>1</v>
      </c>
      <c r="G106" t="s">
        <v>135</v>
      </c>
      <c r="H106" t="s">
        <v>74</v>
      </c>
      <c r="I106" t="s">
        <v>75</v>
      </c>
      <c r="K106" t="s">
        <v>38</v>
      </c>
      <c r="L106">
        <v>1</v>
      </c>
      <c r="M106">
        <v>1</v>
      </c>
      <c r="N106">
        <v>1</v>
      </c>
      <c r="O106" t="s">
        <v>152</v>
      </c>
      <c r="P106" t="s">
        <v>40</v>
      </c>
      <c r="S106" t="s">
        <v>56</v>
      </c>
      <c r="T106">
        <v>1</v>
      </c>
      <c r="V106">
        <v>1</v>
      </c>
      <c r="W106" t="s">
        <v>68</v>
      </c>
      <c r="AA106" t="s">
        <v>48</v>
      </c>
      <c r="AB106">
        <v>3</v>
      </c>
      <c r="AD106">
        <v>1</v>
      </c>
      <c r="AE106" t="s">
        <v>89</v>
      </c>
      <c r="AI106">
        <v>6</v>
      </c>
      <c r="AJ106">
        <v>24</v>
      </c>
    </row>
    <row r="107" spans="1:36" x14ac:dyDescent="0.25">
      <c r="A107" t="s">
        <v>332</v>
      </c>
      <c r="B107">
        <v>112</v>
      </c>
      <c r="C107" t="s">
        <v>56</v>
      </c>
      <c r="D107">
        <v>1</v>
      </c>
      <c r="F107">
        <v>1</v>
      </c>
      <c r="G107" t="s">
        <v>68</v>
      </c>
      <c r="K107" t="s">
        <v>48</v>
      </c>
      <c r="L107">
        <v>1</v>
      </c>
      <c r="N107">
        <v>1</v>
      </c>
      <c r="O107" t="s">
        <v>49</v>
      </c>
      <c r="P107" t="s">
        <v>50</v>
      </c>
      <c r="Q107" t="s">
        <v>127</v>
      </c>
      <c r="S107" t="s">
        <v>45</v>
      </c>
      <c r="T107">
        <v>2</v>
      </c>
      <c r="V107">
        <v>1</v>
      </c>
      <c r="W107" t="s">
        <v>47</v>
      </c>
      <c r="AA107" t="s">
        <v>63</v>
      </c>
      <c r="AB107">
        <v>1</v>
      </c>
      <c r="AD107">
        <v>1</v>
      </c>
      <c r="AE107" t="s">
        <v>103</v>
      </c>
      <c r="AI107">
        <v>3</v>
      </c>
      <c r="AJ107">
        <v>22</v>
      </c>
    </row>
    <row r="108" spans="1:36" x14ac:dyDescent="0.25">
      <c r="A108" t="s">
        <v>333</v>
      </c>
      <c r="B108">
        <v>113</v>
      </c>
      <c r="C108" t="s">
        <v>56</v>
      </c>
      <c r="D108">
        <v>1</v>
      </c>
      <c r="F108">
        <v>2</v>
      </c>
      <c r="G108" t="s">
        <v>68</v>
      </c>
      <c r="K108" t="s">
        <v>48</v>
      </c>
      <c r="L108">
        <v>3</v>
      </c>
      <c r="N108">
        <v>1</v>
      </c>
      <c r="O108" t="s">
        <v>89</v>
      </c>
      <c r="S108" t="s">
        <v>45</v>
      </c>
      <c r="T108">
        <v>3</v>
      </c>
      <c r="V108">
        <v>2</v>
      </c>
      <c r="W108" t="s">
        <v>47</v>
      </c>
      <c r="AA108" t="s">
        <v>38</v>
      </c>
      <c r="AB108">
        <v>1</v>
      </c>
      <c r="AC108">
        <v>1</v>
      </c>
      <c r="AD108">
        <v>1</v>
      </c>
      <c r="AE108" t="s">
        <v>152</v>
      </c>
      <c r="AI108">
        <v>6</v>
      </c>
      <c r="AJ108">
        <v>25</v>
      </c>
    </row>
    <row r="109" spans="1:36" x14ac:dyDescent="0.25">
      <c r="A109" t="s">
        <v>334</v>
      </c>
      <c r="B109">
        <v>114</v>
      </c>
      <c r="C109" t="s">
        <v>56</v>
      </c>
      <c r="D109">
        <v>2</v>
      </c>
      <c r="F109">
        <v>1</v>
      </c>
      <c r="G109" t="s">
        <v>57</v>
      </c>
      <c r="H109" t="s">
        <v>122</v>
      </c>
      <c r="I109" t="s">
        <v>85</v>
      </c>
      <c r="K109" t="s">
        <v>48</v>
      </c>
      <c r="L109">
        <v>2</v>
      </c>
      <c r="N109">
        <v>1</v>
      </c>
      <c r="O109" t="s">
        <v>49</v>
      </c>
      <c r="S109" t="s">
        <v>63</v>
      </c>
      <c r="T109">
        <v>2</v>
      </c>
      <c r="V109">
        <v>1</v>
      </c>
      <c r="W109" t="s">
        <v>103</v>
      </c>
      <c r="X109" t="s">
        <v>91</v>
      </c>
      <c r="Y109" t="s">
        <v>104</v>
      </c>
      <c r="AA109" t="s">
        <v>38</v>
      </c>
      <c r="AB109">
        <v>1</v>
      </c>
      <c r="AC109">
        <v>1</v>
      </c>
      <c r="AD109">
        <v>1</v>
      </c>
      <c r="AE109" t="s">
        <v>152</v>
      </c>
      <c r="AI109">
        <v>7</v>
      </c>
      <c r="AJ109">
        <v>25</v>
      </c>
    </row>
    <row r="110" spans="1:36" x14ac:dyDescent="0.25">
      <c r="A110" t="s">
        <v>335</v>
      </c>
      <c r="B110">
        <v>115</v>
      </c>
      <c r="C110" t="s">
        <v>56</v>
      </c>
      <c r="D110">
        <v>1</v>
      </c>
      <c r="F110">
        <v>1</v>
      </c>
      <c r="G110" t="s">
        <v>68</v>
      </c>
      <c r="K110" t="s">
        <v>33</v>
      </c>
      <c r="L110">
        <v>3</v>
      </c>
      <c r="N110">
        <v>3</v>
      </c>
      <c r="O110" t="s">
        <v>46</v>
      </c>
      <c r="S110" t="s">
        <v>48</v>
      </c>
      <c r="T110">
        <v>1</v>
      </c>
      <c r="V110">
        <v>1</v>
      </c>
      <c r="W110" t="s">
        <v>49</v>
      </c>
      <c r="AA110" t="s">
        <v>43</v>
      </c>
      <c r="AB110">
        <v>3</v>
      </c>
      <c r="AD110">
        <v>1</v>
      </c>
      <c r="AE110" t="s">
        <v>135</v>
      </c>
      <c r="AI110">
        <v>6</v>
      </c>
      <c r="AJ110">
        <v>19</v>
      </c>
    </row>
    <row r="111" spans="1:36" x14ac:dyDescent="0.25">
      <c r="A111" t="s">
        <v>336</v>
      </c>
      <c r="B111">
        <v>116</v>
      </c>
      <c r="C111" t="s">
        <v>48</v>
      </c>
      <c r="D111">
        <v>1</v>
      </c>
      <c r="F111">
        <v>1</v>
      </c>
      <c r="G111" t="s">
        <v>49</v>
      </c>
      <c r="H111" t="s">
        <v>50</v>
      </c>
      <c r="K111" t="s">
        <v>45</v>
      </c>
      <c r="L111">
        <v>2</v>
      </c>
      <c r="N111">
        <v>1</v>
      </c>
      <c r="O111" t="s">
        <v>47</v>
      </c>
      <c r="S111" t="s">
        <v>56</v>
      </c>
      <c r="T111">
        <v>1</v>
      </c>
      <c r="V111">
        <v>1</v>
      </c>
      <c r="W111" t="s">
        <v>68</v>
      </c>
      <c r="AA111" t="s">
        <v>33</v>
      </c>
      <c r="AB111">
        <v>1</v>
      </c>
      <c r="AD111">
        <v>2</v>
      </c>
      <c r="AE111" t="s">
        <v>46</v>
      </c>
      <c r="AI111">
        <v>3</v>
      </c>
      <c r="AJ111">
        <v>21</v>
      </c>
    </row>
    <row r="112" spans="1:36" x14ac:dyDescent="0.25">
      <c r="A112" t="s">
        <v>337</v>
      </c>
      <c r="B112">
        <v>117</v>
      </c>
      <c r="C112" t="s">
        <v>56</v>
      </c>
      <c r="D112">
        <v>1</v>
      </c>
      <c r="F112">
        <v>1</v>
      </c>
      <c r="G112" t="s">
        <v>57</v>
      </c>
      <c r="K112" t="s">
        <v>33</v>
      </c>
      <c r="L112">
        <v>3</v>
      </c>
      <c r="N112">
        <v>2</v>
      </c>
      <c r="O112" t="s">
        <v>46</v>
      </c>
      <c r="P112" t="s">
        <v>35</v>
      </c>
      <c r="Q112" t="s">
        <v>131</v>
      </c>
      <c r="S112" t="s">
        <v>48</v>
      </c>
      <c r="T112">
        <v>3</v>
      </c>
      <c r="V112">
        <v>1</v>
      </c>
      <c r="W112" t="s">
        <v>49</v>
      </c>
      <c r="X112" t="s">
        <v>71</v>
      </c>
      <c r="AA112" t="s">
        <v>63</v>
      </c>
      <c r="AB112">
        <v>1</v>
      </c>
      <c r="AD112">
        <v>1</v>
      </c>
      <c r="AE112" t="s">
        <v>103</v>
      </c>
      <c r="AI112">
        <v>8</v>
      </c>
      <c r="AJ112">
        <v>35</v>
      </c>
    </row>
    <row r="113" spans="1:36" x14ac:dyDescent="0.25">
      <c r="A113" t="s">
        <v>338</v>
      </c>
      <c r="B113">
        <v>118</v>
      </c>
      <c r="C113" t="s">
        <v>56</v>
      </c>
      <c r="D113">
        <v>1</v>
      </c>
      <c r="F113">
        <v>1</v>
      </c>
      <c r="G113" t="s">
        <v>68</v>
      </c>
      <c r="K113" t="s">
        <v>33</v>
      </c>
      <c r="L113">
        <v>2</v>
      </c>
      <c r="N113">
        <v>2</v>
      </c>
      <c r="O113" t="s">
        <v>46</v>
      </c>
      <c r="S113" t="s">
        <v>48</v>
      </c>
      <c r="T113">
        <v>1</v>
      </c>
      <c r="V113">
        <v>1</v>
      </c>
      <c r="W113" t="s">
        <v>49</v>
      </c>
      <c r="X113" t="s">
        <v>50</v>
      </c>
      <c r="AA113" t="s">
        <v>38</v>
      </c>
      <c r="AB113">
        <v>1</v>
      </c>
      <c r="AC113">
        <v>1</v>
      </c>
      <c r="AD113">
        <v>2</v>
      </c>
      <c r="AE113" t="s">
        <v>67</v>
      </c>
      <c r="AI113">
        <v>4</v>
      </c>
      <c r="AJ113">
        <v>40</v>
      </c>
    </row>
    <row r="114" spans="1:36" x14ac:dyDescent="0.25">
      <c r="A114" t="s">
        <v>339</v>
      </c>
      <c r="B114">
        <v>119</v>
      </c>
      <c r="C114" t="s">
        <v>56</v>
      </c>
      <c r="D114">
        <v>1</v>
      </c>
      <c r="F114">
        <v>1</v>
      </c>
      <c r="G114" t="s">
        <v>68</v>
      </c>
      <c r="K114" t="s">
        <v>33</v>
      </c>
      <c r="L114">
        <v>2</v>
      </c>
      <c r="N114">
        <v>3</v>
      </c>
      <c r="O114" t="s">
        <v>46</v>
      </c>
      <c r="S114" t="s">
        <v>43</v>
      </c>
      <c r="T114">
        <v>2</v>
      </c>
      <c r="V114">
        <v>1</v>
      </c>
      <c r="W114" t="s">
        <v>135</v>
      </c>
      <c r="X114" t="s">
        <v>99</v>
      </c>
      <c r="AA114" t="s">
        <v>45</v>
      </c>
      <c r="AB114">
        <v>2</v>
      </c>
      <c r="AD114">
        <v>1</v>
      </c>
      <c r="AE114" t="s">
        <v>47</v>
      </c>
      <c r="AI114">
        <v>6</v>
      </c>
      <c r="AJ114">
        <v>24</v>
      </c>
    </row>
    <row r="115" spans="1:36" x14ac:dyDescent="0.25">
      <c r="A115" t="s">
        <v>340</v>
      </c>
      <c r="B115">
        <v>120</v>
      </c>
      <c r="C115" t="s">
        <v>43</v>
      </c>
      <c r="D115">
        <v>3</v>
      </c>
      <c r="F115">
        <v>3</v>
      </c>
      <c r="G115" t="s">
        <v>135</v>
      </c>
      <c r="H115" t="s">
        <v>136</v>
      </c>
      <c r="I115" t="s">
        <v>137</v>
      </c>
      <c r="J115" t="s">
        <v>101</v>
      </c>
      <c r="K115" t="s">
        <v>63</v>
      </c>
      <c r="L115">
        <v>1</v>
      </c>
      <c r="N115">
        <v>1</v>
      </c>
      <c r="O115" t="s">
        <v>103</v>
      </c>
      <c r="S115" t="s">
        <v>56</v>
      </c>
      <c r="T115">
        <v>2</v>
      </c>
      <c r="V115">
        <v>3</v>
      </c>
      <c r="W115" t="s">
        <v>68</v>
      </c>
      <c r="AA115" t="s">
        <v>33</v>
      </c>
      <c r="AB115">
        <v>2</v>
      </c>
      <c r="AD115">
        <v>3</v>
      </c>
      <c r="AE115" t="s">
        <v>46</v>
      </c>
      <c r="AI115">
        <v>13</v>
      </c>
      <c r="AJ115">
        <v>53</v>
      </c>
    </row>
    <row r="116" spans="1:36" x14ac:dyDescent="0.25">
      <c r="A116" t="s">
        <v>341</v>
      </c>
      <c r="B116">
        <v>121</v>
      </c>
      <c r="C116" t="s">
        <v>43</v>
      </c>
      <c r="D116">
        <v>1</v>
      </c>
      <c r="F116">
        <v>1</v>
      </c>
      <c r="G116" t="s">
        <v>135</v>
      </c>
      <c r="H116" t="s">
        <v>74</v>
      </c>
      <c r="I116" t="s">
        <v>137</v>
      </c>
      <c r="K116" t="s">
        <v>38</v>
      </c>
      <c r="L116">
        <v>1</v>
      </c>
      <c r="M116">
        <v>2</v>
      </c>
      <c r="N116">
        <v>2</v>
      </c>
      <c r="O116" t="s">
        <v>67</v>
      </c>
      <c r="S116" t="s">
        <v>56</v>
      </c>
      <c r="T116">
        <v>1</v>
      </c>
      <c r="V116">
        <v>2</v>
      </c>
      <c r="W116" t="s">
        <v>68</v>
      </c>
      <c r="AA116" t="s">
        <v>33</v>
      </c>
      <c r="AB116">
        <v>1</v>
      </c>
      <c r="AD116">
        <v>1</v>
      </c>
      <c r="AE116" t="s">
        <v>46</v>
      </c>
      <c r="AI116">
        <v>5</v>
      </c>
      <c r="AJ116">
        <v>22</v>
      </c>
    </row>
    <row r="117" spans="1:36" x14ac:dyDescent="0.25">
      <c r="A117" t="s">
        <v>342</v>
      </c>
      <c r="B117">
        <v>122</v>
      </c>
      <c r="C117" t="s">
        <v>56</v>
      </c>
      <c r="D117">
        <v>1</v>
      </c>
      <c r="F117">
        <v>1</v>
      </c>
      <c r="G117" t="s">
        <v>68</v>
      </c>
      <c r="K117" t="s">
        <v>33</v>
      </c>
      <c r="L117">
        <v>1</v>
      </c>
      <c r="N117">
        <v>2</v>
      </c>
      <c r="O117" t="s">
        <v>46</v>
      </c>
      <c r="P117" t="s">
        <v>66</v>
      </c>
      <c r="S117" t="s">
        <v>45</v>
      </c>
      <c r="T117">
        <v>1</v>
      </c>
      <c r="V117">
        <v>1</v>
      </c>
      <c r="W117" t="s">
        <v>47</v>
      </c>
      <c r="AA117" t="s">
        <v>63</v>
      </c>
      <c r="AB117">
        <v>1</v>
      </c>
      <c r="AD117">
        <v>1</v>
      </c>
      <c r="AE117" t="s">
        <v>103</v>
      </c>
      <c r="AI117">
        <v>2</v>
      </c>
      <c r="AJ117">
        <v>22</v>
      </c>
    </row>
    <row r="118" spans="1:36" x14ac:dyDescent="0.25">
      <c r="A118" t="s">
        <v>343</v>
      </c>
      <c r="B118">
        <v>123</v>
      </c>
      <c r="C118" t="s">
        <v>56</v>
      </c>
      <c r="D118">
        <v>1</v>
      </c>
      <c r="F118">
        <v>1</v>
      </c>
      <c r="G118" t="s">
        <v>68</v>
      </c>
      <c r="H118" t="s">
        <v>69</v>
      </c>
      <c r="K118" t="s">
        <v>33</v>
      </c>
      <c r="L118">
        <v>1</v>
      </c>
      <c r="N118">
        <v>3</v>
      </c>
      <c r="O118" t="s">
        <v>46</v>
      </c>
      <c r="S118" t="s">
        <v>45</v>
      </c>
      <c r="T118">
        <v>2</v>
      </c>
      <c r="V118">
        <v>1</v>
      </c>
      <c r="W118" t="s">
        <v>47</v>
      </c>
      <c r="AA118" t="s">
        <v>38</v>
      </c>
      <c r="AB118">
        <v>1</v>
      </c>
      <c r="AC118">
        <v>1</v>
      </c>
      <c r="AD118">
        <v>2</v>
      </c>
      <c r="AE118" t="s">
        <v>152</v>
      </c>
      <c r="AI118">
        <v>5</v>
      </c>
      <c r="AJ118">
        <v>28</v>
      </c>
    </row>
    <row r="119" spans="1:36" x14ac:dyDescent="0.25">
      <c r="A119" t="s">
        <v>344</v>
      </c>
      <c r="B119">
        <v>124</v>
      </c>
      <c r="C119" t="s">
        <v>56</v>
      </c>
      <c r="D119">
        <v>1</v>
      </c>
      <c r="F119">
        <v>1</v>
      </c>
      <c r="G119" t="s">
        <v>68</v>
      </c>
      <c r="K119" t="s">
        <v>33</v>
      </c>
      <c r="L119">
        <v>2</v>
      </c>
      <c r="N119">
        <v>2</v>
      </c>
      <c r="O119" t="s">
        <v>46</v>
      </c>
      <c r="S119" t="s">
        <v>63</v>
      </c>
      <c r="T119">
        <v>1</v>
      </c>
      <c r="V119">
        <v>1</v>
      </c>
      <c r="W119" t="s">
        <v>103</v>
      </c>
      <c r="AA119" t="s">
        <v>38</v>
      </c>
      <c r="AB119">
        <v>1</v>
      </c>
      <c r="AC119">
        <v>1</v>
      </c>
      <c r="AD119">
        <v>2</v>
      </c>
      <c r="AE119" t="s">
        <v>67</v>
      </c>
      <c r="AI119">
        <v>3</v>
      </c>
      <c r="AJ119">
        <v>23</v>
      </c>
    </row>
    <row r="120" spans="1:36" x14ac:dyDescent="0.25">
      <c r="A120" t="s">
        <v>345</v>
      </c>
      <c r="B120">
        <v>125</v>
      </c>
      <c r="C120" t="s">
        <v>48</v>
      </c>
      <c r="D120">
        <v>1</v>
      </c>
      <c r="F120">
        <v>1</v>
      </c>
      <c r="G120" t="s">
        <v>49</v>
      </c>
      <c r="H120" t="s">
        <v>50</v>
      </c>
      <c r="K120" t="s">
        <v>33</v>
      </c>
      <c r="L120">
        <v>1</v>
      </c>
      <c r="N120">
        <v>2</v>
      </c>
      <c r="O120" t="s">
        <v>46</v>
      </c>
      <c r="P120" t="s">
        <v>35</v>
      </c>
      <c r="S120" t="s">
        <v>56</v>
      </c>
      <c r="T120">
        <v>1</v>
      </c>
      <c r="V120">
        <v>1</v>
      </c>
      <c r="W120" t="s">
        <v>68</v>
      </c>
      <c r="AA120" t="s">
        <v>43</v>
      </c>
      <c r="AB120">
        <v>2</v>
      </c>
      <c r="AD120">
        <v>1</v>
      </c>
      <c r="AE120" t="s">
        <v>135</v>
      </c>
      <c r="AF120" t="s">
        <v>136</v>
      </c>
      <c r="AI120">
        <v>5</v>
      </c>
      <c r="AJ120">
        <v>20</v>
      </c>
    </row>
    <row r="121" spans="1:36" x14ac:dyDescent="0.25">
      <c r="A121" t="s">
        <v>346</v>
      </c>
      <c r="B121">
        <v>126</v>
      </c>
      <c r="C121" t="s">
        <v>56</v>
      </c>
      <c r="D121">
        <v>1</v>
      </c>
      <c r="F121">
        <v>1</v>
      </c>
      <c r="G121" t="s">
        <v>57</v>
      </c>
      <c r="K121" t="s">
        <v>43</v>
      </c>
      <c r="L121">
        <v>2</v>
      </c>
      <c r="N121">
        <v>1</v>
      </c>
      <c r="O121" t="s">
        <v>135</v>
      </c>
      <c r="P121" t="s">
        <v>74</v>
      </c>
      <c r="Q121" t="s">
        <v>75</v>
      </c>
      <c r="S121" t="s">
        <v>48</v>
      </c>
      <c r="T121">
        <v>1</v>
      </c>
      <c r="V121">
        <v>1</v>
      </c>
      <c r="W121" t="s">
        <v>49</v>
      </c>
      <c r="X121" t="s">
        <v>71</v>
      </c>
      <c r="AA121" t="s">
        <v>45</v>
      </c>
      <c r="AB121">
        <v>2</v>
      </c>
      <c r="AD121">
        <v>1</v>
      </c>
      <c r="AE121" t="s">
        <v>47</v>
      </c>
      <c r="AI121">
        <v>5</v>
      </c>
      <c r="AJ121">
        <v>20</v>
      </c>
    </row>
    <row r="122" spans="1:36" x14ac:dyDescent="0.25">
      <c r="A122" t="s">
        <v>347</v>
      </c>
      <c r="B122">
        <v>127</v>
      </c>
      <c r="C122" t="s">
        <v>56</v>
      </c>
      <c r="D122">
        <v>1</v>
      </c>
      <c r="F122">
        <v>1</v>
      </c>
      <c r="G122" t="s">
        <v>57</v>
      </c>
      <c r="K122" t="s">
        <v>43</v>
      </c>
      <c r="L122">
        <v>3</v>
      </c>
      <c r="N122">
        <v>1</v>
      </c>
      <c r="O122" t="s">
        <v>135</v>
      </c>
      <c r="P122" t="s">
        <v>74</v>
      </c>
      <c r="S122" t="s">
        <v>48</v>
      </c>
      <c r="T122">
        <v>3</v>
      </c>
      <c r="V122">
        <v>1</v>
      </c>
      <c r="W122" t="s">
        <v>89</v>
      </c>
      <c r="AA122" t="s">
        <v>63</v>
      </c>
      <c r="AB122">
        <v>1</v>
      </c>
      <c r="AD122">
        <v>1</v>
      </c>
      <c r="AE122" t="s">
        <v>103</v>
      </c>
      <c r="AI122">
        <v>5</v>
      </c>
      <c r="AJ122">
        <v>20</v>
      </c>
    </row>
    <row r="123" spans="1:36" x14ac:dyDescent="0.25">
      <c r="A123" t="s">
        <v>348</v>
      </c>
      <c r="B123">
        <v>128</v>
      </c>
      <c r="C123" t="s">
        <v>48</v>
      </c>
      <c r="D123">
        <v>1</v>
      </c>
      <c r="F123">
        <v>1</v>
      </c>
      <c r="G123" t="s">
        <v>89</v>
      </c>
      <c r="K123" t="s">
        <v>38</v>
      </c>
      <c r="L123">
        <v>1</v>
      </c>
      <c r="M123">
        <v>1</v>
      </c>
      <c r="N123">
        <v>2</v>
      </c>
      <c r="O123" t="s">
        <v>152</v>
      </c>
      <c r="S123" t="s">
        <v>56</v>
      </c>
      <c r="T123">
        <v>1</v>
      </c>
      <c r="V123">
        <v>1</v>
      </c>
      <c r="W123" t="s">
        <v>68</v>
      </c>
      <c r="AA123" t="s">
        <v>43</v>
      </c>
      <c r="AB123">
        <v>1</v>
      </c>
      <c r="AD123">
        <v>1</v>
      </c>
      <c r="AE123" t="s">
        <v>73</v>
      </c>
      <c r="AF123" t="s">
        <v>99</v>
      </c>
      <c r="AI123">
        <v>2</v>
      </c>
      <c r="AJ123">
        <v>21</v>
      </c>
    </row>
    <row r="124" spans="1:36" x14ac:dyDescent="0.25">
      <c r="A124" t="s">
        <v>349</v>
      </c>
      <c r="B124">
        <v>129</v>
      </c>
      <c r="C124" t="s">
        <v>33</v>
      </c>
      <c r="D124">
        <v>3</v>
      </c>
      <c r="F124">
        <v>1</v>
      </c>
      <c r="G124" t="s">
        <v>46</v>
      </c>
      <c r="H124" t="s">
        <v>66</v>
      </c>
      <c r="I124" t="s">
        <v>131</v>
      </c>
      <c r="K124" t="s">
        <v>45</v>
      </c>
      <c r="L124">
        <v>2</v>
      </c>
      <c r="N124">
        <v>1</v>
      </c>
      <c r="O124" t="s">
        <v>47</v>
      </c>
      <c r="P124" t="s">
        <v>141</v>
      </c>
      <c r="S124" t="s">
        <v>56</v>
      </c>
      <c r="T124">
        <v>1</v>
      </c>
      <c r="V124">
        <v>1</v>
      </c>
      <c r="W124" t="s">
        <v>68</v>
      </c>
      <c r="X124" t="s">
        <v>69</v>
      </c>
      <c r="AA124" t="s">
        <v>43</v>
      </c>
      <c r="AB124">
        <v>2</v>
      </c>
      <c r="AD124">
        <v>1</v>
      </c>
      <c r="AE124" t="s">
        <v>135</v>
      </c>
      <c r="AF124" t="s">
        <v>136</v>
      </c>
      <c r="AG124" t="s">
        <v>137</v>
      </c>
      <c r="AI124">
        <v>10</v>
      </c>
      <c r="AJ124">
        <v>36</v>
      </c>
    </row>
    <row r="125" spans="1:36" x14ac:dyDescent="0.25">
      <c r="A125" t="s">
        <v>350</v>
      </c>
      <c r="B125">
        <v>130</v>
      </c>
      <c r="C125" t="s">
        <v>56</v>
      </c>
      <c r="D125">
        <v>1</v>
      </c>
      <c r="F125">
        <v>1</v>
      </c>
      <c r="G125" t="s">
        <v>68</v>
      </c>
      <c r="K125" t="s">
        <v>43</v>
      </c>
      <c r="L125">
        <v>2</v>
      </c>
      <c r="N125">
        <v>1</v>
      </c>
      <c r="O125" t="s">
        <v>135</v>
      </c>
      <c r="P125" t="s">
        <v>74</v>
      </c>
      <c r="Q125" t="s">
        <v>100</v>
      </c>
      <c r="R125" t="s">
        <v>101</v>
      </c>
      <c r="S125" t="s">
        <v>33</v>
      </c>
      <c r="T125">
        <v>2</v>
      </c>
      <c r="V125">
        <v>3</v>
      </c>
      <c r="W125" t="s">
        <v>46</v>
      </c>
      <c r="AA125" t="s">
        <v>63</v>
      </c>
      <c r="AB125">
        <v>1</v>
      </c>
      <c r="AD125">
        <v>1</v>
      </c>
      <c r="AE125" t="s">
        <v>145</v>
      </c>
      <c r="AI125">
        <v>7</v>
      </c>
      <c r="AJ125">
        <v>20</v>
      </c>
    </row>
    <row r="126" spans="1:36" x14ac:dyDescent="0.25">
      <c r="A126" t="s">
        <v>351</v>
      </c>
      <c r="B126">
        <v>131</v>
      </c>
      <c r="C126" t="s">
        <v>33</v>
      </c>
      <c r="D126">
        <v>1</v>
      </c>
      <c r="F126">
        <v>2</v>
      </c>
      <c r="G126" t="s">
        <v>46</v>
      </c>
      <c r="H126" t="s">
        <v>130</v>
      </c>
      <c r="K126" t="s">
        <v>38</v>
      </c>
      <c r="L126">
        <v>1</v>
      </c>
      <c r="M126">
        <v>1</v>
      </c>
      <c r="N126">
        <v>2</v>
      </c>
      <c r="O126" t="s">
        <v>67</v>
      </c>
      <c r="P126" t="s">
        <v>70</v>
      </c>
      <c r="S126" t="s">
        <v>56</v>
      </c>
      <c r="T126">
        <v>1</v>
      </c>
      <c r="V126">
        <v>1</v>
      </c>
      <c r="W126" t="s">
        <v>68</v>
      </c>
      <c r="AA126" t="s">
        <v>43</v>
      </c>
      <c r="AB126">
        <v>2</v>
      </c>
      <c r="AD126">
        <v>3</v>
      </c>
      <c r="AE126" t="s">
        <v>135</v>
      </c>
      <c r="AF126" t="s">
        <v>136</v>
      </c>
      <c r="AI126">
        <v>8</v>
      </c>
      <c r="AJ126">
        <v>24</v>
      </c>
    </row>
    <row r="127" spans="1:36" x14ac:dyDescent="0.25">
      <c r="A127" t="s">
        <v>352</v>
      </c>
      <c r="B127">
        <v>132</v>
      </c>
      <c r="C127" t="s">
        <v>45</v>
      </c>
      <c r="D127">
        <v>3</v>
      </c>
      <c r="F127">
        <v>1</v>
      </c>
      <c r="G127" t="s">
        <v>47</v>
      </c>
      <c r="K127" t="s">
        <v>63</v>
      </c>
      <c r="L127">
        <v>1</v>
      </c>
      <c r="N127">
        <v>1</v>
      </c>
      <c r="O127" t="s">
        <v>103</v>
      </c>
      <c r="P127" t="s">
        <v>95</v>
      </c>
      <c r="S127" t="s">
        <v>56</v>
      </c>
      <c r="T127">
        <v>1</v>
      </c>
      <c r="V127">
        <v>1</v>
      </c>
      <c r="W127" t="s">
        <v>57</v>
      </c>
      <c r="AA127" t="s">
        <v>43</v>
      </c>
      <c r="AB127">
        <v>2</v>
      </c>
      <c r="AD127">
        <v>1</v>
      </c>
      <c r="AE127" t="s">
        <v>135</v>
      </c>
      <c r="AF127" t="s">
        <v>136</v>
      </c>
      <c r="AI127">
        <v>5</v>
      </c>
      <c r="AJ127">
        <v>24</v>
      </c>
    </row>
    <row r="128" spans="1:36" x14ac:dyDescent="0.25">
      <c r="A128" t="s">
        <v>353</v>
      </c>
      <c r="B128">
        <v>133</v>
      </c>
      <c r="C128" t="s">
        <v>45</v>
      </c>
      <c r="D128">
        <v>3</v>
      </c>
      <c r="F128">
        <v>1</v>
      </c>
      <c r="G128" t="s">
        <v>47</v>
      </c>
      <c r="K128" t="s">
        <v>38</v>
      </c>
      <c r="L128">
        <v>1</v>
      </c>
      <c r="M128">
        <v>1</v>
      </c>
      <c r="N128">
        <v>1</v>
      </c>
      <c r="O128" t="s">
        <v>67</v>
      </c>
      <c r="S128" t="s">
        <v>56</v>
      </c>
      <c r="T128">
        <v>1</v>
      </c>
      <c r="V128">
        <v>2</v>
      </c>
      <c r="W128" t="s">
        <v>68</v>
      </c>
      <c r="AA128" t="s">
        <v>43</v>
      </c>
      <c r="AB128">
        <v>1</v>
      </c>
      <c r="AD128">
        <v>1</v>
      </c>
      <c r="AE128" t="s">
        <v>135</v>
      </c>
      <c r="AF128" t="s">
        <v>99</v>
      </c>
      <c r="AI128">
        <v>4</v>
      </c>
      <c r="AJ128">
        <v>22</v>
      </c>
    </row>
    <row r="129" spans="1:36" x14ac:dyDescent="0.25">
      <c r="A129" t="s">
        <v>354</v>
      </c>
      <c r="B129">
        <v>134</v>
      </c>
      <c r="C129" t="s">
        <v>56</v>
      </c>
      <c r="D129">
        <v>2</v>
      </c>
      <c r="F129">
        <v>1</v>
      </c>
      <c r="G129" t="s">
        <v>57</v>
      </c>
      <c r="H129" t="s">
        <v>122</v>
      </c>
      <c r="K129" t="s">
        <v>43</v>
      </c>
      <c r="L129">
        <v>1</v>
      </c>
      <c r="N129">
        <v>1</v>
      </c>
      <c r="O129" t="s">
        <v>135</v>
      </c>
      <c r="S129" t="s">
        <v>63</v>
      </c>
      <c r="T129">
        <v>1</v>
      </c>
      <c r="V129">
        <v>1</v>
      </c>
      <c r="W129" t="s">
        <v>103</v>
      </c>
      <c r="X129" t="s">
        <v>91</v>
      </c>
      <c r="AA129" t="s">
        <v>38</v>
      </c>
      <c r="AB129">
        <v>1</v>
      </c>
      <c r="AC129">
        <v>1</v>
      </c>
      <c r="AD129">
        <v>1</v>
      </c>
      <c r="AE129" t="s">
        <v>67</v>
      </c>
      <c r="AF129" t="s">
        <v>70</v>
      </c>
      <c r="AG129" t="s">
        <v>154</v>
      </c>
      <c r="AI129">
        <v>5</v>
      </c>
      <c r="AJ129">
        <v>32</v>
      </c>
    </row>
    <row r="130" spans="1:36" x14ac:dyDescent="0.25">
      <c r="A130" t="s">
        <v>355</v>
      </c>
      <c r="B130">
        <v>135</v>
      </c>
      <c r="C130" t="s">
        <v>48</v>
      </c>
      <c r="D130">
        <v>1</v>
      </c>
      <c r="F130">
        <v>1</v>
      </c>
      <c r="G130" t="s">
        <v>49</v>
      </c>
      <c r="H130" t="s">
        <v>50</v>
      </c>
      <c r="I130" t="s">
        <v>51</v>
      </c>
      <c r="K130" t="s">
        <v>33</v>
      </c>
      <c r="L130">
        <v>1</v>
      </c>
      <c r="N130">
        <v>2</v>
      </c>
      <c r="O130" t="s">
        <v>46</v>
      </c>
      <c r="S130" t="s">
        <v>56</v>
      </c>
      <c r="T130">
        <v>2</v>
      </c>
      <c r="V130">
        <v>1</v>
      </c>
      <c r="W130" t="s">
        <v>57</v>
      </c>
      <c r="AA130" t="s">
        <v>45</v>
      </c>
      <c r="AB130">
        <v>3</v>
      </c>
      <c r="AD130">
        <v>1</v>
      </c>
      <c r="AE130" t="s">
        <v>47</v>
      </c>
      <c r="AI130">
        <v>6</v>
      </c>
      <c r="AJ130">
        <v>25</v>
      </c>
    </row>
    <row r="131" spans="1:36" x14ac:dyDescent="0.25">
      <c r="A131" t="s">
        <v>356</v>
      </c>
      <c r="B131">
        <v>136</v>
      </c>
      <c r="C131" t="s">
        <v>56</v>
      </c>
      <c r="D131">
        <v>1</v>
      </c>
      <c r="F131">
        <v>2</v>
      </c>
      <c r="G131" t="s">
        <v>68</v>
      </c>
      <c r="K131" t="s">
        <v>45</v>
      </c>
      <c r="L131">
        <v>3</v>
      </c>
      <c r="N131">
        <v>3</v>
      </c>
      <c r="O131" t="s">
        <v>47</v>
      </c>
      <c r="P131" t="s">
        <v>76</v>
      </c>
      <c r="S131" t="s">
        <v>48</v>
      </c>
      <c r="T131">
        <v>1</v>
      </c>
      <c r="V131">
        <v>1</v>
      </c>
      <c r="W131" t="s">
        <v>49</v>
      </c>
      <c r="AA131" t="s">
        <v>43</v>
      </c>
      <c r="AB131">
        <v>1</v>
      </c>
      <c r="AD131">
        <v>3</v>
      </c>
      <c r="AE131" t="s">
        <v>135</v>
      </c>
      <c r="AF131" t="s">
        <v>74</v>
      </c>
      <c r="AI131">
        <v>9</v>
      </c>
      <c r="AJ131">
        <v>39</v>
      </c>
    </row>
    <row r="132" spans="1:36" x14ac:dyDescent="0.25">
      <c r="A132" t="s">
        <v>357</v>
      </c>
      <c r="B132">
        <v>137</v>
      </c>
      <c r="C132" t="s">
        <v>48</v>
      </c>
      <c r="D132">
        <v>1</v>
      </c>
      <c r="F132">
        <v>1</v>
      </c>
      <c r="G132" t="s">
        <v>89</v>
      </c>
      <c r="H132" t="s">
        <v>84</v>
      </c>
      <c r="K132" t="s">
        <v>63</v>
      </c>
      <c r="L132">
        <v>1</v>
      </c>
      <c r="N132">
        <v>1</v>
      </c>
      <c r="O132" t="s">
        <v>103</v>
      </c>
      <c r="P132" t="s">
        <v>146</v>
      </c>
      <c r="S132" t="s">
        <v>56</v>
      </c>
      <c r="T132">
        <v>1</v>
      </c>
      <c r="V132">
        <v>1</v>
      </c>
      <c r="W132" t="s">
        <v>57</v>
      </c>
      <c r="X132" t="s">
        <v>122</v>
      </c>
      <c r="Y132" t="s">
        <v>85</v>
      </c>
      <c r="AA132" t="s">
        <v>45</v>
      </c>
      <c r="AB132">
        <v>1</v>
      </c>
      <c r="AD132">
        <v>1</v>
      </c>
      <c r="AE132" t="s">
        <v>47</v>
      </c>
      <c r="AF132" t="s">
        <v>92</v>
      </c>
      <c r="AI132">
        <v>5</v>
      </c>
      <c r="AJ132">
        <v>29</v>
      </c>
    </row>
    <row r="133" spans="1:36" x14ac:dyDescent="0.25">
      <c r="A133" t="s">
        <v>358</v>
      </c>
      <c r="B133">
        <v>138</v>
      </c>
      <c r="C133" t="s">
        <v>48</v>
      </c>
      <c r="D133">
        <v>1</v>
      </c>
      <c r="F133">
        <v>1</v>
      </c>
      <c r="G133" t="s">
        <v>49</v>
      </c>
      <c r="K133" t="s">
        <v>38</v>
      </c>
      <c r="L133">
        <v>1</v>
      </c>
      <c r="M133">
        <v>1</v>
      </c>
      <c r="N133">
        <v>2</v>
      </c>
      <c r="O133" t="s">
        <v>67</v>
      </c>
      <c r="S133" t="s">
        <v>56</v>
      </c>
      <c r="T133">
        <v>1</v>
      </c>
      <c r="V133">
        <v>1</v>
      </c>
      <c r="W133" t="s">
        <v>57</v>
      </c>
      <c r="X133" t="s">
        <v>122</v>
      </c>
      <c r="AA133" t="s">
        <v>45</v>
      </c>
      <c r="AB133">
        <v>2</v>
      </c>
      <c r="AD133">
        <v>1</v>
      </c>
      <c r="AE133" t="s">
        <v>47</v>
      </c>
      <c r="AI133">
        <v>3</v>
      </c>
      <c r="AJ133">
        <v>21</v>
      </c>
    </row>
    <row r="134" spans="1:36" x14ac:dyDescent="0.25">
      <c r="A134" t="s">
        <v>359</v>
      </c>
      <c r="B134">
        <v>139</v>
      </c>
      <c r="C134" t="s">
        <v>56</v>
      </c>
      <c r="D134">
        <v>1</v>
      </c>
      <c r="F134">
        <v>1</v>
      </c>
      <c r="G134" t="s">
        <v>68</v>
      </c>
      <c r="K134" t="s">
        <v>45</v>
      </c>
      <c r="L134">
        <v>2</v>
      </c>
      <c r="N134">
        <v>1</v>
      </c>
      <c r="O134" t="s">
        <v>140</v>
      </c>
      <c r="S134" t="s">
        <v>33</v>
      </c>
      <c r="T134">
        <v>1</v>
      </c>
      <c r="V134">
        <v>2</v>
      </c>
      <c r="W134" t="s">
        <v>46</v>
      </c>
      <c r="AA134" t="s">
        <v>43</v>
      </c>
      <c r="AB134">
        <v>1</v>
      </c>
      <c r="AD134">
        <v>1</v>
      </c>
      <c r="AE134" t="s">
        <v>135</v>
      </c>
      <c r="AF134" t="s">
        <v>136</v>
      </c>
      <c r="AI134">
        <v>3</v>
      </c>
      <c r="AJ134">
        <v>19</v>
      </c>
    </row>
    <row r="135" spans="1:36" x14ac:dyDescent="0.25">
      <c r="A135" t="s">
        <v>360</v>
      </c>
      <c r="B135">
        <v>140</v>
      </c>
      <c r="C135" t="s">
        <v>56</v>
      </c>
      <c r="D135">
        <v>1</v>
      </c>
      <c r="F135">
        <v>2</v>
      </c>
      <c r="G135" t="s">
        <v>57</v>
      </c>
      <c r="K135" t="s">
        <v>45</v>
      </c>
      <c r="L135">
        <v>3</v>
      </c>
      <c r="N135">
        <v>1</v>
      </c>
      <c r="O135" t="s">
        <v>47</v>
      </c>
      <c r="S135" t="s">
        <v>33</v>
      </c>
      <c r="T135">
        <v>1</v>
      </c>
      <c r="V135">
        <v>2</v>
      </c>
      <c r="W135" t="s">
        <v>46</v>
      </c>
      <c r="AA135" t="s">
        <v>63</v>
      </c>
      <c r="AB135">
        <v>1</v>
      </c>
      <c r="AD135">
        <v>1</v>
      </c>
      <c r="AE135" t="s">
        <v>103</v>
      </c>
      <c r="AI135">
        <v>4</v>
      </c>
      <c r="AJ135">
        <v>24</v>
      </c>
    </row>
    <row r="136" spans="1:36" x14ac:dyDescent="0.25">
      <c r="A136" t="s">
        <v>361</v>
      </c>
      <c r="B136">
        <v>141</v>
      </c>
      <c r="C136" t="s">
        <v>56</v>
      </c>
      <c r="D136">
        <v>1</v>
      </c>
      <c r="F136">
        <v>1</v>
      </c>
      <c r="G136" t="s">
        <v>68</v>
      </c>
      <c r="K136" t="s">
        <v>45</v>
      </c>
      <c r="L136">
        <v>3</v>
      </c>
      <c r="N136">
        <v>1</v>
      </c>
      <c r="O136" t="s">
        <v>86</v>
      </c>
      <c r="S136" t="s">
        <v>33</v>
      </c>
      <c r="T136">
        <v>1</v>
      </c>
      <c r="V136">
        <v>1</v>
      </c>
      <c r="W136" t="s">
        <v>46</v>
      </c>
      <c r="AA136" t="s">
        <v>38</v>
      </c>
      <c r="AB136">
        <v>1</v>
      </c>
      <c r="AC136">
        <v>1</v>
      </c>
      <c r="AD136">
        <v>2</v>
      </c>
      <c r="AE136" t="s">
        <v>67</v>
      </c>
      <c r="AI136">
        <v>3</v>
      </c>
      <c r="AJ136">
        <v>27</v>
      </c>
    </row>
    <row r="137" spans="1:36" x14ac:dyDescent="0.25">
      <c r="A137" t="s">
        <v>362</v>
      </c>
      <c r="B137">
        <v>142</v>
      </c>
      <c r="C137" t="s">
        <v>43</v>
      </c>
      <c r="D137">
        <v>1</v>
      </c>
      <c r="F137">
        <v>1</v>
      </c>
      <c r="G137" t="s">
        <v>135</v>
      </c>
      <c r="K137" t="s">
        <v>63</v>
      </c>
      <c r="L137">
        <v>2</v>
      </c>
      <c r="N137">
        <v>2</v>
      </c>
      <c r="O137" t="s">
        <v>103</v>
      </c>
      <c r="P137" t="s">
        <v>95</v>
      </c>
      <c r="Q137" t="s">
        <v>147</v>
      </c>
      <c r="S137" t="s">
        <v>56</v>
      </c>
      <c r="T137">
        <v>1</v>
      </c>
      <c r="V137">
        <v>1</v>
      </c>
      <c r="W137" t="s">
        <v>68</v>
      </c>
      <c r="AA137" t="s">
        <v>45</v>
      </c>
      <c r="AB137">
        <v>3</v>
      </c>
      <c r="AD137">
        <v>3</v>
      </c>
      <c r="AE137" t="s">
        <v>86</v>
      </c>
      <c r="AI137">
        <v>8</v>
      </c>
      <c r="AJ137">
        <v>34</v>
      </c>
    </row>
    <row r="138" spans="1:36" x14ac:dyDescent="0.25">
      <c r="A138" t="s">
        <v>363</v>
      </c>
      <c r="B138">
        <v>143</v>
      </c>
      <c r="C138" t="s">
        <v>43</v>
      </c>
      <c r="D138">
        <v>1</v>
      </c>
      <c r="F138">
        <v>1</v>
      </c>
      <c r="G138" t="s">
        <v>135</v>
      </c>
      <c r="K138" t="s">
        <v>38</v>
      </c>
      <c r="L138">
        <v>2</v>
      </c>
      <c r="M138">
        <v>1</v>
      </c>
      <c r="N138">
        <v>2</v>
      </c>
      <c r="O138" t="s">
        <v>67</v>
      </c>
      <c r="S138" t="s">
        <v>56</v>
      </c>
      <c r="T138">
        <v>2</v>
      </c>
      <c r="V138">
        <v>1</v>
      </c>
      <c r="W138" t="s">
        <v>68</v>
      </c>
      <c r="X138" t="s">
        <v>122</v>
      </c>
      <c r="AA138" t="s">
        <v>45</v>
      </c>
      <c r="AB138">
        <v>2</v>
      </c>
      <c r="AD138">
        <v>1</v>
      </c>
      <c r="AE138" t="s">
        <v>86</v>
      </c>
      <c r="AI138">
        <v>5</v>
      </c>
      <c r="AJ138">
        <v>26</v>
      </c>
    </row>
    <row r="139" spans="1:36" x14ac:dyDescent="0.25">
      <c r="A139" t="s">
        <v>364</v>
      </c>
      <c r="B139">
        <v>144</v>
      </c>
      <c r="C139" t="s">
        <v>56</v>
      </c>
      <c r="D139">
        <v>3</v>
      </c>
      <c r="F139">
        <v>1</v>
      </c>
      <c r="G139" t="s">
        <v>57</v>
      </c>
      <c r="H139" t="s">
        <v>122</v>
      </c>
      <c r="I139" t="s">
        <v>85</v>
      </c>
      <c r="K139" t="s">
        <v>45</v>
      </c>
      <c r="L139">
        <v>2</v>
      </c>
      <c r="N139">
        <v>1</v>
      </c>
      <c r="O139" t="s">
        <v>47</v>
      </c>
      <c r="S139" t="s">
        <v>63</v>
      </c>
      <c r="T139">
        <v>2</v>
      </c>
      <c r="V139">
        <v>1</v>
      </c>
      <c r="W139" t="s">
        <v>103</v>
      </c>
      <c r="X139" t="s">
        <v>146</v>
      </c>
      <c r="AA139" t="s">
        <v>38</v>
      </c>
      <c r="AB139">
        <v>2</v>
      </c>
      <c r="AC139">
        <v>1</v>
      </c>
      <c r="AD139">
        <v>2</v>
      </c>
      <c r="AE139" t="s">
        <v>67</v>
      </c>
      <c r="AI139">
        <v>9</v>
      </c>
      <c r="AJ139">
        <v>24</v>
      </c>
    </row>
    <row r="140" spans="1:36" x14ac:dyDescent="0.25">
      <c r="A140" t="s">
        <v>365</v>
      </c>
      <c r="B140">
        <v>145</v>
      </c>
      <c r="C140" t="s">
        <v>48</v>
      </c>
      <c r="D140">
        <v>1</v>
      </c>
      <c r="F140">
        <v>1</v>
      </c>
      <c r="G140" t="s">
        <v>49</v>
      </c>
      <c r="H140" t="s">
        <v>71</v>
      </c>
      <c r="I140" t="s">
        <v>127</v>
      </c>
      <c r="J140" t="s">
        <v>52</v>
      </c>
      <c r="K140" t="s">
        <v>33</v>
      </c>
      <c r="L140">
        <v>2</v>
      </c>
      <c r="N140">
        <v>1</v>
      </c>
      <c r="O140" t="s">
        <v>46</v>
      </c>
      <c r="S140" t="s">
        <v>56</v>
      </c>
      <c r="T140">
        <v>1</v>
      </c>
      <c r="V140">
        <v>1</v>
      </c>
      <c r="W140" t="s">
        <v>68</v>
      </c>
      <c r="AA140" t="s">
        <v>63</v>
      </c>
      <c r="AB140">
        <v>1</v>
      </c>
      <c r="AD140">
        <v>1</v>
      </c>
      <c r="AE140" t="s">
        <v>103</v>
      </c>
      <c r="AF140" t="s">
        <v>91</v>
      </c>
      <c r="AI140">
        <v>5</v>
      </c>
      <c r="AJ140">
        <v>31</v>
      </c>
    </row>
    <row r="141" spans="1:36" x14ac:dyDescent="0.25">
      <c r="A141" t="s">
        <v>366</v>
      </c>
      <c r="B141">
        <v>146</v>
      </c>
      <c r="C141" t="s">
        <v>48</v>
      </c>
      <c r="D141">
        <v>2</v>
      </c>
      <c r="F141">
        <v>1</v>
      </c>
      <c r="G141" t="s">
        <v>49</v>
      </c>
      <c r="K141" t="s">
        <v>43</v>
      </c>
      <c r="L141">
        <v>1</v>
      </c>
      <c r="N141">
        <v>1</v>
      </c>
      <c r="O141" t="s">
        <v>135</v>
      </c>
      <c r="P141" t="s">
        <v>74</v>
      </c>
      <c r="Q141" t="s">
        <v>137</v>
      </c>
      <c r="S141" t="s">
        <v>56</v>
      </c>
      <c r="T141">
        <v>1</v>
      </c>
      <c r="V141">
        <v>1</v>
      </c>
      <c r="W141" t="s">
        <v>57</v>
      </c>
      <c r="X141" t="s">
        <v>122</v>
      </c>
      <c r="AA141" t="s">
        <v>63</v>
      </c>
      <c r="AB141">
        <v>1</v>
      </c>
      <c r="AD141">
        <v>1</v>
      </c>
      <c r="AE141" t="s">
        <v>72</v>
      </c>
      <c r="AF141" t="s">
        <v>91</v>
      </c>
      <c r="AI141">
        <v>5</v>
      </c>
      <c r="AJ141">
        <v>24</v>
      </c>
    </row>
    <row r="142" spans="1:36" x14ac:dyDescent="0.25">
      <c r="A142" t="s">
        <v>367</v>
      </c>
      <c r="B142">
        <v>147</v>
      </c>
      <c r="C142" t="s">
        <v>56</v>
      </c>
      <c r="D142">
        <v>2</v>
      </c>
      <c r="F142">
        <v>1</v>
      </c>
      <c r="G142" t="s">
        <v>57</v>
      </c>
      <c r="H142" t="s">
        <v>122</v>
      </c>
      <c r="K142" t="s">
        <v>63</v>
      </c>
      <c r="L142">
        <v>1</v>
      </c>
      <c r="N142">
        <v>1</v>
      </c>
      <c r="O142" t="s">
        <v>72</v>
      </c>
      <c r="S142" t="s">
        <v>48</v>
      </c>
      <c r="T142">
        <v>2</v>
      </c>
      <c r="V142">
        <v>1</v>
      </c>
      <c r="W142" t="s">
        <v>49</v>
      </c>
      <c r="AA142" t="s">
        <v>45</v>
      </c>
      <c r="AB142">
        <v>2</v>
      </c>
      <c r="AD142">
        <v>1</v>
      </c>
      <c r="AE142" t="s">
        <v>47</v>
      </c>
      <c r="AI142">
        <v>4</v>
      </c>
      <c r="AJ142">
        <v>20</v>
      </c>
    </row>
    <row r="143" spans="1:36" x14ac:dyDescent="0.25">
      <c r="A143" t="s">
        <v>368</v>
      </c>
      <c r="B143">
        <v>148</v>
      </c>
      <c r="C143" t="s">
        <v>48</v>
      </c>
      <c r="D143">
        <v>2</v>
      </c>
      <c r="F143">
        <v>1</v>
      </c>
      <c r="G143" t="s">
        <v>49</v>
      </c>
      <c r="K143" t="s">
        <v>38</v>
      </c>
      <c r="L143">
        <v>1</v>
      </c>
      <c r="M143">
        <v>1</v>
      </c>
      <c r="N143">
        <v>3</v>
      </c>
      <c r="O143" t="s">
        <v>152</v>
      </c>
      <c r="S143" t="s">
        <v>56</v>
      </c>
      <c r="T143">
        <v>1</v>
      </c>
      <c r="V143">
        <v>1</v>
      </c>
      <c r="W143" t="s">
        <v>57</v>
      </c>
      <c r="X143" t="s">
        <v>122</v>
      </c>
      <c r="AA143" t="s">
        <v>63</v>
      </c>
      <c r="AB143">
        <v>1</v>
      </c>
      <c r="AD143">
        <v>1</v>
      </c>
      <c r="AE143" t="s">
        <v>103</v>
      </c>
      <c r="AI143">
        <v>4</v>
      </c>
      <c r="AJ143">
        <v>28</v>
      </c>
    </row>
    <row r="144" spans="1:36" x14ac:dyDescent="0.25">
      <c r="A144" t="s">
        <v>369</v>
      </c>
      <c r="B144">
        <v>149</v>
      </c>
      <c r="C144" t="s">
        <v>33</v>
      </c>
      <c r="D144">
        <v>3</v>
      </c>
      <c r="F144">
        <v>1</v>
      </c>
      <c r="G144" t="s">
        <v>46</v>
      </c>
      <c r="H144" t="s">
        <v>35</v>
      </c>
      <c r="I144" t="s">
        <v>36</v>
      </c>
      <c r="K144" t="s">
        <v>43</v>
      </c>
      <c r="L144">
        <v>2</v>
      </c>
      <c r="N144">
        <v>1</v>
      </c>
      <c r="O144" t="s">
        <v>135</v>
      </c>
      <c r="P144" t="s">
        <v>99</v>
      </c>
      <c r="Q144" t="s">
        <v>137</v>
      </c>
      <c r="S144" t="s">
        <v>56</v>
      </c>
      <c r="T144">
        <v>2</v>
      </c>
      <c r="V144">
        <v>1</v>
      </c>
      <c r="W144" t="s">
        <v>68</v>
      </c>
      <c r="AA144" t="s">
        <v>63</v>
      </c>
      <c r="AB144">
        <v>2</v>
      </c>
      <c r="AD144">
        <v>1</v>
      </c>
      <c r="AE144" t="s">
        <v>72</v>
      </c>
      <c r="AF144" t="s">
        <v>91</v>
      </c>
      <c r="AG144" t="s">
        <v>147</v>
      </c>
      <c r="AH144" t="s">
        <v>150</v>
      </c>
      <c r="AI144">
        <v>12</v>
      </c>
      <c r="AJ144">
        <v>45</v>
      </c>
    </row>
    <row r="145" spans="1:36" x14ac:dyDescent="0.25">
      <c r="A145" t="s">
        <v>370</v>
      </c>
      <c r="B145">
        <v>150</v>
      </c>
      <c r="C145" t="s">
        <v>33</v>
      </c>
      <c r="D145">
        <v>2</v>
      </c>
      <c r="F145">
        <v>2</v>
      </c>
      <c r="G145" t="s">
        <v>46</v>
      </c>
      <c r="K145" t="s">
        <v>45</v>
      </c>
      <c r="L145">
        <v>2</v>
      </c>
      <c r="N145">
        <v>1</v>
      </c>
      <c r="O145" t="s">
        <v>47</v>
      </c>
      <c r="S145" t="s">
        <v>56</v>
      </c>
      <c r="T145">
        <v>2</v>
      </c>
      <c r="V145">
        <v>1</v>
      </c>
      <c r="W145" t="s">
        <v>68</v>
      </c>
      <c r="AA145" t="s">
        <v>63</v>
      </c>
      <c r="AB145">
        <v>1</v>
      </c>
      <c r="AD145">
        <v>1</v>
      </c>
      <c r="AE145" t="s">
        <v>72</v>
      </c>
      <c r="AF145" t="s">
        <v>91</v>
      </c>
      <c r="AI145">
        <v>5</v>
      </c>
      <c r="AJ145">
        <v>30</v>
      </c>
    </row>
    <row r="146" spans="1:36" x14ac:dyDescent="0.25">
      <c r="A146" t="s">
        <v>371</v>
      </c>
      <c r="B146">
        <v>151</v>
      </c>
      <c r="C146" t="s">
        <v>33</v>
      </c>
      <c r="D146">
        <v>1</v>
      </c>
      <c r="F146">
        <v>1</v>
      </c>
      <c r="G146" t="s">
        <v>46</v>
      </c>
      <c r="K146" t="s">
        <v>38</v>
      </c>
      <c r="L146">
        <v>3</v>
      </c>
      <c r="M146">
        <v>3</v>
      </c>
      <c r="N146">
        <v>3</v>
      </c>
      <c r="O146" t="s">
        <v>152</v>
      </c>
      <c r="P146" t="s">
        <v>96</v>
      </c>
      <c r="S146" t="s">
        <v>56</v>
      </c>
      <c r="T146">
        <v>2</v>
      </c>
      <c r="V146">
        <v>3</v>
      </c>
      <c r="W146" t="s">
        <v>68</v>
      </c>
      <c r="X146" t="s">
        <v>69</v>
      </c>
      <c r="Y146" t="s">
        <v>85</v>
      </c>
      <c r="AA146" t="s">
        <v>63</v>
      </c>
      <c r="AB146">
        <v>1</v>
      </c>
      <c r="AD146">
        <v>1</v>
      </c>
      <c r="AE146" t="s">
        <v>72</v>
      </c>
      <c r="AI146">
        <v>12</v>
      </c>
      <c r="AJ146">
        <v>38</v>
      </c>
    </row>
    <row r="147" spans="1:36" x14ac:dyDescent="0.25">
      <c r="A147" t="s">
        <v>372</v>
      </c>
      <c r="B147">
        <v>152</v>
      </c>
      <c r="C147" t="s">
        <v>43</v>
      </c>
      <c r="D147">
        <v>2</v>
      </c>
      <c r="F147">
        <v>1</v>
      </c>
      <c r="G147" t="s">
        <v>135</v>
      </c>
      <c r="H147" t="s">
        <v>74</v>
      </c>
      <c r="K147" t="s">
        <v>45</v>
      </c>
      <c r="L147">
        <v>3</v>
      </c>
      <c r="N147">
        <v>1</v>
      </c>
      <c r="O147" t="s">
        <v>47</v>
      </c>
      <c r="S147" t="s">
        <v>56</v>
      </c>
      <c r="T147">
        <v>1</v>
      </c>
      <c r="V147">
        <v>1</v>
      </c>
      <c r="W147" t="s">
        <v>68</v>
      </c>
      <c r="X147" t="s">
        <v>69</v>
      </c>
      <c r="AA147" t="s">
        <v>63</v>
      </c>
      <c r="AB147">
        <v>1</v>
      </c>
      <c r="AD147">
        <v>1</v>
      </c>
      <c r="AE147" t="s">
        <v>72</v>
      </c>
      <c r="AF147" t="s">
        <v>91</v>
      </c>
      <c r="AI147">
        <v>6</v>
      </c>
      <c r="AJ147">
        <v>41</v>
      </c>
    </row>
    <row r="148" spans="1:36" x14ac:dyDescent="0.25">
      <c r="A148" t="s">
        <v>373</v>
      </c>
      <c r="B148">
        <v>153</v>
      </c>
      <c r="C148" t="s">
        <v>43</v>
      </c>
      <c r="D148">
        <v>2</v>
      </c>
      <c r="F148">
        <v>1</v>
      </c>
      <c r="G148" t="s">
        <v>135</v>
      </c>
      <c r="H148" t="s">
        <v>74</v>
      </c>
      <c r="I148" t="s">
        <v>75</v>
      </c>
      <c r="J148" t="s">
        <v>138</v>
      </c>
      <c r="K148" t="s">
        <v>38</v>
      </c>
      <c r="L148">
        <v>1</v>
      </c>
      <c r="M148">
        <v>1</v>
      </c>
      <c r="N148">
        <v>1</v>
      </c>
      <c r="O148" t="s">
        <v>152</v>
      </c>
      <c r="P148" t="s">
        <v>70</v>
      </c>
      <c r="Q148" t="s">
        <v>41</v>
      </c>
      <c r="S148" t="s">
        <v>56</v>
      </c>
      <c r="T148">
        <v>2</v>
      </c>
      <c r="V148">
        <v>1</v>
      </c>
      <c r="W148" t="s">
        <v>68</v>
      </c>
      <c r="AA148" t="s">
        <v>63</v>
      </c>
      <c r="AB148">
        <v>1</v>
      </c>
      <c r="AD148">
        <v>1</v>
      </c>
      <c r="AE148" t="s">
        <v>72</v>
      </c>
      <c r="AF148" t="s">
        <v>91</v>
      </c>
      <c r="AI148">
        <v>8</v>
      </c>
      <c r="AJ148">
        <v>30</v>
      </c>
    </row>
    <row r="149" spans="1:36" x14ac:dyDescent="0.25">
      <c r="A149" t="s">
        <v>374</v>
      </c>
      <c r="B149">
        <v>154</v>
      </c>
      <c r="C149" t="s">
        <v>45</v>
      </c>
      <c r="D149">
        <v>3</v>
      </c>
      <c r="F149">
        <v>2</v>
      </c>
      <c r="G149" t="s">
        <v>47</v>
      </c>
      <c r="K149" t="s">
        <v>38</v>
      </c>
      <c r="L149">
        <v>2</v>
      </c>
      <c r="M149">
        <v>1</v>
      </c>
      <c r="N149">
        <v>2</v>
      </c>
      <c r="O149" t="s">
        <v>152</v>
      </c>
      <c r="S149" t="s">
        <v>56</v>
      </c>
      <c r="T149">
        <v>2</v>
      </c>
      <c r="V149">
        <v>2</v>
      </c>
      <c r="W149" t="s">
        <v>68</v>
      </c>
      <c r="AA149" t="s">
        <v>63</v>
      </c>
      <c r="AB149">
        <v>2</v>
      </c>
      <c r="AD149">
        <v>1</v>
      </c>
      <c r="AE149" t="s">
        <v>72</v>
      </c>
      <c r="AF149" t="s">
        <v>95</v>
      </c>
      <c r="AI149">
        <v>9</v>
      </c>
      <c r="AJ149">
        <v>60</v>
      </c>
    </row>
    <row r="150" spans="1:36" x14ac:dyDescent="0.25">
      <c r="A150" t="s">
        <v>375</v>
      </c>
      <c r="B150">
        <v>155</v>
      </c>
      <c r="C150" t="s">
        <v>48</v>
      </c>
      <c r="D150">
        <v>1</v>
      </c>
      <c r="F150">
        <v>1</v>
      </c>
      <c r="G150" t="s">
        <v>49</v>
      </c>
      <c r="K150" t="s">
        <v>33</v>
      </c>
      <c r="L150">
        <v>2</v>
      </c>
      <c r="N150">
        <v>1</v>
      </c>
      <c r="O150" t="s">
        <v>46</v>
      </c>
      <c r="S150" t="s">
        <v>56</v>
      </c>
      <c r="T150">
        <v>1</v>
      </c>
      <c r="V150">
        <v>1</v>
      </c>
      <c r="W150" t="s">
        <v>57</v>
      </c>
      <c r="AA150" t="s">
        <v>38</v>
      </c>
      <c r="AB150">
        <v>1</v>
      </c>
      <c r="AC150">
        <v>1</v>
      </c>
      <c r="AD150">
        <v>2</v>
      </c>
      <c r="AE150" t="s">
        <v>67</v>
      </c>
      <c r="AI150">
        <v>2</v>
      </c>
      <c r="AJ150">
        <v>29</v>
      </c>
    </row>
    <row r="151" spans="1:36" x14ac:dyDescent="0.25">
      <c r="A151" t="s">
        <v>376</v>
      </c>
      <c r="B151">
        <v>156</v>
      </c>
      <c r="C151" t="s">
        <v>48</v>
      </c>
      <c r="D151">
        <v>1</v>
      </c>
      <c r="F151">
        <v>2</v>
      </c>
      <c r="G151" t="s">
        <v>49</v>
      </c>
      <c r="K151" t="s">
        <v>43</v>
      </c>
      <c r="L151">
        <v>2</v>
      </c>
      <c r="N151">
        <v>1</v>
      </c>
      <c r="O151" t="s">
        <v>73</v>
      </c>
      <c r="P151" t="s">
        <v>99</v>
      </c>
      <c r="Q151" t="s">
        <v>100</v>
      </c>
      <c r="S151" t="s">
        <v>56</v>
      </c>
      <c r="T151">
        <v>1</v>
      </c>
      <c r="V151">
        <v>1</v>
      </c>
      <c r="W151" t="s">
        <v>57</v>
      </c>
      <c r="X151" t="s">
        <v>122</v>
      </c>
      <c r="AA151" t="s">
        <v>38</v>
      </c>
      <c r="AB151">
        <v>1</v>
      </c>
      <c r="AC151">
        <v>1</v>
      </c>
      <c r="AD151">
        <v>2</v>
      </c>
      <c r="AE151" t="s">
        <v>67</v>
      </c>
      <c r="AI151">
        <v>6</v>
      </c>
      <c r="AJ151">
        <v>28</v>
      </c>
    </row>
    <row r="152" spans="1:36" x14ac:dyDescent="0.25">
      <c r="A152" t="s">
        <v>377</v>
      </c>
      <c r="B152">
        <v>157</v>
      </c>
      <c r="C152" t="s">
        <v>56</v>
      </c>
      <c r="D152">
        <v>1</v>
      </c>
      <c r="F152">
        <v>1</v>
      </c>
      <c r="G152" t="s">
        <v>57</v>
      </c>
      <c r="K152" t="s">
        <v>38</v>
      </c>
      <c r="L152">
        <v>3</v>
      </c>
      <c r="M152">
        <v>1</v>
      </c>
      <c r="N152">
        <v>3</v>
      </c>
      <c r="O152" t="s">
        <v>67</v>
      </c>
      <c r="S152" t="s">
        <v>48</v>
      </c>
      <c r="T152">
        <v>3</v>
      </c>
      <c r="V152">
        <v>1</v>
      </c>
      <c r="W152" t="s">
        <v>49</v>
      </c>
      <c r="AA152" t="s">
        <v>45</v>
      </c>
      <c r="AB152">
        <v>2</v>
      </c>
      <c r="AD152">
        <v>1</v>
      </c>
      <c r="AE152" t="s">
        <v>47</v>
      </c>
      <c r="AI152">
        <v>7</v>
      </c>
      <c r="AJ152">
        <v>23</v>
      </c>
    </row>
    <row r="153" spans="1:36" x14ac:dyDescent="0.25">
      <c r="A153" t="s">
        <v>378</v>
      </c>
      <c r="B153">
        <v>158</v>
      </c>
      <c r="C153" t="s">
        <v>48</v>
      </c>
      <c r="D153">
        <v>2</v>
      </c>
      <c r="F153">
        <v>1</v>
      </c>
      <c r="G153" t="s">
        <v>49</v>
      </c>
      <c r="K153" t="s">
        <v>63</v>
      </c>
      <c r="L153">
        <v>1</v>
      </c>
      <c r="N153">
        <v>1</v>
      </c>
      <c r="O153" t="s">
        <v>103</v>
      </c>
      <c r="P153" t="s">
        <v>95</v>
      </c>
      <c r="S153" t="s">
        <v>56</v>
      </c>
      <c r="T153">
        <v>2</v>
      </c>
      <c r="V153">
        <v>1</v>
      </c>
      <c r="W153" t="s">
        <v>57</v>
      </c>
      <c r="AA153" t="s">
        <v>38</v>
      </c>
      <c r="AB153">
        <v>1</v>
      </c>
      <c r="AC153">
        <v>1</v>
      </c>
      <c r="AD153">
        <v>2</v>
      </c>
      <c r="AE153" t="s">
        <v>67</v>
      </c>
      <c r="AI153">
        <v>4</v>
      </c>
      <c r="AJ153">
        <v>29</v>
      </c>
    </row>
    <row r="154" spans="1:36" x14ac:dyDescent="0.25">
      <c r="A154" t="s">
        <v>379</v>
      </c>
      <c r="B154">
        <v>159</v>
      </c>
      <c r="C154" t="s">
        <v>56</v>
      </c>
      <c r="D154">
        <v>1</v>
      </c>
      <c r="F154">
        <v>1</v>
      </c>
      <c r="G154" t="s">
        <v>68</v>
      </c>
      <c r="K154" t="s">
        <v>38</v>
      </c>
      <c r="L154">
        <v>1</v>
      </c>
      <c r="M154">
        <v>1</v>
      </c>
      <c r="N154">
        <v>2</v>
      </c>
      <c r="O154" t="s">
        <v>39</v>
      </c>
      <c r="P154" t="s">
        <v>70</v>
      </c>
      <c r="S154" t="s">
        <v>33</v>
      </c>
      <c r="T154">
        <v>2</v>
      </c>
      <c r="V154">
        <v>2</v>
      </c>
      <c r="W154" t="s">
        <v>46</v>
      </c>
      <c r="AA154" t="s">
        <v>43</v>
      </c>
      <c r="AB154">
        <v>2</v>
      </c>
      <c r="AD154">
        <v>1</v>
      </c>
      <c r="AE154" t="s">
        <v>135</v>
      </c>
      <c r="AI154">
        <v>5</v>
      </c>
      <c r="AJ154">
        <v>18</v>
      </c>
    </row>
    <row r="155" spans="1:36" x14ac:dyDescent="0.25">
      <c r="A155" t="s">
        <v>380</v>
      </c>
      <c r="B155">
        <v>160</v>
      </c>
      <c r="C155" t="s">
        <v>56</v>
      </c>
      <c r="D155">
        <v>1</v>
      </c>
      <c r="F155">
        <v>3</v>
      </c>
      <c r="G155" t="s">
        <v>68</v>
      </c>
      <c r="H155" t="s">
        <v>69</v>
      </c>
      <c r="K155" t="s">
        <v>38</v>
      </c>
      <c r="L155">
        <v>1</v>
      </c>
      <c r="M155">
        <v>1</v>
      </c>
      <c r="N155">
        <v>2</v>
      </c>
      <c r="O155" t="s">
        <v>67</v>
      </c>
      <c r="S155" t="s">
        <v>33</v>
      </c>
      <c r="T155">
        <v>1</v>
      </c>
      <c r="V155">
        <v>1</v>
      </c>
      <c r="W155" t="s">
        <v>46</v>
      </c>
      <c r="AA155" t="s">
        <v>45</v>
      </c>
      <c r="AB155">
        <v>3</v>
      </c>
      <c r="AD155">
        <v>2</v>
      </c>
      <c r="AE155" t="s">
        <v>47</v>
      </c>
      <c r="AI155">
        <v>7</v>
      </c>
      <c r="AJ155">
        <v>25</v>
      </c>
    </row>
    <row r="156" spans="1:36" x14ac:dyDescent="0.25">
      <c r="A156" t="s">
        <v>381</v>
      </c>
      <c r="B156">
        <v>161</v>
      </c>
      <c r="C156" t="s">
        <v>33</v>
      </c>
      <c r="D156">
        <v>1</v>
      </c>
      <c r="F156">
        <v>2</v>
      </c>
      <c r="G156" t="s">
        <v>46</v>
      </c>
      <c r="H156" t="s">
        <v>66</v>
      </c>
      <c r="K156" t="s">
        <v>63</v>
      </c>
      <c r="L156">
        <v>1</v>
      </c>
      <c r="N156">
        <v>1</v>
      </c>
      <c r="O156" t="s">
        <v>103</v>
      </c>
      <c r="P156" t="s">
        <v>95</v>
      </c>
      <c r="S156" t="s">
        <v>56</v>
      </c>
      <c r="T156">
        <v>1</v>
      </c>
      <c r="V156">
        <v>1</v>
      </c>
      <c r="W156" t="s">
        <v>57</v>
      </c>
      <c r="AA156" t="s">
        <v>38</v>
      </c>
      <c r="AB156">
        <v>2</v>
      </c>
      <c r="AC156">
        <v>1</v>
      </c>
      <c r="AD156">
        <v>2</v>
      </c>
      <c r="AE156" t="s">
        <v>67</v>
      </c>
      <c r="AI156">
        <v>5</v>
      </c>
      <c r="AJ156">
        <v>28</v>
      </c>
    </row>
    <row r="157" spans="1:36" x14ac:dyDescent="0.25">
      <c r="A157" t="s">
        <v>382</v>
      </c>
      <c r="B157">
        <v>162</v>
      </c>
      <c r="C157" t="s">
        <v>56</v>
      </c>
      <c r="D157">
        <v>1</v>
      </c>
      <c r="F157">
        <v>2</v>
      </c>
      <c r="G157" t="s">
        <v>68</v>
      </c>
      <c r="K157" t="s">
        <v>38</v>
      </c>
      <c r="L157">
        <v>1</v>
      </c>
      <c r="M157">
        <v>1</v>
      </c>
      <c r="N157">
        <v>2</v>
      </c>
      <c r="O157" t="s">
        <v>67</v>
      </c>
      <c r="S157" t="s">
        <v>43</v>
      </c>
      <c r="T157">
        <v>1</v>
      </c>
      <c r="V157">
        <v>1</v>
      </c>
      <c r="W157" t="s">
        <v>135</v>
      </c>
      <c r="X157" t="s">
        <v>136</v>
      </c>
      <c r="AA157" t="s">
        <v>45</v>
      </c>
      <c r="AB157">
        <v>2</v>
      </c>
      <c r="AD157">
        <v>1</v>
      </c>
      <c r="AE157" t="s">
        <v>47</v>
      </c>
      <c r="AI157">
        <v>4</v>
      </c>
      <c r="AJ157">
        <v>19</v>
      </c>
    </row>
    <row r="158" spans="1:36" x14ac:dyDescent="0.25">
      <c r="A158" t="s">
        <v>383</v>
      </c>
      <c r="B158">
        <v>163</v>
      </c>
      <c r="C158" t="s">
        <v>43</v>
      </c>
      <c r="D158">
        <v>2</v>
      </c>
      <c r="F158">
        <v>2</v>
      </c>
      <c r="G158" t="s">
        <v>135</v>
      </c>
      <c r="H158" t="s">
        <v>99</v>
      </c>
      <c r="K158" t="s">
        <v>63</v>
      </c>
      <c r="L158">
        <v>1</v>
      </c>
      <c r="N158">
        <v>1</v>
      </c>
      <c r="O158" t="s">
        <v>103</v>
      </c>
      <c r="S158" t="s">
        <v>56</v>
      </c>
      <c r="T158">
        <v>3</v>
      </c>
      <c r="V158">
        <v>1</v>
      </c>
      <c r="W158" t="s">
        <v>57</v>
      </c>
      <c r="AA158" t="s">
        <v>38</v>
      </c>
      <c r="AB158">
        <v>1</v>
      </c>
      <c r="AC158">
        <v>1</v>
      </c>
      <c r="AD158">
        <v>2</v>
      </c>
      <c r="AE158" t="s">
        <v>67</v>
      </c>
      <c r="AI158">
        <v>6</v>
      </c>
      <c r="AJ158">
        <v>40</v>
      </c>
    </row>
    <row r="159" spans="1:36" x14ac:dyDescent="0.25">
      <c r="A159" t="s">
        <v>384</v>
      </c>
      <c r="B159">
        <v>164</v>
      </c>
      <c r="C159" t="s">
        <v>56</v>
      </c>
      <c r="D159">
        <v>2</v>
      </c>
      <c r="F159">
        <v>1</v>
      </c>
      <c r="G159" t="s">
        <v>57</v>
      </c>
      <c r="H159" t="s">
        <v>122</v>
      </c>
      <c r="I159" t="s">
        <v>85</v>
      </c>
      <c r="K159" t="s">
        <v>38</v>
      </c>
      <c r="L159">
        <v>2</v>
      </c>
      <c r="M159">
        <v>1</v>
      </c>
      <c r="N159">
        <v>2</v>
      </c>
      <c r="O159" t="s">
        <v>67</v>
      </c>
      <c r="S159" t="s">
        <v>45</v>
      </c>
      <c r="T159">
        <v>2</v>
      </c>
      <c r="V159">
        <v>1</v>
      </c>
      <c r="W159" t="s">
        <v>47</v>
      </c>
      <c r="AA159" t="s">
        <v>63</v>
      </c>
      <c r="AB159">
        <v>2</v>
      </c>
      <c r="AD159">
        <v>1</v>
      </c>
      <c r="AE159" t="s">
        <v>103</v>
      </c>
      <c r="AI159">
        <v>7</v>
      </c>
      <c r="AJ159">
        <v>31</v>
      </c>
    </row>
    <row r="160" spans="1:36" x14ac:dyDescent="0.25">
      <c r="A160" t="s">
        <v>385</v>
      </c>
      <c r="B160">
        <v>165</v>
      </c>
      <c r="C160" t="s">
        <v>48</v>
      </c>
      <c r="D160">
        <v>1</v>
      </c>
      <c r="F160">
        <v>1</v>
      </c>
      <c r="G160" t="s">
        <v>89</v>
      </c>
      <c r="K160" t="s">
        <v>33</v>
      </c>
      <c r="L160">
        <v>3</v>
      </c>
      <c r="N160">
        <v>2</v>
      </c>
      <c r="O160" t="s">
        <v>46</v>
      </c>
      <c r="S160" t="s">
        <v>43</v>
      </c>
      <c r="T160">
        <v>2</v>
      </c>
      <c r="V160">
        <v>1</v>
      </c>
      <c r="W160" t="s">
        <v>135</v>
      </c>
      <c r="X160" t="s">
        <v>136</v>
      </c>
      <c r="AA160" t="s">
        <v>45</v>
      </c>
      <c r="AB160">
        <v>2</v>
      </c>
      <c r="AD160">
        <v>1</v>
      </c>
      <c r="AE160" t="s">
        <v>47</v>
      </c>
      <c r="AI160">
        <v>6</v>
      </c>
      <c r="AJ160">
        <v>21</v>
      </c>
    </row>
    <row r="161" spans="1:36" x14ac:dyDescent="0.25">
      <c r="A161" t="s">
        <v>386</v>
      </c>
      <c r="B161">
        <v>166</v>
      </c>
      <c r="C161" t="s">
        <v>48</v>
      </c>
      <c r="D161">
        <v>2</v>
      </c>
      <c r="F161">
        <v>1</v>
      </c>
      <c r="G161" t="s">
        <v>49</v>
      </c>
      <c r="K161" t="s">
        <v>33</v>
      </c>
      <c r="L161">
        <v>3</v>
      </c>
      <c r="N161">
        <v>1</v>
      </c>
      <c r="O161" t="s">
        <v>46</v>
      </c>
      <c r="S161" t="s">
        <v>43</v>
      </c>
      <c r="T161">
        <v>3</v>
      </c>
      <c r="V161">
        <v>1</v>
      </c>
      <c r="W161" t="s">
        <v>135</v>
      </c>
      <c r="X161" t="s">
        <v>136</v>
      </c>
      <c r="AA161" t="s">
        <v>63</v>
      </c>
      <c r="AB161">
        <v>1</v>
      </c>
      <c r="AD161">
        <v>1</v>
      </c>
      <c r="AE161" t="s">
        <v>72</v>
      </c>
      <c r="AI161">
        <v>6</v>
      </c>
      <c r="AJ161">
        <v>32</v>
      </c>
    </row>
    <row r="162" spans="1:36" x14ac:dyDescent="0.25">
      <c r="A162" t="s">
        <v>387</v>
      </c>
      <c r="B162">
        <v>167</v>
      </c>
      <c r="C162" t="s">
        <v>43</v>
      </c>
      <c r="D162">
        <v>3</v>
      </c>
      <c r="F162">
        <v>3</v>
      </c>
      <c r="G162" t="s">
        <v>135</v>
      </c>
      <c r="H162" t="s">
        <v>136</v>
      </c>
      <c r="I162" t="s">
        <v>75</v>
      </c>
      <c r="K162" t="s">
        <v>38</v>
      </c>
      <c r="L162">
        <v>1</v>
      </c>
      <c r="M162">
        <v>1</v>
      </c>
      <c r="N162">
        <v>2</v>
      </c>
      <c r="O162" t="s">
        <v>152</v>
      </c>
      <c r="S162" t="s">
        <v>48</v>
      </c>
      <c r="T162">
        <v>3</v>
      </c>
      <c r="V162">
        <v>1</v>
      </c>
      <c r="W162" t="s">
        <v>89</v>
      </c>
      <c r="X162" t="s">
        <v>71</v>
      </c>
      <c r="AA162" t="s">
        <v>33</v>
      </c>
      <c r="AB162">
        <v>1</v>
      </c>
      <c r="AD162">
        <v>2</v>
      </c>
      <c r="AE162" t="s">
        <v>46</v>
      </c>
      <c r="AI162">
        <v>11</v>
      </c>
      <c r="AJ162">
        <v>35</v>
      </c>
    </row>
    <row r="163" spans="1:36" x14ac:dyDescent="0.25">
      <c r="A163" t="s">
        <v>388</v>
      </c>
      <c r="B163">
        <v>168</v>
      </c>
      <c r="C163" t="s">
        <v>45</v>
      </c>
      <c r="D163">
        <v>3</v>
      </c>
      <c r="F163">
        <v>1</v>
      </c>
      <c r="G163" t="s">
        <v>47</v>
      </c>
      <c r="K163" t="s">
        <v>63</v>
      </c>
      <c r="L163">
        <v>1</v>
      </c>
      <c r="N163">
        <v>1</v>
      </c>
      <c r="O163" t="s">
        <v>103</v>
      </c>
      <c r="S163" t="s">
        <v>48</v>
      </c>
      <c r="T163">
        <v>1</v>
      </c>
      <c r="V163">
        <v>1</v>
      </c>
      <c r="W163" t="s">
        <v>49</v>
      </c>
      <c r="X163" t="s">
        <v>50</v>
      </c>
      <c r="AA163" t="s">
        <v>33</v>
      </c>
      <c r="AB163">
        <v>2</v>
      </c>
      <c r="AD163">
        <v>2</v>
      </c>
      <c r="AE163" t="s">
        <v>46</v>
      </c>
      <c r="AF163" t="s">
        <v>66</v>
      </c>
      <c r="AI163">
        <v>6</v>
      </c>
      <c r="AJ163">
        <v>27</v>
      </c>
    </row>
    <row r="164" spans="1:36" x14ac:dyDescent="0.25">
      <c r="A164" t="s">
        <v>389</v>
      </c>
      <c r="B164">
        <v>169</v>
      </c>
      <c r="C164" t="s">
        <v>45</v>
      </c>
      <c r="D164">
        <v>3</v>
      </c>
      <c r="F164">
        <v>2</v>
      </c>
      <c r="G164" t="s">
        <v>47</v>
      </c>
      <c r="K164" t="s">
        <v>38</v>
      </c>
      <c r="L164">
        <v>1</v>
      </c>
      <c r="M164">
        <v>1</v>
      </c>
      <c r="N164">
        <v>1</v>
      </c>
      <c r="O164" t="s">
        <v>67</v>
      </c>
      <c r="P164" t="s">
        <v>70</v>
      </c>
      <c r="S164" t="s">
        <v>48</v>
      </c>
      <c r="T164">
        <v>1</v>
      </c>
      <c r="V164">
        <v>1</v>
      </c>
      <c r="W164" t="s">
        <v>89</v>
      </c>
      <c r="X164" t="s">
        <v>84</v>
      </c>
      <c r="Y164" t="s">
        <v>51</v>
      </c>
      <c r="AA164" t="s">
        <v>33</v>
      </c>
      <c r="AB164">
        <v>1</v>
      </c>
      <c r="AD164">
        <v>2</v>
      </c>
      <c r="AE164" t="s">
        <v>46</v>
      </c>
      <c r="AI164">
        <v>7</v>
      </c>
      <c r="AJ164">
        <v>27</v>
      </c>
    </row>
    <row r="165" spans="1:36" x14ac:dyDescent="0.25">
      <c r="A165" t="s">
        <v>390</v>
      </c>
      <c r="B165">
        <v>170</v>
      </c>
      <c r="C165" t="s">
        <v>48</v>
      </c>
      <c r="D165">
        <v>3</v>
      </c>
      <c r="F165">
        <v>1</v>
      </c>
      <c r="G165" t="s">
        <v>49</v>
      </c>
      <c r="K165" t="s">
        <v>33</v>
      </c>
      <c r="L165">
        <v>1</v>
      </c>
      <c r="N165">
        <v>1</v>
      </c>
      <c r="O165" t="s">
        <v>46</v>
      </c>
      <c r="S165" t="s">
        <v>63</v>
      </c>
      <c r="T165">
        <v>1</v>
      </c>
      <c r="V165">
        <v>1</v>
      </c>
      <c r="W165" t="s">
        <v>72</v>
      </c>
      <c r="X165" t="s">
        <v>91</v>
      </c>
      <c r="AA165" t="s">
        <v>38</v>
      </c>
      <c r="AB165">
        <v>1</v>
      </c>
      <c r="AC165">
        <v>1</v>
      </c>
      <c r="AD165">
        <v>2</v>
      </c>
      <c r="AE165" t="s">
        <v>67</v>
      </c>
      <c r="AI165">
        <v>4</v>
      </c>
      <c r="AJ165">
        <v>26</v>
      </c>
    </row>
    <row r="166" spans="1:36" x14ac:dyDescent="0.25">
      <c r="A166" t="s">
        <v>391</v>
      </c>
      <c r="B166">
        <v>171</v>
      </c>
      <c r="C166" t="s">
        <v>48</v>
      </c>
      <c r="D166">
        <v>2</v>
      </c>
      <c r="F166">
        <v>1</v>
      </c>
      <c r="G166" t="s">
        <v>89</v>
      </c>
      <c r="K166" t="s">
        <v>43</v>
      </c>
      <c r="L166">
        <v>2</v>
      </c>
      <c r="N166">
        <v>3</v>
      </c>
      <c r="O166" t="s">
        <v>135</v>
      </c>
      <c r="P166" t="s">
        <v>136</v>
      </c>
      <c r="S166" t="s">
        <v>33</v>
      </c>
      <c r="T166">
        <v>2</v>
      </c>
      <c r="V166">
        <v>2</v>
      </c>
      <c r="W166" t="s">
        <v>46</v>
      </c>
      <c r="AA166" t="s">
        <v>45</v>
      </c>
      <c r="AB166">
        <v>2</v>
      </c>
      <c r="AD166">
        <v>1</v>
      </c>
      <c r="AE166" t="s">
        <v>86</v>
      </c>
      <c r="AI166">
        <v>8</v>
      </c>
      <c r="AJ166">
        <v>29</v>
      </c>
    </row>
    <row r="167" spans="1:36" x14ac:dyDescent="0.25">
      <c r="A167" t="s">
        <v>392</v>
      </c>
      <c r="B167">
        <v>172</v>
      </c>
      <c r="C167" t="s">
        <v>33</v>
      </c>
      <c r="D167">
        <v>3</v>
      </c>
      <c r="F167">
        <v>2</v>
      </c>
      <c r="G167" t="s">
        <v>46</v>
      </c>
      <c r="K167" t="s">
        <v>63</v>
      </c>
      <c r="L167">
        <v>1</v>
      </c>
      <c r="N167">
        <v>1</v>
      </c>
      <c r="O167" t="s">
        <v>72</v>
      </c>
      <c r="P167" t="s">
        <v>146</v>
      </c>
      <c r="S167" t="s">
        <v>48</v>
      </c>
      <c r="T167">
        <v>1</v>
      </c>
      <c r="V167">
        <v>1</v>
      </c>
      <c r="W167" t="s">
        <v>49</v>
      </c>
      <c r="X167" t="s">
        <v>50</v>
      </c>
      <c r="AA167" t="s">
        <v>43</v>
      </c>
      <c r="AB167">
        <v>1</v>
      </c>
      <c r="AD167">
        <v>2</v>
      </c>
      <c r="AE167" t="s">
        <v>135</v>
      </c>
      <c r="AI167">
        <v>6</v>
      </c>
      <c r="AJ167">
        <v>34</v>
      </c>
    </row>
    <row r="168" spans="1:36" x14ac:dyDescent="0.25">
      <c r="A168" t="s">
        <v>393</v>
      </c>
      <c r="B168">
        <v>173</v>
      </c>
      <c r="C168" t="s">
        <v>33</v>
      </c>
      <c r="D168">
        <v>2</v>
      </c>
      <c r="F168">
        <v>2</v>
      </c>
      <c r="G168" t="s">
        <v>46</v>
      </c>
      <c r="K168" t="s">
        <v>38</v>
      </c>
      <c r="L168">
        <v>1</v>
      </c>
      <c r="M168">
        <v>1</v>
      </c>
      <c r="N168">
        <v>2</v>
      </c>
      <c r="O168" t="s">
        <v>67</v>
      </c>
      <c r="S168" t="s">
        <v>48</v>
      </c>
      <c r="T168">
        <v>1</v>
      </c>
      <c r="V168">
        <v>1</v>
      </c>
      <c r="W168" t="s">
        <v>49</v>
      </c>
      <c r="X168" t="s">
        <v>50</v>
      </c>
      <c r="AA168" t="s">
        <v>43</v>
      </c>
      <c r="AB168">
        <v>2</v>
      </c>
      <c r="AD168">
        <v>1</v>
      </c>
      <c r="AE168" t="s">
        <v>135</v>
      </c>
      <c r="AF168" t="s">
        <v>136</v>
      </c>
      <c r="AI168">
        <v>7</v>
      </c>
      <c r="AJ168">
        <v>19</v>
      </c>
    </row>
    <row r="169" spans="1:36" x14ac:dyDescent="0.25">
      <c r="A169" t="s">
        <v>394</v>
      </c>
      <c r="B169">
        <v>174</v>
      </c>
      <c r="C169" t="s">
        <v>45</v>
      </c>
      <c r="D169">
        <v>2</v>
      </c>
      <c r="F169">
        <v>1</v>
      </c>
      <c r="G169" t="s">
        <v>47</v>
      </c>
      <c r="K169" t="s">
        <v>63</v>
      </c>
      <c r="L169">
        <v>1</v>
      </c>
      <c r="N169">
        <v>1</v>
      </c>
      <c r="O169" t="s">
        <v>103</v>
      </c>
      <c r="S169" t="s">
        <v>48</v>
      </c>
      <c r="T169">
        <v>1</v>
      </c>
      <c r="V169">
        <v>1</v>
      </c>
      <c r="W169" t="s">
        <v>49</v>
      </c>
      <c r="AA169" t="s">
        <v>43</v>
      </c>
      <c r="AB169">
        <v>1</v>
      </c>
      <c r="AD169">
        <v>1</v>
      </c>
      <c r="AE169" t="s">
        <v>135</v>
      </c>
      <c r="AI169">
        <v>1</v>
      </c>
      <c r="AJ169">
        <v>26</v>
      </c>
    </row>
    <row r="170" spans="1:36" x14ac:dyDescent="0.25">
      <c r="A170" t="s">
        <v>395</v>
      </c>
      <c r="B170">
        <v>175</v>
      </c>
      <c r="C170" t="s">
        <v>48</v>
      </c>
      <c r="D170">
        <v>1</v>
      </c>
      <c r="F170">
        <v>1</v>
      </c>
      <c r="G170" t="s">
        <v>89</v>
      </c>
      <c r="H170" t="s">
        <v>50</v>
      </c>
      <c r="I170" t="s">
        <v>51</v>
      </c>
      <c r="K170" t="s">
        <v>43</v>
      </c>
      <c r="L170">
        <v>2</v>
      </c>
      <c r="N170">
        <v>1</v>
      </c>
      <c r="O170" t="s">
        <v>73</v>
      </c>
      <c r="P170" t="s">
        <v>74</v>
      </c>
      <c r="Q170" t="s">
        <v>100</v>
      </c>
      <c r="R170" t="s">
        <v>101</v>
      </c>
      <c r="S170" t="s">
        <v>45</v>
      </c>
      <c r="T170">
        <v>3</v>
      </c>
      <c r="V170">
        <v>1</v>
      </c>
      <c r="W170" t="s">
        <v>47</v>
      </c>
      <c r="AA170" t="s">
        <v>38</v>
      </c>
      <c r="AB170">
        <v>1</v>
      </c>
      <c r="AC170">
        <v>2</v>
      </c>
      <c r="AD170">
        <v>2</v>
      </c>
      <c r="AE170" t="s">
        <v>152</v>
      </c>
      <c r="AF170" t="s">
        <v>40</v>
      </c>
      <c r="AG170" t="s">
        <v>41</v>
      </c>
      <c r="AH170" t="s">
        <v>155</v>
      </c>
      <c r="AI170">
        <v>13</v>
      </c>
      <c r="AJ170">
        <v>40</v>
      </c>
    </row>
    <row r="171" spans="1:36" x14ac:dyDescent="0.25">
      <c r="A171" t="s">
        <v>396</v>
      </c>
      <c r="B171">
        <v>176</v>
      </c>
      <c r="C171" t="s">
        <v>63</v>
      </c>
      <c r="D171">
        <v>1</v>
      </c>
      <c r="F171">
        <v>1</v>
      </c>
      <c r="G171" t="s">
        <v>103</v>
      </c>
      <c r="K171" t="s">
        <v>38</v>
      </c>
      <c r="L171">
        <v>1</v>
      </c>
      <c r="M171">
        <v>1</v>
      </c>
      <c r="N171">
        <v>3</v>
      </c>
      <c r="O171" t="s">
        <v>67</v>
      </c>
      <c r="P171" t="s">
        <v>70</v>
      </c>
      <c r="S171" t="s">
        <v>48</v>
      </c>
      <c r="T171">
        <v>2</v>
      </c>
      <c r="V171">
        <v>1</v>
      </c>
      <c r="W171" t="s">
        <v>49</v>
      </c>
      <c r="AA171" t="s">
        <v>43</v>
      </c>
      <c r="AB171">
        <v>2</v>
      </c>
      <c r="AD171">
        <v>2</v>
      </c>
      <c r="AE171" t="s">
        <v>135</v>
      </c>
      <c r="AF171" t="s">
        <v>74</v>
      </c>
      <c r="AG171" t="s">
        <v>75</v>
      </c>
      <c r="AI171">
        <v>8</v>
      </c>
      <c r="AJ171">
        <v>40</v>
      </c>
    </row>
    <row r="172" spans="1:36" x14ac:dyDescent="0.25">
      <c r="A172" t="s">
        <v>397</v>
      </c>
      <c r="B172">
        <v>177</v>
      </c>
      <c r="C172" t="s">
        <v>48</v>
      </c>
      <c r="D172">
        <v>1</v>
      </c>
      <c r="F172">
        <v>1</v>
      </c>
      <c r="G172" t="s">
        <v>89</v>
      </c>
      <c r="K172" t="s">
        <v>45</v>
      </c>
      <c r="L172">
        <v>3</v>
      </c>
      <c r="N172">
        <v>1</v>
      </c>
      <c r="O172" t="s">
        <v>140</v>
      </c>
      <c r="P172" t="s">
        <v>141</v>
      </c>
      <c r="S172" t="s">
        <v>33</v>
      </c>
      <c r="T172">
        <v>2</v>
      </c>
      <c r="V172">
        <v>2</v>
      </c>
      <c r="W172" t="s">
        <v>46</v>
      </c>
      <c r="AA172" t="s">
        <v>43</v>
      </c>
      <c r="AB172">
        <v>1</v>
      </c>
      <c r="AD172">
        <v>1</v>
      </c>
      <c r="AE172" t="s">
        <v>135</v>
      </c>
      <c r="AI172">
        <v>5</v>
      </c>
      <c r="AJ172">
        <v>31</v>
      </c>
    </row>
    <row r="173" spans="1:36" x14ac:dyDescent="0.25">
      <c r="A173" t="s">
        <v>398</v>
      </c>
      <c r="B173">
        <v>178</v>
      </c>
      <c r="C173" t="s">
        <v>48</v>
      </c>
      <c r="D173">
        <v>3</v>
      </c>
      <c r="F173">
        <v>1</v>
      </c>
      <c r="G173" t="s">
        <v>49</v>
      </c>
      <c r="K173" t="s">
        <v>45</v>
      </c>
      <c r="L173">
        <v>3</v>
      </c>
      <c r="N173">
        <v>1</v>
      </c>
      <c r="O173" t="s">
        <v>47</v>
      </c>
      <c r="S173" t="s">
        <v>33</v>
      </c>
      <c r="T173">
        <v>2</v>
      </c>
      <c r="V173">
        <v>3</v>
      </c>
      <c r="W173" t="s">
        <v>46</v>
      </c>
      <c r="X173" t="s">
        <v>66</v>
      </c>
      <c r="Y173" t="s">
        <v>131</v>
      </c>
      <c r="AA173" t="s">
        <v>63</v>
      </c>
      <c r="AB173">
        <v>1</v>
      </c>
      <c r="AD173">
        <v>1</v>
      </c>
      <c r="AE173" t="s">
        <v>72</v>
      </c>
      <c r="AI173">
        <v>9</v>
      </c>
      <c r="AJ173">
        <v>32</v>
      </c>
    </row>
    <row r="174" spans="1:36" x14ac:dyDescent="0.25">
      <c r="A174" t="s">
        <v>399</v>
      </c>
      <c r="B174">
        <v>179</v>
      </c>
      <c r="C174" t="s">
        <v>33</v>
      </c>
      <c r="D174">
        <v>3</v>
      </c>
      <c r="F174">
        <v>3</v>
      </c>
      <c r="G174" t="s">
        <v>46</v>
      </c>
      <c r="H174" t="s">
        <v>35</v>
      </c>
      <c r="K174" t="s">
        <v>38</v>
      </c>
      <c r="L174">
        <v>1</v>
      </c>
      <c r="M174">
        <v>1</v>
      </c>
      <c r="N174">
        <v>1</v>
      </c>
      <c r="O174" t="s">
        <v>152</v>
      </c>
      <c r="P174" t="s">
        <v>40</v>
      </c>
      <c r="S174" t="s">
        <v>48</v>
      </c>
      <c r="T174">
        <v>3</v>
      </c>
      <c r="V174">
        <v>1</v>
      </c>
      <c r="W174" t="s">
        <v>49</v>
      </c>
      <c r="AA174" t="s">
        <v>45</v>
      </c>
      <c r="AB174">
        <v>1</v>
      </c>
      <c r="AD174">
        <v>1</v>
      </c>
      <c r="AE174" t="s">
        <v>140</v>
      </c>
      <c r="AI174">
        <v>8</v>
      </c>
      <c r="AJ174">
        <v>38</v>
      </c>
    </row>
    <row r="175" spans="1:36" x14ac:dyDescent="0.25">
      <c r="A175" t="s">
        <v>400</v>
      </c>
      <c r="B175">
        <v>180</v>
      </c>
      <c r="C175" t="s">
        <v>43</v>
      </c>
      <c r="D175">
        <v>1</v>
      </c>
      <c r="F175">
        <v>1</v>
      </c>
      <c r="G175" t="s">
        <v>135</v>
      </c>
      <c r="H175" t="s">
        <v>99</v>
      </c>
      <c r="K175" t="s">
        <v>63</v>
      </c>
      <c r="L175">
        <v>1</v>
      </c>
      <c r="N175">
        <v>1</v>
      </c>
      <c r="O175" t="s">
        <v>72</v>
      </c>
      <c r="P175" t="s">
        <v>95</v>
      </c>
      <c r="S175" t="s">
        <v>48</v>
      </c>
      <c r="T175">
        <v>1</v>
      </c>
      <c r="V175">
        <v>1</v>
      </c>
      <c r="W175" t="s">
        <v>49</v>
      </c>
      <c r="X175" t="s">
        <v>84</v>
      </c>
      <c r="AA175" t="s">
        <v>45</v>
      </c>
      <c r="AB175">
        <v>2</v>
      </c>
      <c r="AD175">
        <v>1</v>
      </c>
      <c r="AE175" t="s">
        <v>47</v>
      </c>
      <c r="AF175" t="s">
        <v>141</v>
      </c>
      <c r="AI175">
        <v>5</v>
      </c>
      <c r="AJ175">
        <v>31</v>
      </c>
    </row>
    <row r="176" spans="1:36" x14ac:dyDescent="0.25">
      <c r="A176" t="s">
        <v>401</v>
      </c>
      <c r="B176">
        <v>181</v>
      </c>
      <c r="C176" t="s">
        <v>43</v>
      </c>
      <c r="D176">
        <v>2</v>
      </c>
      <c r="F176">
        <v>2</v>
      </c>
      <c r="G176" t="s">
        <v>135</v>
      </c>
      <c r="H176" t="s">
        <v>74</v>
      </c>
      <c r="K176" t="s">
        <v>38</v>
      </c>
      <c r="L176">
        <v>1</v>
      </c>
      <c r="M176">
        <v>1</v>
      </c>
      <c r="N176">
        <v>2</v>
      </c>
      <c r="O176" t="s">
        <v>152</v>
      </c>
      <c r="S176" t="s">
        <v>48</v>
      </c>
      <c r="T176">
        <v>1</v>
      </c>
      <c r="V176">
        <v>1</v>
      </c>
      <c r="W176" t="s">
        <v>49</v>
      </c>
      <c r="AA176" t="s">
        <v>45</v>
      </c>
      <c r="AB176">
        <v>1</v>
      </c>
      <c r="AD176">
        <v>2</v>
      </c>
      <c r="AE176" t="s">
        <v>86</v>
      </c>
      <c r="AI176">
        <v>5</v>
      </c>
      <c r="AJ176">
        <v>28</v>
      </c>
    </row>
    <row r="177" spans="1:36" x14ac:dyDescent="0.25">
      <c r="A177" t="s">
        <v>402</v>
      </c>
      <c r="B177">
        <v>182</v>
      </c>
      <c r="C177" t="s">
        <v>48</v>
      </c>
      <c r="D177">
        <v>1</v>
      </c>
      <c r="F177">
        <v>1</v>
      </c>
      <c r="G177" t="s">
        <v>49</v>
      </c>
      <c r="H177" t="s">
        <v>50</v>
      </c>
      <c r="K177" t="s">
        <v>45</v>
      </c>
      <c r="L177">
        <v>2</v>
      </c>
      <c r="N177">
        <v>1</v>
      </c>
      <c r="O177" t="s">
        <v>47</v>
      </c>
      <c r="S177" t="s">
        <v>63</v>
      </c>
      <c r="T177">
        <v>1</v>
      </c>
      <c r="V177">
        <v>1</v>
      </c>
      <c r="W177" t="s">
        <v>72</v>
      </c>
      <c r="AA177" t="s">
        <v>38</v>
      </c>
      <c r="AB177">
        <v>1</v>
      </c>
      <c r="AC177">
        <v>1</v>
      </c>
      <c r="AD177">
        <v>1</v>
      </c>
      <c r="AE177" t="s">
        <v>67</v>
      </c>
      <c r="AI177">
        <v>2</v>
      </c>
      <c r="AJ177">
        <v>26</v>
      </c>
    </row>
    <row r="178" spans="1:36" x14ac:dyDescent="0.25">
      <c r="A178" t="s">
        <v>403</v>
      </c>
      <c r="B178">
        <v>183</v>
      </c>
      <c r="C178" t="s">
        <v>33</v>
      </c>
      <c r="D178">
        <v>2</v>
      </c>
      <c r="F178">
        <v>1</v>
      </c>
      <c r="G178" t="s">
        <v>46</v>
      </c>
      <c r="K178" t="s">
        <v>43</v>
      </c>
      <c r="L178">
        <v>3</v>
      </c>
      <c r="N178">
        <v>2</v>
      </c>
      <c r="O178" t="s">
        <v>135</v>
      </c>
      <c r="P178" t="s">
        <v>99</v>
      </c>
      <c r="S178" t="s">
        <v>48</v>
      </c>
      <c r="T178">
        <v>1</v>
      </c>
      <c r="V178">
        <v>1</v>
      </c>
      <c r="W178" t="s">
        <v>89</v>
      </c>
      <c r="AA178" t="s">
        <v>63</v>
      </c>
      <c r="AB178">
        <v>3</v>
      </c>
      <c r="AD178">
        <v>1</v>
      </c>
      <c r="AE178" t="s">
        <v>145</v>
      </c>
      <c r="AF178" t="s">
        <v>91</v>
      </c>
      <c r="AG178" t="s">
        <v>147</v>
      </c>
      <c r="AI178">
        <v>9</v>
      </c>
      <c r="AJ178">
        <v>32</v>
      </c>
    </row>
    <row r="179" spans="1:36" x14ac:dyDescent="0.25">
      <c r="A179" t="s">
        <v>404</v>
      </c>
      <c r="B179">
        <v>184</v>
      </c>
      <c r="C179" t="s">
        <v>48</v>
      </c>
      <c r="D179">
        <v>2</v>
      </c>
      <c r="F179">
        <v>1</v>
      </c>
      <c r="G179" t="s">
        <v>89</v>
      </c>
      <c r="H179" t="s">
        <v>50</v>
      </c>
      <c r="I179" t="s">
        <v>127</v>
      </c>
      <c r="K179" t="s">
        <v>63</v>
      </c>
      <c r="L179">
        <v>1</v>
      </c>
      <c r="N179">
        <v>1</v>
      </c>
      <c r="O179" t="s">
        <v>72</v>
      </c>
      <c r="S179" t="s">
        <v>33</v>
      </c>
      <c r="T179">
        <v>1</v>
      </c>
      <c r="V179">
        <v>3</v>
      </c>
      <c r="W179" t="s">
        <v>46</v>
      </c>
      <c r="AA179" t="s">
        <v>45</v>
      </c>
      <c r="AB179">
        <v>1</v>
      </c>
      <c r="AD179">
        <v>1</v>
      </c>
      <c r="AE179" t="s">
        <v>47</v>
      </c>
      <c r="AF179" t="s">
        <v>141</v>
      </c>
      <c r="AI179">
        <v>6</v>
      </c>
      <c r="AJ179">
        <v>28</v>
      </c>
    </row>
    <row r="180" spans="1:36" x14ac:dyDescent="0.25">
      <c r="A180" t="s">
        <v>405</v>
      </c>
      <c r="B180">
        <v>185</v>
      </c>
      <c r="C180" t="s">
        <v>33</v>
      </c>
      <c r="D180">
        <v>2</v>
      </c>
      <c r="F180">
        <v>1</v>
      </c>
      <c r="G180" t="s">
        <v>46</v>
      </c>
      <c r="H180" t="s">
        <v>66</v>
      </c>
      <c r="K180" t="s">
        <v>38</v>
      </c>
      <c r="L180">
        <v>2</v>
      </c>
      <c r="M180">
        <v>1</v>
      </c>
      <c r="N180">
        <v>1</v>
      </c>
      <c r="O180" t="s">
        <v>152</v>
      </c>
      <c r="P180" t="s">
        <v>96</v>
      </c>
      <c r="S180" t="s">
        <v>48</v>
      </c>
      <c r="T180">
        <v>1</v>
      </c>
      <c r="V180">
        <v>1</v>
      </c>
      <c r="W180" t="s">
        <v>89</v>
      </c>
      <c r="AA180" t="s">
        <v>63</v>
      </c>
      <c r="AB180">
        <v>1</v>
      </c>
      <c r="AD180">
        <v>1</v>
      </c>
      <c r="AE180" t="s">
        <v>72</v>
      </c>
      <c r="AI180">
        <v>4</v>
      </c>
      <c r="AJ180">
        <v>19</v>
      </c>
    </row>
    <row r="181" spans="1:36" x14ac:dyDescent="0.25">
      <c r="A181" t="s">
        <v>406</v>
      </c>
      <c r="B181">
        <v>186</v>
      </c>
      <c r="C181" t="s">
        <v>48</v>
      </c>
      <c r="D181">
        <v>2</v>
      </c>
      <c r="F181">
        <v>3</v>
      </c>
      <c r="G181" t="s">
        <v>89</v>
      </c>
      <c r="H181" t="s">
        <v>50</v>
      </c>
      <c r="I181" t="s">
        <v>90</v>
      </c>
      <c r="J181" t="s">
        <v>129</v>
      </c>
      <c r="K181" t="s">
        <v>63</v>
      </c>
      <c r="L181">
        <v>1</v>
      </c>
      <c r="N181">
        <v>1</v>
      </c>
      <c r="O181" t="s">
        <v>72</v>
      </c>
      <c r="S181" t="s">
        <v>43</v>
      </c>
      <c r="T181">
        <v>3</v>
      </c>
      <c r="V181">
        <v>2</v>
      </c>
      <c r="W181" t="s">
        <v>135</v>
      </c>
      <c r="X181" t="s">
        <v>99</v>
      </c>
      <c r="AA181" t="s">
        <v>45</v>
      </c>
      <c r="AB181">
        <v>3</v>
      </c>
      <c r="AD181">
        <v>1</v>
      </c>
      <c r="AE181" t="s">
        <v>47</v>
      </c>
      <c r="AI181">
        <v>12</v>
      </c>
      <c r="AJ181">
        <v>38</v>
      </c>
    </row>
    <row r="182" spans="1:36" x14ac:dyDescent="0.25">
      <c r="A182" t="s">
        <v>407</v>
      </c>
      <c r="B182">
        <v>187</v>
      </c>
      <c r="C182" t="s">
        <v>43</v>
      </c>
      <c r="D182">
        <v>2</v>
      </c>
      <c r="F182">
        <v>1</v>
      </c>
      <c r="G182" t="s">
        <v>135</v>
      </c>
      <c r="H182" t="s">
        <v>74</v>
      </c>
      <c r="I182" t="s">
        <v>75</v>
      </c>
      <c r="K182" t="s">
        <v>38</v>
      </c>
      <c r="L182">
        <v>2</v>
      </c>
      <c r="M182">
        <v>1</v>
      </c>
      <c r="N182">
        <v>1</v>
      </c>
      <c r="O182" t="s">
        <v>152</v>
      </c>
      <c r="S182" t="s">
        <v>48</v>
      </c>
      <c r="T182">
        <v>3</v>
      </c>
      <c r="V182">
        <v>1</v>
      </c>
      <c r="W182" t="s">
        <v>89</v>
      </c>
      <c r="AA182" t="s">
        <v>63</v>
      </c>
      <c r="AB182">
        <v>1</v>
      </c>
      <c r="AD182">
        <v>1</v>
      </c>
      <c r="AE182" t="s">
        <v>72</v>
      </c>
      <c r="AI182">
        <v>6</v>
      </c>
      <c r="AJ182">
        <v>17</v>
      </c>
    </row>
    <row r="183" spans="1:36" x14ac:dyDescent="0.25">
      <c r="A183" s="36" t="s">
        <v>408</v>
      </c>
      <c r="B183">
        <v>188</v>
      </c>
      <c r="C183" t="s">
        <v>45</v>
      </c>
      <c r="D183">
        <v>2</v>
      </c>
      <c r="F183">
        <v>1</v>
      </c>
      <c r="G183" t="s">
        <v>47</v>
      </c>
      <c r="K183" t="s">
        <v>38</v>
      </c>
      <c r="L183">
        <v>1</v>
      </c>
      <c r="M183">
        <v>1</v>
      </c>
      <c r="N183">
        <v>1</v>
      </c>
      <c r="O183" t="s">
        <v>152</v>
      </c>
      <c r="S183" t="s">
        <v>48</v>
      </c>
      <c r="T183">
        <v>1</v>
      </c>
      <c r="V183">
        <v>1</v>
      </c>
      <c r="W183" t="s">
        <v>89</v>
      </c>
      <c r="AA183" t="s">
        <v>63</v>
      </c>
      <c r="AB183">
        <v>1</v>
      </c>
      <c r="AD183">
        <v>1</v>
      </c>
      <c r="AE183" t="s">
        <v>72</v>
      </c>
      <c r="AI183">
        <v>1</v>
      </c>
      <c r="AJ183">
        <v>29</v>
      </c>
    </row>
    <row r="184" spans="1:36" x14ac:dyDescent="0.25">
      <c r="A184" t="s">
        <v>409</v>
      </c>
      <c r="B184">
        <v>189</v>
      </c>
      <c r="C184" t="s">
        <v>48</v>
      </c>
      <c r="D184">
        <v>1</v>
      </c>
      <c r="F184">
        <v>1</v>
      </c>
      <c r="G184" t="s">
        <v>89</v>
      </c>
      <c r="H184" t="s">
        <v>50</v>
      </c>
      <c r="K184" t="s">
        <v>38</v>
      </c>
      <c r="L184">
        <v>1</v>
      </c>
      <c r="M184">
        <v>1</v>
      </c>
      <c r="N184">
        <v>2</v>
      </c>
      <c r="O184" t="s">
        <v>67</v>
      </c>
      <c r="P184" t="s">
        <v>70</v>
      </c>
      <c r="S184" t="s">
        <v>33</v>
      </c>
      <c r="T184">
        <v>1</v>
      </c>
      <c r="V184">
        <v>1</v>
      </c>
      <c r="W184" t="s">
        <v>46</v>
      </c>
      <c r="AA184" t="s">
        <v>43</v>
      </c>
      <c r="AB184">
        <v>1</v>
      </c>
      <c r="AD184">
        <v>1</v>
      </c>
      <c r="AE184" t="s">
        <v>135</v>
      </c>
      <c r="AF184" t="s">
        <v>99</v>
      </c>
      <c r="AI184">
        <v>4</v>
      </c>
      <c r="AJ184">
        <v>29</v>
      </c>
    </row>
    <row r="185" spans="1:36" x14ac:dyDescent="0.25">
      <c r="A185" s="36" t="s">
        <v>410</v>
      </c>
      <c r="B185">
        <v>190</v>
      </c>
      <c r="C185" t="s">
        <v>48</v>
      </c>
      <c r="D185">
        <v>1</v>
      </c>
      <c r="F185">
        <v>2</v>
      </c>
      <c r="G185" t="s">
        <v>89</v>
      </c>
      <c r="H185" t="s">
        <v>84</v>
      </c>
      <c r="I185" t="s">
        <v>51</v>
      </c>
      <c r="K185" t="s">
        <v>38</v>
      </c>
      <c r="L185">
        <v>1</v>
      </c>
      <c r="M185">
        <v>1</v>
      </c>
      <c r="N185">
        <v>2</v>
      </c>
      <c r="O185" t="s">
        <v>67</v>
      </c>
      <c r="S185" t="s">
        <v>33</v>
      </c>
      <c r="T185">
        <v>2</v>
      </c>
      <c r="V185">
        <v>1</v>
      </c>
      <c r="W185" t="s">
        <v>46</v>
      </c>
      <c r="AA185" t="s">
        <v>45</v>
      </c>
      <c r="AB185">
        <v>2</v>
      </c>
      <c r="AD185">
        <v>1</v>
      </c>
      <c r="AE185" t="s">
        <v>47</v>
      </c>
      <c r="AI185">
        <v>6</v>
      </c>
      <c r="AJ185">
        <v>22</v>
      </c>
    </row>
    <row r="186" spans="1:36" x14ac:dyDescent="0.25">
      <c r="A186" t="s">
        <v>411</v>
      </c>
      <c r="B186">
        <v>191</v>
      </c>
      <c r="C186" t="s">
        <v>33</v>
      </c>
      <c r="D186">
        <v>1</v>
      </c>
      <c r="F186">
        <v>2</v>
      </c>
      <c r="G186" t="s">
        <v>46</v>
      </c>
      <c r="K186" t="s">
        <v>63</v>
      </c>
      <c r="L186">
        <v>1</v>
      </c>
      <c r="N186">
        <v>1</v>
      </c>
      <c r="O186" t="s">
        <v>103</v>
      </c>
      <c r="S186" t="s">
        <v>48</v>
      </c>
      <c r="T186">
        <v>3</v>
      </c>
      <c r="V186">
        <v>1</v>
      </c>
      <c r="W186" t="s">
        <v>49</v>
      </c>
      <c r="AA186" t="s">
        <v>38</v>
      </c>
      <c r="AB186">
        <v>1</v>
      </c>
      <c r="AC186">
        <v>2</v>
      </c>
      <c r="AD186">
        <v>2</v>
      </c>
      <c r="AE186" t="s">
        <v>67</v>
      </c>
      <c r="AI186">
        <v>5</v>
      </c>
      <c r="AJ186">
        <v>28</v>
      </c>
    </row>
    <row r="187" spans="1:36" x14ac:dyDescent="0.25">
      <c r="A187" t="s">
        <v>412</v>
      </c>
      <c r="B187">
        <v>192</v>
      </c>
      <c r="C187" t="s">
        <v>48</v>
      </c>
      <c r="D187">
        <v>1</v>
      </c>
      <c r="F187">
        <v>1</v>
      </c>
      <c r="G187" t="s">
        <v>89</v>
      </c>
      <c r="K187" t="s">
        <v>38</v>
      </c>
      <c r="L187">
        <v>1</v>
      </c>
      <c r="M187">
        <v>1</v>
      </c>
      <c r="N187">
        <v>3</v>
      </c>
      <c r="O187" t="s">
        <v>67</v>
      </c>
      <c r="P187" t="s">
        <v>70</v>
      </c>
      <c r="S187" t="s">
        <v>43</v>
      </c>
      <c r="T187">
        <v>2</v>
      </c>
      <c r="V187">
        <v>1</v>
      </c>
      <c r="W187" t="s">
        <v>135</v>
      </c>
      <c r="X187" t="s">
        <v>74</v>
      </c>
      <c r="Y187" t="s">
        <v>75</v>
      </c>
      <c r="AA187" t="s">
        <v>45</v>
      </c>
      <c r="AB187">
        <v>2</v>
      </c>
      <c r="AD187">
        <v>1</v>
      </c>
      <c r="AE187" t="s">
        <v>47</v>
      </c>
      <c r="AI187">
        <v>7</v>
      </c>
      <c r="AJ187">
        <v>21</v>
      </c>
    </row>
    <row r="188" spans="1:36" x14ac:dyDescent="0.25">
      <c r="A188" t="s">
        <v>413</v>
      </c>
      <c r="B188">
        <v>193</v>
      </c>
      <c r="C188" t="s">
        <v>48</v>
      </c>
      <c r="D188">
        <v>1</v>
      </c>
      <c r="F188">
        <v>1</v>
      </c>
      <c r="G188" t="s">
        <v>49</v>
      </c>
      <c r="H188" t="s">
        <v>50</v>
      </c>
      <c r="K188" t="s">
        <v>38</v>
      </c>
      <c r="L188">
        <v>1</v>
      </c>
      <c r="M188">
        <v>1</v>
      </c>
      <c r="N188">
        <v>2</v>
      </c>
      <c r="O188" t="s">
        <v>67</v>
      </c>
      <c r="P188" t="s">
        <v>70</v>
      </c>
      <c r="S188" t="s">
        <v>43</v>
      </c>
      <c r="T188">
        <v>1</v>
      </c>
      <c r="V188">
        <v>1</v>
      </c>
      <c r="W188" t="s">
        <v>135</v>
      </c>
      <c r="AA188" t="s">
        <v>63</v>
      </c>
      <c r="AB188">
        <v>1</v>
      </c>
      <c r="AD188">
        <v>1</v>
      </c>
      <c r="AE188" t="s">
        <v>103</v>
      </c>
      <c r="AF188" t="s">
        <v>91</v>
      </c>
      <c r="AI188">
        <v>4</v>
      </c>
      <c r="AJ188">
        <v>23</v>
      </c>
    </row>
    <row r="189" spans="1:36" x14ac:dyDescent="0.25">
      <c r="A189" t="s">
        <v>414</v>
      </c>
      <c r="B189">
        <v>194</v>
      </c>
      <c r="C189" t="s">
        <v>48</v>
      </c>
      <c r="D189">
        <v>1</v>
      </c>
      <c r="F189">
        <v>1</v>
      </c>
      <c r="G189" t="s">
        <v>49</v>
      </c>
      <c r="H189" t="s">
        <v>50</v>
      </c>
      <c r="I189" t="s">
        <v>127</v>
      </c>
      <c r="K189" t="s">
        <v>38</v>
      </c>
      <c r="L189">
        <v>1</v>
      </c>
      <c r="M189">
        <v>1</v>
      </c>
      <c r="N189">
        <v>2</v>
      </c>
      <c r="O189" t="s">
        <v>152</v>
      </c>
      <c r="S189" t="s">
        <v>45</v>
      </c>
      <c r="T189">
        <v>2</v>
      </c>
      <c r="V189">
        <v>1</v>
      </c>
      <c r="W189" t="s">
        <v>47</v>
      </c>
      <c r="AA189" t="s">
        <v>63</v>
      </c>
      <c r="AB189">
        <v>1</v>
      </c>
      <c r="AD189">
        <v>1</v>
      </c>
      <c r="AE189" t="s">
        <v>103</v>
      </c>
      <c r="AF189" t="s">
        <v>91</v>
      </c>
      <c r="AG189" t="s">
        <v>147</v>
      </c>
      <c r="AI189">
        <v>6</v>
      </c>
      <c r="AJ189">
        <v>19</v>
      </c>
    </row>
    <row r="190" spans="1:36" x14ac:dyDescent="0.25">
      <c r="A190" t="s">
        <v>415</v>
      </c>
      <c r="B190">
        <v>195</v>
      </c>
      <c r="C190" t="s">
        <v>45</v>
      </c>
      <c r="D190">
        <v>2</v>
      </c>
      <c r="F190">
        <v>1</v>
      </c>
      <c r="G190" t="s">
        <v>140</v>
      </c>
      <c r="H190" t="s">
        <v>141</v>
      </c>
      <c r="K190" t="s">
        <v>63</v>
      </c>
      <c r="L190">
        <v>1</v>
      </c>
      <c r="N190">
        <v>1</v>
      </c>
      <c r="O190" t="s">
        <v>145</v>
      </c>
      <c r="P190" t="s">
        <v>91</v>
      </c>
      <c r="Q190" t="s">
        <v>147</v>
      </c>
      <c r="S190" t="s">
        <v>33</v>
      </c>
      <c r="T190">
        <v>2</v>
      </c>
      <c r="V190">
        <v>1</v>
      </c>
      <c r="W190" t="s">
        <v>46</v>
      </c>
      <c r="AA190" t="s">
        <v>43</v>
      </c>
      <c r="AB190">
        <v>1</v>
      </c>
      <c r="AD190">
        <v>1</v>
      </c>
      <c r="AE190" t="s">
        <v>135</v>
      </c>
      <c r="AI190">
        <v>5</v>
      </c>
      <c r="AJ190">
        <v>21</v>
      </c>
    </row>
    <row r="191" spans="1:36" x14ac:dyDescent="0.25">
      <c r="A191" t="s">
        <v>416</v>
      </c>
      <c r="B191">
        <v>196</v>
      </c>
      <c r="C191" t="s">
        <v>33</v>
      </c>
      <c r="D191">
        <v>1</v>
      </c>
      <c r="F191">
        <v>3</v>
      </c>
      <c r="G191" t="s">
        <v>46</v>
      </c>
      <c r="H191" t="s">
        <v>66</v>
      </c>
      <c r="K191" t="s">
        <v>43</v>
      </c>
      <c r="L191">
        <v>1</v>
      </c>
      <c r="N191">
        <v>1</v>
      </c>
      <c r="O191" t="s">
        <v>135</v>
      </c>
      <c r="S191" t="s">
        <v>45</v>
      </c>
      <c r="T191">
        <v>1</v>
      </c>
      <c r="V191">
        <v>1</v>
      </c>
      <c r="W191" t="s">
        <v>140</v>
      </c>
      <c r="AA191" t="s">
        <v>38</v>
      </c>
      <c r="AB191">
        <v>1</v>
      </c>
      <c r="AC191">
        <v>1</v>
      </c>
      <c r="AD191">
        <v>2</v>
      </c>
      <c r="AE191" t="s">
        <v>67</v>
      </c>
      <c r="AI191">
        <v>4</v>
      </c>
      <c r="AJ191">
        <v>27</v>
      </c>
    </row>
    <row r="192" spans="1:36" x14ac:dyDescent="0.25">
      <c r="A192" t="s">
        <v>417</v>
      </c>
      <c r="B192">
        <v>197</v>
      </c>
      <c r="C192" t="s">
        <v>63</v>
      </c>
      <c r="D192">
        <v>1</v>
      </c>
      <c r="F192">
        <v>1</v>
      </c>
      <c r="G192" t="s">
        <v>145</v>
      </c>
      <c r="K192" t="s">
        <v>38</v>
      </c>
      <c r="L192">
        <v>1</v>
      </c>
      <c r="M192">
        <v>1</v>
      </c>
      <c r="N192">
        <v>2</v>
      </c>
      <c r="O192" t="s">
        <v>67</v>
      </c>
      <c r="P192" t="s">
        <v>70</v>
      </c>
      <c r="S192" t="s">
        <v>33</v>
      </c>
      <c r="T192">
        <v>1</v>
      </c>
      <c r="V192">
        <v>1</v>
      </c>
      <c r="W192" t="s">
        <v>46</v>
      </c>
      <c r="AA192" t="s">
        <v>43</v>
      </c>
      <c r="AB192">
        <v>2</v>
      </c>
      <c r="AD192">
        <v>1</v>
      </c>
      <c r="AE192" t="s">
        <v>135</v>
      </c>
      <c r="AI192">
        <v>3</v>
      </c>
      <c r="AJ192">
        <v>29</v>
      </c>
    </row>
    <row r="193" spans="1:36" x14ac:dyDescent="0.25">
      <c r="A193" t="s">
        <v>418</v>
      </c>
      <c r="B193">
        <v>198</v>
      </c>
      <c r="C193" t="s">
        <v>33</v>
      </c>
      <c r="D193">
        <v>2</v>
      </c>
      <c r="F193">
        <v>1</v>
      </c>
      <c r="G193" t="s">
        <v>46</v>
      </c>
      <c r="K193" t="s">
        <v>45</v>
      </c>
      <c r="L193">
        <v>2</v>
      </c>
      <c r="N193">
        <v>1</v>
      </c>
      <c r="O193" t="s">
        <v>47</v>
      </c>
      <c r="S193" t="s">
        <v>43</v>
      </c>
      <c r="T193">
        <v>1</v>
      </c>
      <c r="V193">
        <v>1</v>
      </c>
      <c r="W193" t="s">
        <v>135</v>
      </c>
      <c r="AA193" t="s">
        <v>63</v>
      </c>
      <c r="AB193">
        <v>1</v>
      </c>
      <c r="AD193">
        <v>1</v>
      </c>
      <c r="AE193" t="s">
        <v>72</v>
      </c>
      <c r="AI193">
        <v>2</v>
      </c>
      <c r="AJ193">
        <v>20</v>
      </c>
    </row>
    <row r="194" spans="1:36" x14ac:dyDescent="0.25">
      <c r="A194" t="s">
        <v>419</v>
      </c>
      <c r="B194">
        <v>199</v>
      </c>
      <c r="C194" t="s">
        <v>33</v>
      </c>
      <c r="D194">
        <v>2</v>
      </c>
      <c r="F194">
        <v>3</v>
      </c>
      <c r="G194" t="s">
        <v>46</v>
      </c>
      <c r="K194" t="s">
        <v>45</v>
      </c>
      <c r="L194">
        <v>2</v>
      </c>
      <c r="N194">
        <v>1</v>
      </c>
      <c r="O194" t="s">
        <v>140</v>
      </c>
      <c r="S194" t="s">
        <v>43</v>
      </c>
      <c r="T194">
        <v>2</v>
      </c>
      <c r="V194">
        <v>2</v>
      </c>
      <c r="W194" t="s">
        <v>135</v>
      </c>
      <c r="AA194" t="s">
        <v>38</v>
      </c>
      <c r="AB194">
        <v>3</v>
      </c>
      <c r="AC194">
        <v>1</v>
      </c>
      <c r="AD194">
        <v>2</v>
      </c>
      <c r="AE194" t="s">
        <v>67</v>
      </c>
      <c r="AI194">
        <v>9</v>
      </c>
      <c r="AJ194">
        <v>27</v>
      </c>
    </row>
    <row r="195" spans="1:36" x14ac:dyDescent="0.25">
      <c r="A195" t="s">
        <v>420</v>
      </c>
      <c r="B195">
        <v>200</v>
      </c>
      <c r="C195" t="s">
        <v>33</v>
      </c>
      <c r="D195">
        <v>1</v>
      </c>
      <c r="F195">
        <v>1</v>
      </c>
      <c r="G195" t="s">
        <v>46</v>
      </c>
      <c r="K195" t="s">
        <v>45</v>
      </c>
      <c r="L195">
        <v>2</v>
      </c>
      <c r="N195">
        <v>2</v>
      </c>
      <c r="O195" t="s">
        <v>47</v>
      </c>
      <c r="S195" t="s">
        <v>63</v>
      </c>
      <c r="T195">
        <v>2</v>
      </c>
      <c r="V195">
        <v>1</v>
      </c>
      <c r="W195" t="s">
        <v>72</v>
      </c>
      <c r="AA195" t="s">
        <v>38</v>
      </c>
      <c r="AB195">
        <v>2</v>
      </c>
      <c r="AC195">
        <v>1</v>
      </c>
      <c r="AD195">
        <v>3</v>
      </c>
      <c r="AE195" t="s">
        <v>67</v>
      </c>
      <c r="AI195">
        <v>6</v>
      </c>
      <c r="AJ195">
        <v>32</v>
      </c>
    </row>
    <row r="196" spans="1:36" x14ac:dyDescent="0.25">
      <c r="A196" t="s">
        <v>421</v>
      </c>
      <c r="B196">
        <v>201</v>
      </c>
      <c r="C196" t="s">
        <v>33</v>
      </c>
      <c r="D196">
        <v>1</v>
      </c>
      <c r="F196">
        <v>3</v>
      </c>
      <c r="G196" t="s">
        <v>46</v>
      </c>
      <c r="H196" t="s">
        <v>66</v>
      </c>
      <c r="K196" t="s">
        <v>63</v>
      </c>
      <c r="L196">
        <v>1</v>
      </c>
      <c r="N196">
        <v>2</v>
      </c>
      <c r="O196" t="s">
        <v>72</v>
      </c>
      <c r="P196" t="s">
        <v>95</v>
      </c>
      <c r="S196" t="s">
        <v>43</v>
      </c>
      <c r="T196">
        <v>1</v>
      </c>
      <c r="V196">
        <v>1</v>
      </c>
      <c r="W196" t="s">
        <v>135</v>
      </c>
      <c r="AA196" t="s">
        <v>45</v>
      </c>
      <c r="AB196">
        <v>2</v>
      </c>
      <c r="AD196">
        <v>1</v>
      </c>
      <c r="AE196" t="s">
        <v>47</v>
      </c>
      <c r="AI196">
        <v>6</v>
      </c>
      <c r="AJ196">
        <v>29</v>
      </c>
    </row>
    <row r="197" spans="1:36" x14ac:dyDescent="0.25">
      <c r="A197" t="s">
        <v>422</v>
      </c>
      <c r="B197">
        <v>202</v>
      </c>
      <c r="C197" t="s">
        <v>43</v>
      </c>
      <c r="D197">
        <v>3</v>
      </c>
      <c r="F197">
        <v>1</v>
      </c>
      <c r="G197" t="s">
        <v>135</v>
      </c>
      <c r="H197" t="s">
        <v>99</v>
      </c>
      <c r="K197" t="s">
        <v>38</v>
      </c>
      <c r="L197">
        <v>1</v>
      </c>
      <c r="M197">
        <v>1</v>
      </c>
      <c r="N197">
        <v>1</v>
      </c>
      <c r="O197" t="s">
        <v>152</v>
      </c>
      <c r="S197" t="s">
        <v>33</v>
      </c>
      <c r="T197">
        <v>1</v>
      </c>
      <c r="V197">
        <v>1</v>
      </c>
      <c r="W197" t="s">
        <v>46</v>
      </c>
      <c r="AA197" t="s">
        <v>63</v>
      </c>
      <c r="AB197">
        <v>1</v>
      </c>
      <c r="AD197">
        <v>1</v>
      </c>
      <c r="AE197" t="s">
        <v>72</v>
      </c>
      <c r="AI197">
        <v>3</v>
      </c>
      <c r="AJ197">
        <v>23</v>
      </c>
    </row>
    <row r="198" spans="1:36" x14ac:dyDescent="0.25">
      <c r="A198" t="s">
        <v>423</v>
      </c>
      <c r="B198">
        <v>203</v>
      </c>
      <c r="C198" t="s">
        <v>45</v>
      </c>
      <c r="D198">
        <v>2</v>
      </c>
      <c r="F198">
        <v>2</v>
      </c>
      <c r="G198" t="s">
        <v>47</v>
      </c>
      <c r="K198" t="s">
        <v>38</v>
      </c>
      <c r="L198">
        <v>1</v>
      </c>
      <c r="M198">
        <v>1</v>
      </c>
      <c r="N198">
        <v>2</v>
      </c>
      <c r="O198" t="s">
        <v>152</v>
      </c>
      <c r="S198" t="s">
        <v>33</v>
      </c>
      <c r="T198">
        <v>1</v>
      </c>
      <c r="V198">
        <v>2</v>
      </c>
      <c r="W198" t="s">
        <v>46</v>
      </c>
      <c r="AA198" t="s">
        <v>63</v>
      </c>
      <c r="AB198">
        <v>1</v>
      </c>
      <c r="AD198">
        <v>1</v>
      </c>
      <c r="AE198" t="s">
        <v>72</v>
      </c>
      <c r="AI198">
        <v>4</v>
      </c>
      <c r="AJ198">
        <v>23</v>
      </c>
    </row>
    <row r="199" spans="1:36" x14ac:dyDescent="0.25">
      <c r="A199" t="s">
        <v>424</v>
      </c>
      <c r="B199">
        <v>204</v>
      </c>
      <c r="C199" t="s">
        <v>33</v>
      </c>
      <c r="D199">
        <v>1</v>
      </c>
      <c r="F199">
        <v>3</v>
      </c>
      <c r="G199" t="s">
        <v>46</v>
      </c>
      <c r="K199" t="s">
        <v>38</v>
      </c>
      <c r="L199">
        <v>1</v>
      </c>
      <c r="M199">
        <v>1</v>
      </c>
      <c r="N199">
        <v>2</v>
      </c>
      <c r="O199" t="s">
        <v>67</v>
      </c>
      <c r="P199" t="s">
        <v>40</v>
      </c>
      <c r="S199" t="s">
        <v>43</v>
      </c>
      <c r="T199">
        <v>1</v>
      </c>
      <c r="V199">
        <v>1</v>
      </c>
      <c r="W199" t="s">
        <v>135</v>
      </c>
      <c r="AA199" t="s">
        <v>45</v>
      </c>
      <c r="AB199">
        <v>2</v>
      </c>
      <c r="AD199">
        <v>1</v>
      </c>
      <c r="AE199" t="s">
        <v>140</v>
      </c>
      <c r="AI199">
        <v>5</v>
      </c>
      <c r="AJ199">
        <v>19</v>
      </c>
    </row>
    <row r="200" spans="1:36" x14ac:dyDescent="0.25">
      <c r="A200" t="s">
        <v>425</v>
      </c>
      <c r="B200">
        <v>205</v>
      </c>
      <c r="C200" t="s">
        <v>33</v>
      </c>
      <c r="D200">
        <v>2</v>
      </c>
      <c r="F200">
        <v>3</v>
      </c>
      <c r="G200" t="s">
        <v>46</v>
      </c>
      <c r="H200" t="s">
        <v>66</v>
      </c>
      <c r="I200" t="s">
        <v>36</v>
      </c>
      <c r="K200" t="s">
        <v>38</v>
      </c>
      <c r="L200">
        <v>1</v>
      </c>
      <c r="M200">
        <v>1</v>
      </c>
      <c r="N200">
        <v>1</v>
      </c>
      <c r="O200" t="s">
        <v>67</v>
      </c>
      <c r="P200" t="s">
        <v>70</v>
      </c>
      <c r="S200" t="s">
        <v>43</v>
      </c>
      <c r="T200">
        <v>1</v>
      </c>
      <c r="V200">
        <v>1</v>
      </c>
      <c r="W200" t="s">
        <v>135</v>
      </c>
      <c r="X200" t="s">
        <v>136</v>
      </c>
      <c r="Y200" t="s">
        <v>137</v>
      </c>
      <c r="AA200" t="s">
        <v>63</v>
      </c>
      <c r="AB200">
        <v>3</v>
      </c>
      <c r="AD200">
        <v>2</v>
      </c>
      <c r="AE200" t="s">
        <v>72</v>
      </c>
      <c r="AF200" t="s">
        <v>95</v>
      </c>
      <c r="AG200" t="s">
        <v>104</v>
      </c>
      <c r="AH200" t="s">
        <v>151</v>
      </c>
      <c r="AI200">
        <v>14</v>
      </c>
      <c r="AJ200">
        <v>33</v>
      </c>
    </row>
    <row r="201" spans="1:36" x14ac:dyDescent="0.25">
      <c r="A201" t="s">
        <v>426</v>
      </c>
      <c r="B201">
        <v>206</v>
      </c>
      <c r="C201" t="s">
        <v>45</v>
      </c>
      <c r="D201">
        <v>3</v>
      </c>
      <c r="F201">
        <v>1</v>
      </c>
      <c r="G201" t="s">
        <v>47</v>
      </c>
      <c r="K201" t="s">
        <v>63</v>
      </c>
      <c r="L201">
        <v>1</v>
      </c>
      <c r="N201">
        <v>1</v>
      </c>
      <c r="O201" t="s">
        <v>72</v>
      </c>
      <c r="S201" t="s">
        <v>33</v>
      </c>
      <c r="T201">
        <v>1</v>
      </c>
      <c r="V201">
        <v>2</v>
      </c>
      <c r="W201" t="s">
        <v>46</v>
      </c>
      <c r="AA201" t="s">
        <v>38</v>
      </c>
      <c r="AB201">
        <v>1</v>
      </c>
      <c r="AC201">
        <v>1</v>
      </c>
      <c r="AD201">
        <v>1</v>
      </c>
      <c r="AE201" t="s">
        <v>67</v>
      </c>
      <c r="AI201">
        <v>3</v>
      </c>
      <c r="AJ201">
        <v>21</v>
      </c>
    </row>
    <row r="202" spans="1:36" x14ac:dyDescent="0.25">
      <c r="A202" t="s">
        <v>427</v>
      </c>
      <c r="B202">
        <v>207</v>
      </c>
      <c r="C202" t="s">
        <v>63</v>
      </c>
      <c r="D202">
        <v>1</v>
      </c>
      <c r="F202">
        <v>1</v>
      </c>
      <c r="G202" t="s">
        <v>72</v>
      </c>
      <c r="K202" t="s">
        <v>38</v>
      </c>
      <c r="L202">
        <v>1</v>
      </c>
      <c r="M202">
        <v>1</v>
      </c>
      <c r="N202">
        <v>3</v>
      </c>
      <c r="O202" t="s">
        <v>67</v>
      </c>
      <c r="P202" t="s">
        <v>70</v>
      </c>
      <c r="S202" t="s">
        <v>43</v>
      </c>
      <c r="T202">
        <v>2</v>
      </c>
      <c r="V202">
        <v>1</v>
      </c>
      <c r="W202" t="s">
        <v>135</v>
      </c>
      <c r="X202" t="s">
        <v>74</v>
      </c>
      <c r="AA202" t="s">
        <v>45</v>
      </c>
      <c r="AB202">
        <v>1</v>
      </c>
      <c r="AD202">
        <v>1</v>
      </c>
      <c r="AE202" t="s">
        <v>47</v>
      </c>
      <c r="AI202">
        <v>5</v>
      </c>
      <c r="AJ202">
        <v>25</v>
      </c>
    </row>
    <row r="203" spans="1:36" x14ac:dyDescent="0.25">
      <c r="A203" t="s">
        <v>428</v>
      </c>
      <c r="B203">
        <v>208</v>
      </c>
      <c r="C203" t="s">
        <v>45</v>
      </c>
      <c r="D203">
        <v>2</v>
      </c>
      <c r="F203">
        <v>1</v>
      </c>
      <c r="G203" t="s">
        <v>47</v>
      </c>
      <c r="K203" t="s">
        <v>38</v>
      </c>
      <c r="L203">
        <v>1</v>
      </c>
      <c r="M203">
        <v>1</v>
      </c>
      <c r="N203">
        <v>1</v>
      </c>
      <c r="O203" t="s">
        <v>152</v>
      </c>
      <c r="P203" t="s">
        <v>70</v>
      </c>
      <c r="S203" t="s">
        <v>43</v>
      </c>
      <c r="T203">
        <v>1</v>
      </c>
      <c r="V203">
        <v>2</v>
      </c>
      <c r="W203" t="s">
        <v>135</v>
      </c>
      <c r="AA203" t="s">
        <v>63</v>
      </c>
      <c r="AB203">
        <v>1</v>
      </c>
      <c r="AD203">
        <v>1</v>
      </c>
      <c r="AE203" t="s">
        <v>72</v>
      </c>
      <c r="AI203">
        <v>3</v>
      </c>
      <c r="AJ203">
        <v>32</v>
      </c>
    </row>
    <row r="204" spans="1:36" x14ac:dyDescent="0.25">
      <c r="A204" t="s">
        <v>429</v>
      </c>
      <c r="B204">
        <v>209</v>
      </c>
      <c r="C204" t="s">
        <v>45</v>
      </c>
      <c r="D204">
        <v>2</v>
      </c>
      <c r="F204">
        <v>1</v>
      </c>
      <c r="G204" t="s">
        <v>47</v>
      </c>
      <c r="K204" t="s">
        <v>63</v>
      </c>
      <c r="L204">
        <v>1</v>
      </c>
      <c r="N204">
        <v>2</v>
      </c>
      <c r="O204" t="s">
        <v>72</v>
      </c>
      <c r="P204" t="s">
        <v>95</v>
      </c>
      <c r="Q204" t="s">
        <v>147</v>
      </c>
      <c r="R204" t="s">
        <v>151</v>
      </c>
      <c r="S204" t="s">
        <v>43</v>
      </c>
      <c r="T204">
        <v>1</v>
      </c>
      <c r="V204">
        <v>3</v>
      </c>
      <c r="W204" t="s">
        <v>135</v>
      </c>
      <c r="X204" t="s">
        <v>136</v>
      </c>
      <c r="AA204" t="s">
        <v>38</v>
      </c>
      <c r="AB204">
        <v>1</v>
      </c>
      <c r="AC204">
        <v>1</v>
      </c>
      <c r="AD204">
        <v>2</v>
      </c>
      <c r="AE204" t="s">
        <v>67</v>
      </c>
      <c r="AF204" t="s">
        <v>96</v>
      </c>
      <c r="AG204" t="s">
        <v>154</v>
      </c>
      <c r="AI204">
        <v>11</v>
      </c>
      <c r="AJ204">
        <v>39</v>
      </c>
    </row>
    <row r="205" spans="1:36" x14ac:dyDescent="0.25">
      <c r="A205" s="36" t="s">
        <v>995</v>
      </c>
      <c r="B205">
        <v>35</v>
      </c>
      <c r="C205" t="s">
        <v>48</v>
      </c>
      <c r="D205">
        <v>2</v>
      </c>
      <c r="F205">
        <v>1</v>
      </c>
      <c r="G205" t="s">
        <v>49</v>
      </c>
      <c r="K205" t="s">
        <v>43</v>
      </c>
      <c r="L205">
        <v>3</v>
      </c>
      <c r="N205">
        <v>2</v>
      </c>
      <c r="O205" t="s">
        <v>135</v>
      </c>
      <c r="P205" t="s">
        <v>136</v>
      </c>
      <c r="S205" t="s">
        <v>53</v>
      </c>
      <c r="T205">
        <v>2</v>
      </c>
      <c r="U205">
        <v>1</v>
      </c>
      <c r="V205">
        <v>1</v>
      </c>
      <c r="W205" t="s">
        <v>111</v>
      </c>
      <c r="X205" t="s">
        <v>113</v>
      </c>
      <c r="AA205" t="s">
        <v>33</v>
      </c>
      <c r="AB205">
        <v>3</v>
      </c>
      <c r="AD205">
        <v>3</v>
      </c>
      <c r="AE205" t="s">
        <v>46</v>
      </c>
      <c r="AI205">
        <v>11</v>
      </c>
      <c r="AJ205">
        <v>36</v>
      </c>
    </row>
    <row r="206" spans="1:36" x14ac:dyDescent="0.25">
      <c r="A206" s="36" t="s">
        <v>996</v>
      </c>
      <c r="B206">
        <v>37</v>
      </c>
      <c r="C206" t="s">
        <v>48</v>
      </c>
      <c r="D206">
        <v>2</v>
      </c>
      <c r="F206">
        <v>2</v>
      </c>
      <c r="G206" t="s">
        <v>49</v>
      </c>
      <c r="H206" t="s">
        <v>50</v>
      </c>
      <c r="I206" t="s">
        <v>127</v>
      </c>
      <c r="J206" t="s">
        <v>129</v>
      </c>
      <c r="K206" t="s">
        <v>63</v>
      </c>
      <c r="L206">
        <v>1</v>
      </c>
      <c r="N206">
        <v>1</v>
      </c>
      <c r="O206" t="s">
        <v>103</v>
      </c>
      <c r="P206" t="s">
        <v>95</v>
      </c>
      <c r="S206" t="s">
        <v>53</v>
      </c>
      <c r="T206">
        <v>1</v>
      </c>
      <c r="U206">
        <v>1</v>
      </c>
      <c r="V206">
        <v>1</v>
      </c>
      <c r="W206" t="s">
        <v>54</v>
      </c>
      <c r="X206" t="s">
        <v>83</v>
      </c>
      <c r="Y206" t="s">
        <v>114</v>
      </c>
      <c r="AA206" t="s">
        <v>33</v>
      </c>
      <c r="AB206">
        <v>3</v>
      </c>
      <c r="AD206">
        <v>2</v>
      </c>
      <c r="AE206" t="s">
        <v>46</v>
      </c>
      <c r="AF206" t="s">
        <v>35</v>
      </c>
      <c r="AI206">
        <v>12</v>
      </c>
      <c r="AJ206">
        <v>34</v>
      </c>
    </row>
    <row r="207" spans="1:36" x14ac:dyDescent="0.25">
      <c r="A207" s="36" t="s">
        <v>997</v>
      </c>
      <c r="B207">
        <v>38</v>
      </c>
      <c r="C207" t="s">
        <v>48</v>
      </c>
      <c r="D207">
        <v>1</v>
      </c>
      <c r="F207">
        <v>1</v>
      </c>
      <c r="G207" t="s">
        <v>49</v>
      </c>
      <c r="K207" t="s">
        <v>38</v>
      </c>
      <c r="L207">
        <v>1</v>
      </c>
      <c r="M207">
        <v>1</v>
      </c>
      <c r="N207">
        <v>2</v>
      </c>
      <c r="O207" t="s">
        <v>152</v>
      </c>
      <c r="P207" t="s">
        <v>70</v>
      </c>
      <c r="S207" t="s">
        <v>53</v>
      </c>
      <c r="T207">
        <v>1</v>
      </c>
      <c r="U207">
        <v>1</v>
      </c>
      <c r="V207">
        <v>1</v>
      </c>
      <c r="W207" t="s">
        <v>111</v>
      </c>
      <c r="AA207" t="s">
        <v>33</v>
      </c>
      <c r="AB207">
        <v>1</v>
      </c>
      <c r="AD207">
        <v>1</v>
      </c>
      <c r="AE207" t="s">
        <v>46</v>
      </c>
      <c r="AI207">
        <v>2</v>
      </c>
      <c r="AJ207">
        <v>36</v>
      </c>
    </row>
    <row r="208" spans="1:36" x14ac:dyDescent="0.25">
      <c r="A208" s="36" t="s">
        <v>998</v>
      </c>
      <c r="B208">
        <v>39</v>
      </c>
      <c r="C208" t="s">
        <v>43</v>
      </c>
      <c r="D208">
        <v>2</v>
      </c>
      <c r="F208">
        <v>1</v>
      </c>
      <c r="G208" t="s">
        <v>135</v>
      </c>
      <c r="H208" t="s">
        <v>99</v>
      </c>
      <c r="I208" t="s">
        <v>75</v>
      </c>
      <c r="K208" t="s">
        <v>45</v>
      </c>
      <c r="L208">
        <v>2</v>
      </c>
      <c r="N208">
        <v>1</v>
      </c>
      <c r="O208" t="s">
        <v>47</v>
      </c>
      <c r="S208" t="s">
        <v>53</v>
      </c>
      <c r="T208">
        <v>1</v>
      </c>
      <c r="U208">
        <v>2</v>
      </c>
      <c r="V208">
        <v>2</v>
      </c>
      <c r="W208" t="s">
        <v>54</v>
      </c>
      <c r="X208" t="s">
        <v>83</v>
      </c>
      <c r="Y208" t="s">
        <v>105</v>
      </c>
      <c r="AA208" t="s">
        <v>33</v>
      </c>
      <c r="AB208">
        <v>1</v>
      </c>
      <c r="AD208">
        <v>2</v>
      </c>
      <c r="AE208" t="s">
        <v>46</v>
      </c>
      <c r="AI208">
        <v>9</v>
      </c>
      <c r="AJ208">
        <v>45</v>
      </c>
    </row>
    <row r="209" spans="1:36" x14ac:dyDescent="0.25">
      <c r="A209" s="36" t="s">
        <v>999</v>
      </c>
      <c r="B209">
        <v>40</v>
      </c>
      <c r="C209" t="s">
        <v>53</v>
      </c>
      <c r="D209">
        <v>1</v>
      </c>
      <c r="E209">
        <v>1</v>
      </c>
      <c r="F209">
        <v>1</v>
      </c>
      <c r="G209" t="s">
        <v>111</v>
      </c>
      <c r="H209" t="s">
        <v>113</v>
      </c>
      <c r="K209" t="s">
        <v>33</v>
      </c>
      <c r="L209">
        <v>3</v>
      </c>
      <c r="N209">
        <v>2</v>
      </c>
      <c r="O209" t="s">
        <v>46</v>
      </c>
      <c r="P209" t="s">
        <v>130</v>
      </c>
      <c r="Q209" t="s">
        <v>132</v>
      </c>
      <c r="R209" t="s">
        <v>134</v>
      </c>
      <c r="S209" t="s">
        <v>43</v>
      </c>
      <c r="T209">
        <v>2</v>
      </c>
      <c r="V209">
        <v>1</v>
      </c>
      <c r="W209" t="s">
        <v>135</v>
      </c>
      <c r="X209" t="s">
        <v>99</v>
      </c>
      <c r="Y209" t="s">
        <v>137</v>
      </c>
      <c r="AA209" t="s">
        <v>63</v>
      </c>
      <c r="AB209">
        <v>3</v>
      </c>
      <c r="AD209">
        <v>2</v>
      </c>
      <c r="AE209" t="s">
        <v>103</v>
      </c>
      <c r="AF209" t="s">
        <v>95</v>
      </c>
      <c r="AG209" t="s">
        <v>147</v>
      </c>
      <c r="AI209">
        <v>15</v>
      </c>
      <c r="AJ209">
        <v>54</v>
      </c>
    </row>
    <row r="210" spans="1:36" x14ac:dyDescent="0.25">
      <c r="A210" s="36" t="s">
        <v>1000</v>
      </c>
      <c r="B210">
        <v>42</v>
      </c>
      <c r="C210" t="s">
        <v>45</v>
      </c>
      <c r="D210">
        <v>2</v>
      </c>
      <c r="F210">
        <v>1</v>
      </c>
      <c r="G210" t="s">
        <v>86</v>
      </c>
      <c r="K210" t="s">
        <v>63</v>
      </c>
      <c r="L210">
        <v>1</v>
      </c>
      <c r="N210">
        <v>1</v>
      </c>
      <c r="O210" t="s">
        <v>103</v>
      </c>
      <c r="P210" t="s">
        <v>95</v>
      </c>
      <c r="S210" t="s">
        <v>53</v>
      </c>
      <c r="T210">
        <v>1</v>
      </c>
      <c r="U210">
        <v>1</v>
      </c>
      <c r="V210">
        <v>1</v>
      </c>
      <c r="W210" t="s">
        <v>54</v>
      </c>
      <c r="AA210" t="s">
        <v>33</v>
      </c>
      <c r="AB210">
        <v>1</v>
      </c>
      <c r="AD210">
        <v>1</v>
      </c>
      <c r="AE210" t="s">
        <v>46</v>
      </c>
      <c r="AI210">
        <v>2</v>
      </c>
      <c r="AJ210">
        <v>22</v>
      </c>
    </row>
    <row r="211" spans="1:36" x14ac:dyDescent="0.25">
      <c r="A211" s="36" t="s">
        <v>1001</v>
      </c>
      <c r="B211">
        <v>43</v>
      </c>
      <c r="C211" t="s">
        <v>45</v>
      </c>
      <c r="D211">
        <v>3</v>
      </c>
      <c r="F211">
        <v>1</v>
      </c>
      <c r="G211" t="s">
        <v>47</v>
      </c>
      <c r="H211" t="s">
        <v>141</v>
      </c>
      <c r="K211" t="s">
        <v>38</v>
      </c>
      <c r="L211">
        <v>1</v>
      </c>
      <c r="M211">
        <v>1</v>
      </c>
      <c r="N211">
        <v>2</v>
      </c>
      <c r="O211" t="s">
        <v>152</v>
      </c>
      <c r="S211" t="s">
        <v>53</v>
      </c>
      <c r="T211">
        <v>2</v>
      </c>
      <c r="U211">
        <v>1</v>
      </c>
      <c r="V211">
        <v>1</v>
      </c>
      <c r="W211" t="s">
        <v>54</v>
      </c>
      <c r="X211" t="s">
        <v>83</v>
      </c>
      <c r="Y211" t="s">
        <v>97</v>
      </c>
      <c r="AA211" t="s">
        <v>33</v>
      </c>
      <c r="AB211">
        <v>1</v>
      </c>
      <c r="AD211">
        <v>1</v>
      </c>
      <c r="AE211" t="s">
        <v>46</v>
      </c>
      <c r="AI211">
        <v>7</v>
      </c>
      <c r="AJ211">
        <v>20</v>
      </c>
    </row>
  </sheetData>
  <phoneticPr fontId="3" type="noConversion"/>
  <conditionalFormatting sqref="B1:B1048576">
    <cfRule type="duplicateValues" dxfId="13" priority="1"/>
  </conditionalFormatting>
  <conditionalFormatting sqref="A2:B211">
    <cfRule type="duplicateValues" dxfId="12" priority="779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L20" sqref="L20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0.5703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7" t="s">
        <v>78</v>
      </c>
      <c r="B1" s="38"/>
      <c r="C1" s="38"/>
      <c r="D1" s="38"/>
      <c r="E1" s="38"/>
      <c r="F1" s="38"/>
      <c r="G1" s="38"/>
      <c r="H1" s="38"/>
      <c r="I1" s="39"/>
      <c r="K1" s="37" t="s">
        <v>82</v>
      </c>
      <c r="L1" s="38"/>
      <c r="M1" s="38"/>
      <c r="N1" s="39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6</v>
      </c>
      <c r="N3" s="3">
        <f>IF(ScenarioTeams4[[#This Row],[battles]],ScenarioTeams4[[#This Row],[wins]]/ScenarioTeams4[[#This Row],[battles]],0)</f>
        <v>0.17142857142857143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8</v>
      </c>
      <c r="N4" s="3">
        <f>IF(ScenarioTeams4[[#This Row],[battles]],ScenarioTeams4[[#This Row],[wins]]/ScenarioTeams4[[#This Row],[battles]],0)</f>
        <v>0.22857142857142856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1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2</v>
      </c>
      <c r="N5" s="3">
        <f>IF(ScenarioTeams4[[#This Row],[battles]],ScenarioTeams4[[#This Row],[wins]]/ScenarioTeams4[[#This Row],[battles]],0)</f>
        <v>5.7142857142857141E-2</v>
      </c>
      <c r="P5" s="4" t="s">
        <v>158</v>
      </c>
      <c r="Q5" s="30">
        <f>MIN(Scenario4[turns])</f>
        <v>19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">
        <f>ScenarioStat4[[#This Row],[team-1-win]]+ScenarioStat4[[#This Row],[team-2-win]]+ScenarioStat4[[#This Row],[team-3-win]]+ScenarioStat4[[#This Row],[team-4-win]]</f>
        <v>1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13</v>
      </c>
      <c r="N6" s="3">
        <f>IF(ScenarioTeams4[[#This Row],[battles]],ScenarioTeams4[[#This Row],[wins]]/ScenarioTeams4[[#This Row],[battles]],0)</f>
        <v>0.37142857142857144</v>
      </c>
      <c r="P6" s="5" t="s">
        <v>108</v>
      </c>
      <c r="Q6" s="31">
        <f>AVERAGE(Scenario4[turns])</f>
        <v>43.885714285714286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7">
        <f>ScenarioStat4[[#This Row],[team-1-win]]+ScenarioStat4[[#This Row],[team-2-win]]+ScenarioStat4[[#This Row],[team-3-win]]+ScenarioStat4[[#This Row],[team-4-win]]</f>
        <v>1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7</v>
      </c>
      <c r="N7" s="3">
        <f>IF(ScenarioTeams4[[#This Row],[battles]],ScenarioTeams4[[#This Row],[wins]]/ScenarioTeams4[[#This Row],[battles]],0)</f>
        <v>0.2</v>
      </c>
      <c r="P7" s="5" t="s">
        <v>160</v>
      </c>
      <c r="Q7" s="31">
        <f>MAX(Scenario4[turns])</f>
        <v>78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">
        <f>ScenarioStat4[[#This Row],[team-1-win]]+ScenarioStat4[[#This Row],[team-2-win]]+ScenarioStat4[[#This Row],[team-3-win]]+ScenarioStat4[[#This Row],[team-4-win]]</f>
        <v>1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7</v>
      </c>
      <c r="N8" s="3">
        <f>IF(ScenarioTeams4[[#This Row],[battles]],ScenarioTeams4[[#This Row],[wins]]/ScenarioTeams4[[#This Row],[battles]],0)</f>
        <v>0.2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">
        <f>ScenarioStat4[[#This Row],[team-1-win]]+ScenarioStat4[[#This Row],[team-2-win]]+ScenarioStat4[[#This Row],[team-3-win]]+ScenarioStat4[[#This Row],[team-4-win]]</f>
        <v>1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13</v>
      </c>
      <c r="N9" s="3">
        <f>IF(ScenarioTeams4[[#This Row],[battles]],ScenarioTeams4[[#This Row],[wins]]/ScenarioTeams4[[#This Row],[battles]],0)</f>
        <v>0.37142857142857144</v>
      </c>
      <c r="P9" s="4" t="s">
        <v>185</v>
      </c>
      <c r="Q9" s="30">
        <f>120000*$Q$6/1000/60</f>
        <v>87.771428571428572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1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14</v>
      </c>
      <c r="N10" s="3">
        <f>IF(ScenarioTeams4[[#This Row],[battles]],ScenarioTeams4[[#This Row],[wins]]/ScenarioTeams4[[#This Row],[battles]],0)</f>
        <v>0.4</v>
      </c>
      <c r="P10" s="5" t="s">
        <v>186</v>
      </c>
      <c r="Q10" s="6">
        <f>Q9*COUNTA(ScenarioStat4[hero-1])/60/24*2</f>
        <v>8.5333333333333332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1">
        <f>ScenarioStat4[[#This Row],[team-1-win]]+ScenarioStat4[[#This Row],[team-2-win]]+ScenarioStat4[[#This Row],[team-3-win]]+ScenarioStat4[[#This Row],[team-4-win]]</f>
        <v>1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2">
        <f>ScenarioStat4[[#This Row],[team-1-win]]+ScenarioStat4[[#This Row],[team-2-win]]+ScenarioStat4[[#This Row],[team-3-win]]+ScenarioStat4[[#This Row],[team-4-win]]</f>
        <v>1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1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4">
        <f>ScenarioStat4[[#This Row],[team-1-win]]+ScenarioStat4[[#This Row],[team-2-win]]+ScenarioStat4[[#This Row],[team-3-win]]+ScenarioStat4[[#This Row],[team-4-win]]</f>
        <v>1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5">
        <f>ScenarioStat4[[#This Row],[team-1-win]]+ScenarioStat4[[#This Row],[team-2-win]]+ScenarioStat4[[#This Row],[team-3-win]]+ScenarioStat4[[#This Row],[team-4-win]]</f>
        <v>1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1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7">
        <f>ScenarioStat4[[#This Row],[team-1-win]]+ScenarioStat4[[#This Row],[team-2-win]]+ScenarioStat4[[#This Row],[team-3-win]]+ScenarioStat4[[#This Row],[team-4-win]]</f>
        <v>1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48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8">
        <f>ScenarioStat4[[#This Row],[team-1-win]]+ScenarioStat4[[#This Row],[team-2-win]]+ScenarioStat4[[#This Row],[team-3-win]]+ScenarioStat4[[#This Row],[team-4-win]]</f>
        <v>1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9">
        <f>ScenarioStat4[[#This Row],[team-1-win]]+ScenarioStat4[[#This Row],[team-2-win]]+ScenarioStat4[[#This Row],[team-3-win]]+ScenarioStat4[[#This Row],[team-4-win]]</f>
        <v>1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48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>
        <f>ScenarioStat4[[#This Row],[team-1-win]]+ScenarioStat4[[#This Row],[team-2-win]]+ScenarioStat4[[#This Row],[team-3-win]]+ScenarioStat4[[#This Row],[team-4-win]]</f>
        <v>1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1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2" t="s">
        <v>48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1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48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>
        <f>ScenarioStat4[[#This Row],[team-1-win]]+ScenarioStat4[[#This Row],[team-2-win]]+ScenarioStat4[[#This Row],[team-3-win]]+ScenarioStat4[[#This Row],[team-4-win]]</f>
        <v>1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4">
        <f>ScenarioStat4[[#This Row],[team-1-win]]+ScenarioStat4[[#This Row],[team-2-win]]+ScenarioStat4[[#This Row],[team-3-win]]+ScenarioStat4[[#This Row],[team-4-win]]</f>
        <v>1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1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1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>
        <f>ScenarioStat4[[#This Row],[team-1-win]]+ScenarioStat4[[#This Row],[team-2-win]]+ScenarioStat4[[#This Row],[team-3-win]]+ScenarioStat4[[#This Row],[team-4-win]]</f>
        <v>1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33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>
        <f>ScenarioStat4[[#This Row],[team-1-win]]+ScenarioStat4[[#This Row],[team-2-win]]+ScenarioStat4[[#This Row],[team-3-win]]+ScenarioStat4[[#This Row],[team-4-win]]</f>
        <v>1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33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9">
        <f>ScenarioStat4[[#This Row],[team-1-win]]+ScenarioStat4[[#This Row],[team-2-win]]+ScenarioStat4[[#This Row],[team-3-win]]+ScenarioStat4[[#This Row],[team-4-win]]</f>
        <v>1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0">
        <f>ScenarioStat4[[#This Row],[team-1-win]]+ScenarioStat4[[#This Row],[team-2-win]]+ScenarioStat4[[#This Row],[team-3-win]]+ScenarioStat4[[#This Row],[team-4-win]]</f>
        <v>1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33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1">
        <f>ScenarioStat4[[#This Row],[team-1-win]]+ScenarioStat4[[#This Row],[team-2-win]]+ScenarioStat4[[#This Row],[team-3-win]]+ScenarioStat4[[#This Row],[team-4-win]]</f>
        <v>1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33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2">
        <f>ScenarioStat4[[#This Row],[team-1-win]]+ScenarioStat4[[#This Row],[team-2-win]]+ScenarioStat4[[#This Row],[team-3-win]]+ScenarioStat4[[#This Row],[team-4-win]]</f>
        <v>1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3">
        <f>ScenarioStat4[[#This Row],[team-1-win]]+ScenarioStat4[[#This Row],[team-2-win]]+ScenarioStat4[[#This Row],[team-3-win]]+ScenarioStat4[[#This Row],[team-4-win]]</f>
        <v>1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4" t="s">
        <v>43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4">
        <f>ScenarioStat4[[#This Row],[team-1-win]]+ScenarioStat4[[#This Row],[team-2-win]]+ScenarioStat4[[#This Row],[team-3-win]]+ScenarioStat4[[#This Row],[team-4-win]]</f>
        <v>1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5" t="s">
        <v>43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>
        <f>ScenarioStat4[[#This Row],[team-1-win]]+ScenarioStat4[[#This Row],[team-2-win]]+ScenarioStat4[[#This Row],[team-3-win]]+ScenarioStat4[[#This Row],[team-4-win]]</f>
        <v>1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43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6">
        <f>ScenarioStat4[[#This Row],[team-1-win]]+ScenarioStat4[[#This Row],[team-2-win]]+ScenarioStat4[[#This Row],[team-3-win]]+ScenarioStat4[[#This Row],[team-4-win]]</f>
        <v>1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7" t="s">
        <v>45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>
        <f>ScenarioStat4[[#This Row],[team-1-win]]+ScenarioStat4[[#This Row],[team-2-win]]+ScenarioStat4[[#This Row],[team-3-win]]+ScenarioStat4[[#This Row],[team-4-win]]</f>
        <v>1</v>
      </c>
    </row>
    <row r="38" spans="1:9" x14ac:dyDescent="0.25">
      <c r="A38" t="s">
        <v>56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>
        <f>ScenarioStat4[[#This Row],[team-1-win]]+ScenarioStat4[[#This Row],[team-2-win]]+ScenarioStat4[[#This Row],[team-3-win]]+ScenarioStat4[[#This Row],[team-4-win]]</f>
        <v>1</v>
      </c>
    </row>
    <row r="39" spans="1:9" x14ac:dyDescent="0.25">
      <c r="A39" t="s">
        <v>56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9" t="s">
        <v>48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9">
        <f>ScenarioStat4[[#This Row],[team-1-win]]+ScenarioStat4[[#This Row],[team-2-win]]+ScenarioStat4[[#This Row],[team-3-win]]+ScenarioStat4[[#This Row],[team-4-win]]</f>
        <v>1</v>
      </c>
    </row>
    <row r="40" spans="1:9" x14ac:dyDescent="0.25">
      <c r="A40" t="s">
        <v>56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48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0">
        <f>ScenarioStat4[[#This Row],[team-1-win]]+ScenarioStat4[[#This Row],[team-2-win]]+ScenarioStat4[[#This Row],[team-3-win]]+ScenarioStat4[[#This Row],[team-4-win]]</f>
        <v>1</v>
      </c>
    </row>
    <row r="41" spans="1:9" x14ac:dyDescent="0.25">
      <c r="A41" t="s">
        <v>56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48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>
        <f>ScenarioStat4[[#This Row],[team-1-win]]+ScenarioStat4[[#This Row],[team-2-win]]+ScenarioStat4[[#This Row],[team-3-win]]+ScenarioStat4[[#This Row],[team-4-win]]</f>
        <v>1</v>
      </c>
    </row>
    <row r="42" spans="1:9" x14ac:dyDescent="0.25">
      <c r="A42" t="s">
        <v>56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2" t="s">
        <v>48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1</v>
      </c>
    </row>
    <row r="43" spans="1:9" x14ac:dyDescent="0.25">
      <c r="A43" t="s">
        <v>56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48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3">
        <f>ScenarioStat4[[#This Row],[team-1-win]]+ScenarioStat4[[#This Row],[team-2-win]]+ScenarioStat4[[#This Row],[team-3-win]]+ScenarioStat4[[#This Row],[team-4-win]]</f>
        <v>1</v>
      </c>
    </row>
    <row r="44" spans="1:9" x14ac:dyDescent="0.25">
      <c r="A44" t="s">
        <v>56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4" t="s">
        <v>48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4">
        <f>ScenarioStat4[[#This Row],[team-1-win]]+ScenarioStat4[[#This Row],[team-2-win]]+ScenarioStat4[[#This Row],[team-3-win]]+ScenarioStat4[[#This Row],[team-4-win]]</f>
        <v>1</v>
      </c>
    </row>
    <row r="45" spans="1:9" x14ac:dyDescent="0.25">
      <c r="A45" t="s">
        <v>56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48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>
        <f>ScenarioStat4[[#This Row],[team-1-win]]+ScenarioStat4[[#This Row],[team-2-win]]+ScenarioStat4[[#This Row],[team-3-win]]+ScenarioStat4[[#This Row],[team-4-win]]</f>
        <v>1</v>
      </c>
    </row>
    <row r="46" spans="1:9" x14ac:dyDescent="0.25">
      <c r="A46" t="s">
        <v>56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6" t="s">
        <v>48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1</v>
      </c>
    </row>
    <row r="47" spans="1:9" x14ac:dyDescent="0.25">
      <c r="A47" t="s">
        <v>56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48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>
        <f>ScenarioStat4[[#This Row],[team-1-win]]+ScenarioStat4[[#This Row],[team-2-win]]+ScenarioStat4[[#This Row],[team-3-win]]+ScenarioStat4[[#This Row],[team-4-win]]</f>
        <v>1</v>
      </c>
    </row>
    <row r="48" spans="1:9" x14ac:dyDescent="0.25">
      <c r="A48" t="s">
        <v>56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8">
        <f>ScenarioStat4[[#This Row],[team-1-win]]+ScenarioStat4[[#This Row],[team-2-win]]+ScenarioStat4[[#This Row],[team-3-win]]+ScenarioStat4[[#This Row],[team-4-win]]</f>
        <v>1</v>
      </c>
    </row>
    <row r="49" spans="1:9" x14ac:dyDescent="0.25">
      <c r="A49" t="s">
        <v>56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9" t="s">
        <v>33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1</v>
      </c>
    </row>
    <row r="50" spans="1:9" x14ac:dyDescent="0.25">
      <c r="A50" t="s">
        <v>56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0">
        <f>ScenarioStat4[[#This Row],[team-1-win]]+ScenarioStat4[[#This Row],[team-2-win]]+ScenarioStat4[[#This Row],[team-3-win]]+ScenarioStat4[[#This Row],[team-4-win]]</f>
        <v>1</v>
      </c>
    </row>
    <row r="51" spans="1:9" x14ac:dyDescent="0.25">
      <c r="A51" t="s">
        <v>56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1" t="s">
        <v>33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1">
        <f>ScenarioStat4[[#This Row],[team-1-win]]+ScenarioStat4[[#This Row],[team-2-win]]+ScenarioStat4[[#This Row],[team-3-win]]+ScenarioStat4[[#This Row],[team-4-win]]</f>
        <v>1</v>
      </c>
    </row>
    <row r="52" spans="1:9" x14ac:dyDescent="0.25">
      <c r="A52" t="s">
        <v>56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2" t="s">
        <v>33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2">
        <f>ScenarioStat4[[#This Row],[team-1-win]]+ScenarioStat4[[#This Row],[team-2-win]]+ScenarioStat4[[#This Row],[team-3-win]]+ScenarioStat4[[#This Row],[team-4-win]]</f>
        <v>1</v>
      </c>
    </row>
    <row r="53" spans="1:9" x14ac:dyDescent="0.25">
      <c r="A53" t="s">
        <v>56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33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3">
        <f>ScenarioStat4[[#This Row],[team-1-win]]+ScenarioStat4[[#This Row],[team-2-win]]+ScenarioStat4[[#This Row],[team-3-win]]+ScenarioStat4[[#This Row],[team-4-win]]</f>
        <v>1</v>
      </c>
    </row>
    <row r="54" spans="1:9" x14ac:dyDescent="0.25">
      <c r="A54" t="s">
        <v>56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4">
        <f>ScenarioStat4[[#This Row],[team-1-win]]+ScenarioStat4[[#This Row],[team-2-win]]+ScenarioStat4[[#This Row],[team-3-win]]+ScenarioStat4[[#This Row],[team-4-win]]</f>
        <v>1</v>
      </c>
    </row>
    <row r="55" spans="1:9" x14ac:dyDescent="0.25">
      <c r="A55" t="s">
        <v>56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5" t="s">
        <v>43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5">
        <f>ScenarioStat4[[#This Row],[team-1-win]]+ScenarioStat4[[#This Row],[team-2-win]]+ScenarioStat4[[#This Row],[team-3-win]]+ScenarioStat4[[#This Row],[team-4-win]]</f>
        <v>1</v>
      </c>
    </row>
    <row r="56" spans="1:9" x14ac:dyDescent="0.25">
      <c r="A56" t="s">
        <v>56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43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1</v>
      </c>
    </row>
    <row r="57" spans="1:9" x14ac:dyDescent="0.25">
      <c r="A57" t="s">
        <v>56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>
        <f>ScenarioStat4[[#This Row],[team-1-win]]+ScenarioStat4[[#This Row],[team-2-win]]+ScenarioStat4[[#This Row],[team-3-win]]+ScenarioStat4[[#This Row],[team-4-win]]</f>
        <v>1</v>
      </c>
    </row>
    <row r="58" spans="1:9" x14ac:dyDescent="0.25">
      <c r="A58" t="s">
        <v>48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8">
        <f>ScenarioStat4[[#This Row],[team-1-win]]+ScenarioStat4[[#This Row],[team-2-win]]+ScenarioStat4[[#This Row],[team-3-win]]+ScenarioStat4[[#This Row],[team-4-win]]</f>
        <v>1</v>
      </c>
    </row>
    <row r="59" spans="1:9" x14ac:dyDescent="0.25">
      <c r="A59" t="s">
        <v>48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>
        <f>ScenarioStat4[[#This Row],[team-1-win]]+ScenarioStat4[[#This Row],[team-2-win]]+ScenarioStat4[[#This Row],[team-3-win]]+ScenarioStat4[[#This Row],[team-4-win]]</f>
        <v>1</v>
      </c>
    </row>
    <row r="60" spans="1:9" x14ac:dyDescent="0.25">
      <c r="A60" t="s">
        <v>48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0">
        <f>ScenarioStat4[[#This Row],[team-1-win]]+ScenarioStat4[[#This Row],[team-2-win]]+ScenarioStat4[[#This Row],[team-3-win]]+ScenarioStat4[[#This Row],[team-4-win]]</f>
        <v>1</v>
      </c>
    </row>
    <row r="61" spans="1:9" x14ac:dyDescent="0.25">
      <c r="A61" t="s">
        <v>48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1">
        <f>ScenarioStat4[[#This Row],[team-1-win]]+ScenarioStat4[[#This Row],[team-2-win]]+ScenarioStat4[[#This Row],[team-3-win]]+ScenarioStat4[[#This Row],[team-4-win]]</f>
        <v>1</v>
      </c>
    </row>
    <row r="62" spans="1:9" x14ac:dyDescent="0.25">
      <c r="A62" t="s">
        <v>48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2">
        <f>ScenarioStat4[[#This Row],[team-1-win]]+ScenarioStat4[[#This Row],[team-2-win]]+ScenarioStat4[[#This Row],[team-3-win]]+ScenarioStat4[[#This Row],[team-4-win]]</f>
        <v>1</v>
      </c>
    </row>
    <row r="63" spans="1:9" x14ac:dyDescent="0.25">
      <c r="A63" t="s">
        <v>48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3">
        <f>ScenarioStat4[[#This Row],[team-1-win]]+ScenarioStat4[[#This Row],[team-2-win]]+ScenarioStat4[[#This Row],[team-3-win]]+ScenarioStat4[[#This Row],[team-4-win]]</f>
        <v>1</v>
      </c>
    </row>
    <row r="64" spans="1:9" x14ac:dyDescent="0.25">
      <c r="A64" t="s">
        <v>48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>
        <f>ScenarioStat4[[#This Row],[team-1-win]]+ScenarioStat4[[#This Row],[team-2-win]]+ScenarioStat4[[#This Row],[team-3-win]]+ScenarioStat4[[#This Row],[team-4-win]]</f>
        <v>1</v>
      </c>
    </row>
    <row r="65" spans="1:9" x14ac:dyDescent="0.25">
      <c r="A65" t="s">
        <v>48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5" t="s">
        <v>43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1</v>
      </c>
    </row>
    <row r="66" spans="1:9" x14ac:dyDescent="0.25">
      <c r="A66" t="s">
        <v>48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>
        <f>ScenarioStat4[[#This Row],[team-1-win]]+ScenarioStat4[[#This Row],[team-2-win]]+ScenarioStat4[[#This Row],[team-3-win]]+ScenarioStat4[[#This Row],[team-4-win]]</f>
        <v>1</v>
      </c>
    </row>
    <row r="67" spans="1:9" x14ac:dyDescent="0.25">
      <c r="A67" t="s">
        <v>48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45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7">
        <f>ScenarioStat4[[#This Row],[team-1-win]]+ScenarioStat4[[#This Row],[team-2-win]]+ScenarioStat4[[#This Row],[team-3-win]]+ScenarioStat4[[#This Row],[team-4-win]]</f>
        <v>1</v>
      </c>
    </row>
    <row r="68" spans="1:9" x14ac:dyDescent="0.25">
      <c r="A68" t="s">
        <v>33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43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8">
        <f>ScenarioStat4[[#This Row],[team-1-win]]+ScenarioStat4[[#This Row],[team-2-win]]+ScenarioStat4[[#This Row],[team-3-win]]+ScenarioStat4[[#This Row],[team-4-win]]</f>
        <v>1</v>
      </c>
    </row>
    <row r="69" spans="1:9" x14ac:dyDescent="0.25">
      <c r="A69" t="s">
        <v>33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43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9">
        <f>ScenarioStat4[[#This Row],[team-1-win]]+ScenarioStat4[[#This Row],[team-2-win]]+ScenarioStat4[[#This Row],[team-3-win]]+ScenarioStat4[[#This Row],[team-4-win]]</f>
        <v>1</v>
      </c>
    </row>
    <row r="70" spans="1:9" x14ac:dyDescent="0.25">
      <c r="A70" t="s">
        <v>33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0" t="s">
        <v>43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>
        <f>ScenarioStat4[[#This Row],[team-1-win]]+ScenarioStat4[[#This Row],[team-2-win]]+ScenarioStat4[[#This Row],[team-3-win]]+ScenarioStat4[[#This Row],[team-4-win]]</f>
        <v>1</v>
      </c>
    </row>
    <row r="71" spans="1:9" x14ac:dyDescent="0.25">
      <c r="A71" t="s">
        <v>33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1" t="s">
        <v>45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1</v>
      </c>
    </row>
    <row r="72" spans="1:9" x14ac:dyDescent="0.25">
      <c r="A72" t="s">
        <v>43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2">
        <f>ScenarioStat4[[#This Row],[team-1-win]]+ScenarioStat4[[#This Row],[team-2-win]]+ScenarioStat4[[#This Row],[team-3-win]]+ScenarioStat4[[#This Row],[team-4-win]]</f>
        <v>1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workbookViewId="0">
      <selection activeCell="AL19" sqref="AL19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9.8554687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815</v>
      </c>
      <c r="B2">
        <v>0</v>
      </c>
      <c r="C2" t="s">
        <v>48</v>
      </c>
      <c r="D2">
        <v>1</v>
      </c>
      <c r="F2">
        <v>3</v>
      </c>
      <c r="G2" t="s">
        <v>49</v>
      </c>
      <c r="H2" t="s">
        <v>84</v>
      </c>
      <c r="I2" t="s">
        <v>127</v>
      </c>
      <c r="J2" t="s">
        <v>52</v>
      </c>
      <c r="K2" t="s">
        <v>33</v>
      </c>
      <c r="L2">
        <v>2</v>
      </c>
      <c r="N2">
        <v>1</v>
      </c>
      <c r="O2" t="s">
        <v>65</v>
      </c>
      <c r="P2" t="s">
        <v>130</v>
      </c>
      <c r="Q2" t="s">
        <v>36</v>
      </c>
      <c r="R2" t="s">
        <v>37</v>
      </c>
      <c r="S2" t="s">
        <v>53</v>
      </c>
      <c r="T2">
        <v>1</v>
      </c>
      <c r="U2">
        <v>2</v>
      </c>
      <c r="V2">
        <v>2</v>
      </c>
      <c r="W2" t="s">
        <v>112</v>
      </c>
      <c r="X2" t="s">
        <v>113</v>
      </c>
      <c r="AA2" t="s">
        <v>56</v>
      </c>
      <c r="AB2">
        <v>3</v>
      </c>
      <c r="AD2">
        <v>1</v>
      </c>
      <c r="AE2" t="s">
        <v>120</v>
      </c>
      <c r="AF2" t="s">
        <v>69</v>
      </c>
      <c r="AG2" t="s">
        <v>87</v>
      </c>
      <c r="AI2">
        <v>0</v>
      </c>
      <c r="AJ2">
        <v>20</v>
      </c>
    </row>
    <row r="3" spans="1:36" x14ac:dyDescent="0.25">
      <c r="A3" t="s">
        <v>816</v>
      </c>
      <c r="B3">
        <v>1</v>
      </c>
      <c r="C3" t="s">
        <v>53</v>
      </c>
      <c r="D3">
        <v>1</v>
      </c>
      <c r="E3">
        <v>2</v>
      </c>
      <c r="F3">
        <v>3</v>
      </c>
      <c r="G3" t="s">
        <v>112</v>
      </c>
      <c r="H3" t="s">
        <v>113</v>
      </c>
      <c r="I3" t="s">
        <v>114</v>
      </c>
      <c r="J3" t="s">
        <v>98</v>
      </c>
      <c r="K3" t="s">
        <v>56</v>
      </c>
      <c r="L3">
        <v>3</v>
      </c>
      <c r="N3">
        <v>1</v>
      </c>
      <c r="O3" t="s">
        <v>120</v>
      </c>
      <c r="P3" t="s">
        <v>121</v>
      </c>
      <c r="Q3" t="s">
        <v>123</v>
      </c>
      <c r="R3" t="s">
        <v>125</v>
      </c>
      <c r="S3" t="s">
        <v>48</v>
      </c>
      <c r="T3">
        <v>2</v>
      </c>
      <c r="V3">
        <v>1</v>
      </c>
      <c r="W3" t="s">
        <v>49</v>
      </c>
      <c r="X3" t="s">
        <v>84</v>
      </c>
      <c r="Y3" t="s">
        <v>127</v>
      </c>
      <c r="Z3" t="s">
        <v>52</v>
      </c>
      <c r="AA3" t="s">
        <v>43</v>
      </c>
      <c r="AB3">
        <v>1</v>
      </c>
      <c r="AD3">
        <v>1</v>
      </c>
      <c r="AE3" t="s">
        <v>73</v>
      </c>
      <c r="AF3" t="s">
        <v>99</v>
      </c>
      <c r="AG3" t="s">
        <v>75</v>
      </c>
      <c r="AH3" t="s">
        <v>101</v>
      </c>
      <c r="AI3">
        <v>0</v>
      </c>
      <c r="AJ3">
        <v>23</v>
      </c>
    </row>
    <row r="4" spans="1:36" x14ac:dyDescent="0.25">
      <c r="A4" t="s">
        <v>817</v>
      </c>
      <c r="B4">
        <v>5</v>
      </c>
      <c r="C4" t="s">
        <v>33</v>
      </c>
      <c r="D4">
        <v>1</v>
      </c>
      <c r="F4">
        <v>2</v>
      </c>
      <c r="G4" t="s">
        <v>65</v>
      </c>
      <c r="H4" t="s">
        <v>130</v>
      </c>
      <c r="I4" t="s">
        <v>36</v>
      </c>
      <c r="J4" t="s">
        <v>134</v>
      </c>
      <c r="K4" t="s">
        <v>43</v>
      </c>
      <c r="L4">
        <v>2</v>
      </c>
      <c r="N4">
        <v>1</v>
      </c>
      <c r="O4" t="s">
        <v>73</v>
      </c>
      <c r="P4" t="s">
        <v>99</v>
      </c>
      <c r="Q4" t="s">
        <v>75</v>
      </c>
      <c r="R4" t="s">
        <v>101</v>
      </c>
      <c r="S4" t="s">
        <v>53</v>
      </c>
      <c r="T4">
        <v>1</v>
      </c>
      <c r="U4">
        <v>1</v>
      </c>
      <c r="V4">
        <v>2</v>
      </c>
      <c r="W4" t="s">
        <v>112</v>
      </c>
      <c r="AA4" t="s">
        <v>56</v>
      </c>
      <c r="AB4">
        <v>2</v>
      </c>
      <c r="AD4">
        <v>3</v>
      </c>
      <c r="AE4" t="s">
        <v>120</v>
      </c>
      <c r="AI4">
        <v>0</v>
      </c>
      <c r="AJ4">
        <v>16</v>
      </c>
    </row>
    <row r="5" spans="1:36" x14ac:dyDescent="0.25">
      <c r="A5" t="s">
        <v>818</v>
      </c>
      <c r="B5">
        <v>6</v>
      </c>
      <c r="C5" t="s">
        <v>33</v>
      </c>
      <c r="D5">
        <v>3</v>
      </c>
      <c r="F5">
        <v>2</v>
      </c>
      <c r="G5" t="s">
        <v>65</v>
      </c>
      <c r="H5" t="s">
        <v>130</v>
      </c>
      <c r="I5" t="s">
        <v>36</v>
      </c>
      <c r="J5" t="s">
        <v>133</v>
      </c>
      <c r="K5" t="s">
        <v>45</v>
      </c>
      <c r="L5">
        <v>3</v>
      </c>
      <c r="N5">
        <v>3</v>
      </c>
      <c r="O5" t="s">
        <v>140</v>
      </c>
      <c r="P5" t="s">
        <v>76</v>
      </c>
      <c r="Q5" t="s">
        <v>93</v>
      </c>
      <c r="S5" t="s">
        <v>53</v>
      </c>
      <c r="T5">
        <v>1</v>
      </c>
      <c r="U5">
        <v>2</v>
      </c>
      <c r="V5">
        <v>1</v>
      </c>
      <c r="W5" t="s">
        <v>112</v>
      </c>
      <c r="AA5" t="s">
        <v>56</v>
      </c>
      <c r="AB5">
        <v>3</v>
      </c>
      <c r="AD5">
        <v>3</v>
      </c>
      <c r="AE5" t="s">
        <v>120</v>
      </c>
      <c r="AF5" t="s">
        <v>69</v>
      </c>
      <c r="AG5" t="s">
        <v>87</v>
      </c>
      <c r="AI5">
        <v>0</v>
      </c>
      <c r="AJ5">
        <v>24</v>
      </c>
    </row>
    <row r="6" spans="1:36" x14ac:dyDescent="0.25">
      <c r="A6" t="s">
        <v>819</v>
      </c>
      <c r="B6">
        <v>10</v>
      </c>
      <c r="C6" t="s">
        <v>43</v>
      </c>
      <c r="D6">
        <v>3</v>
      </c>
      <c r="F6">
        <v>1</v>
      </c>
      <c r="G6" t="s">
        <v>73</v>
      </c>
      <c r="H6" t="s">
        <v>99</v>
      </c>
      <c r="I6" t="s">
        <v>75</v>
      </c>
      <c r="J6" t="s">
        <v>101</v>
      </c>
      <c r="K6" t="s">
        <v>63</v>
      </c>
      <c r="L6">
        <v>3</v>
      </c>
      <c r="N6">
        <v>1</v>
      </c>
      <c r="O6" t="s">
        <v>103</v>
      </c>
      <c r="P6" t="s">
        <v>95</v>
      </c>
      <c r="Q6" t="s">
        <v>148</v>
      </c>
      <c r="S6" t="s">
        <v>53</v>
      </c>
      <c r="T6">
        <v>3</v>
      </c>
      <c r="U6">
        <v>2</v>
      </c>
      <c r="V6">
        <v>2</v>
      </c>
      <c r="W6" t="s">
        <v>112</v>
      </c>
      <c r="X6" t="s">
        <v>55</v>
      </c>
      <c r="AA6" t="s">
        <v>56</v>
      </c>
      <c r="AB6">
        <v>2</v>
      </c>
      <c r="AD6">
        <v>1</v>
      </c>
      <c r="AE6" t="s">
        <v>57</v>
      </c>
      <c r="AI6">
        <v>0</v>
      </c>
      <c r="AJ6">
        <v>20</v>
      </c>
    </row>
    <row r="7" spans="1:36" x14ac:dyDescent="0.25">
      <c r="A7" t="s">
        <v>820</v>
      </c>
      <c r="B7">
        <v>11</v>
      </c>
      <c r="C7" t="s">
        <v>43</v>
      </c>
      <c r="D7">
        <v>2</v>
      </c>
      <c r="F7">
        <v>2</v>
      </c>
      <c r="G7" t="s">
        <v>73</v>
      </c>
      <c r="H7" t="s">
        <v>99</v>
      </c>
      <c r="I7" t="s">
        <v>137</v>
      </c>
      <c r="J7" t="s">
        <v>101</v>
      </c>
      <c r="K7" t="s">
        <v>38</v>
      </c>
      <c r="L7">
        <v>3</v>
      </c>
      <c r="M7">
        <v>1</v>
      </c>
      <c r="N7">
        <v>1</v>
      </c>
      <c r="O7" t="s">
        <v>152</v>
      </c>
      <c r="P7" t="s">
        <v>40</v>
      </c>
      <c r="Q7" t="s">
        <v>41</v>
      </c>
      <c r="S7" t="s">
        <v>53</v>
      </c>
      <c r="T7">
        <v>1</v>
      </c>
      <c r="U7">
        <v>2</v>
      </c>
      <c r="V7">
        <v>2</v>
      </c>
      <c r="W7" t="s">
        <v>112</v>
      </c>
      <c r="X7" t="s">
        <v>55</v>
      </c>
      <c r="Y7" t="s">
        <v>105</v>
      </c>
      <c r="AA7" t="s">
        <v>56</v>
      </c>
      <c r="AB7">
        <v>1</v>
      </c>
      <c r="AD7">
        <v>1</v>
      </c>
      <c r="AE7" t="s">
        <v>120</v>
      </c>
      <c r="AF7" t="s">
        <v>121</v>
      </c>
      <c r="AI7">
        <v>0</v>
      </c>
      <c r="AJ7">
        <v>19</v>
      </c>
    </row>
    <row r="8" spans="1:36" x14ac:dyDescent="0.25">
      <c r="A8" t="s">
        <v>821</v>
      </c>
      <c r="B8">
        <v>16</v>
      </c>
      <c r="C8" t="s">
        <v>56</v>
      </c>
      <c r="D8">
        <v>3</v>
      </c>
      <c r="F8">
        <v>1</v>
      </c>
      <c r="G8" t="s">
        <v>57</v>
      </c>
      <c r="H8" t="s">
        <v>121</v>
      </c>
      <c r="I8" t="s">
        <v>123</v>
      </c>
      <c r="J8" t="s">
        <v>124</v>
      </c>
      <c r="K8" t="s">
        <v>43</v>
      </c>
      <c r="L8">
        <v>3</v>
      </c>
      <c r="N8">
        <v>1</v>
      </c>
      <c r="O8" t="s">
        <v>44</v>
      </c>
      <c r="P8" t="s">
        <v>99</v>
      </c>
      <c r="Q8" t="s">
        <v>75</v>
      </c>
      <c r="R8" t="s">
        <v>101</v>
      </c>
      <c r="S8" t="s">
        <v>53</v>
      </c>
      <c r="T8">
        <v>1</v>
      </c>
      <c r="U8">
        <v>2</v>
      </c>
      <c r="V8">
        <v>3</v>
      </c>
      <c r="W8" t="s">
        <v>112</v>
      </c>
      <c r="X8" t="s">
        <v>55</v>
      </c>
      <c r="Y8" t="s">
        <v>97</v>
      </c>
      <c r="AA8" t="s">
        <v>48</v>
      </c>
      <c r="AB8">
        <v>1</v>
      </c>
      <c r="AD8">
        <v>1</v>
      </c>
      <c r="AE8" t="s">
        <v>126</v>
      </c>
      <c r="AF8" t="s">
        <v>50</v>
      </c>
      <c r="AI8">
        <v>0</v>
      </c>
      <c r="AJ8">
        <v>21</v>
      </c>
    </row>
    <row r="9" spans="1:36" x14ac:dyDescent="0.25">
      <c r="A9" t="s">
        <v>822</v>
      </c>
      <c r="B9">
        <v>17</v>
      </c>
      <c r="C9" t="s">
        <v>53</v>
      </c>
      <c r="D9">
        <v>2</v>
      </c>
      <c r="E9">
        <v>1</v>
      </c>
      <c r="F9">
        <v>1</v>
      </c>
      <c r="G9" t="s">
        <v>112</v>
      </c>
      <c r="H9" t="s">
        <v>55</v>
      </c>
      <c r="I9" t="s">
        <v>97</v>
      </c>
      <c r="J9" t="s">
        <v>116</v>
      </c>
      <c r="K9" t="s">
        <v>48</v>
      </c>
      <c r="L9">
        <v>2</v>
      </c>
      <c r="N9">
        <v>1</v>
      </c>
      <c r="O9" t="s">
        <v>89</v>
      </c>
      <c r="P9" t="s">
        <v>50</v>
      </c>
      <c r="Q9" t="s">
        <v>127</v>
      </c>
      <c r="R9" t="s">
        <v>129</v>
      </c>
      <c r="S9" t="s">
        <v>56</v>
      </c>
      <c r="T9">
        <v>2</v>
      </c>
      <c r="V9">
        <v>1</v>
      </c>
      <c r="W9" t="s">
        <v>120</v>
      </c>
      <c r="X9" t="s">
        <v>121</v>
      </c>
      <c r="Y9" t="s">
        <v>123</v>
      </c>
      <c r="Z9" t="s">
        <v>88</v>
      </c>
      <c r="AA9" t="s">
        <v>45</v>
      </c>
      <c r="AB9">
        <v>3</v>
      </c>
      <c r="AD9">
        <v>1</v>
      </c>
      <c r="AE9" t="s">
        <v>86</v>
      </c>
      <c r="AI9">
        <v>0</v>
      </c>
      <c r="AJ9">
        <v>19</v>
      </c>
    </row>
    <row r="10" spans="1:36" x14ac:dyDescent="0.25">
      <c r="A10" t="s">
        <v>823</v>
      </c>
      <c r="B10">
        <v>18</v>
      </c>
      <c r="C10" t="s">
        <v>53</v>
      </c>
      <c r="D10">
        <v>3</v>
      </c>
      <c r="E10">
        <v>2</v>
      </c>
      <c r="F10">
        <v>3</v>
      </c>
      <c r="G10" t="s">
        <v>112</v>
      </c>
      <c r="H10" t="s">
        <v>55</v>
      </c>
      <c r="I10" t="s">
        <v>105</v>
      </c>
      <c r="J10" t="s">
        <v>116</v>
      </c>
      <c r="K10" t="s">
        <v>48</v>
      </c>
      <c r="L10">
        <v>3</v>
      </c>
      <c r="N10">
        <v>1</v>
      </c>
      <c r="O10" t="s">
        <v>49</v>
      </c>
      <c r="P10" t="s">
        <v>50</v>
      </c>
      <c r="Q10" t="s">
        <v>51</v>
      </c>
      <c r="R10" t="s">
        <v>129</v>
      </c>
      <c r="S10" t="s">
        <v>56</v>
      </c>
      <c r="T10">
        <v>3</v>
      </c>
      <c r="V10">
        <v>3</v>
      </c>
      <c r="W10" t="s">
        <v>120</v>
      </c>
      <c r="X10" t="s">
        <v>69</v>
      </c>
      <c r="Y10" t="s">
        <v>87</v>
      </c>
      <c r="Z10" t="s">
        <v>125</v>
      </c>
      <c r="AA10" t="s">
        <v>63</v>
      </c>
      <c r="AB10">
        <v>2</v>
      </c>
      <c r="AD10">
        <v>1</v>
      </c>
      <c r="AE10" t="s">
        <v>103</v>
      </c>
      <c r="AF10" t="s">
        <v>95</v>
      </c>
      <c r="AG10" t="s">
        <v>147</v>
      </c>
      <c r="AH10" t="s">
        <v>151</v>
      </c>
      <c r="AI10">
        <v>0</v>
      </c>
      <c r="AJ10">
        <v>30</v>
      </c>
    </row>
    <row r="11" spans="1:36" x14ac:dyDescent="0.25">
      <c r="A11" t="s">
        <v>824</v>
      </c>
      <c r="B11">
        <v>19</v>
      </c>
      <c r="C11" t="s">
        <v>56</v>
      </c>
      <c r="D11">
        <v>2</v>
      </c>
      <c r="F11">
        <v>2</v>
      </c>
      <c r="G11" t="s">
        <v>120</v>
      </c>
      <c r="H11" t="s">
        <v>121</v>
      </c>
      <c r="I11" t="s">
        <v>123</v>
      </c>
      <c r="J11" t="s">
        <v>125</v>
      </c>
      <c r="K11" t="s">
        <v>38</v>
      </c>
      <c r="L11">
        <v>3</v>
      </c>
      <c r="M11">
        <v>3</v>
      </c>
      <c r="N11">
        <v>2</v>
      </c>
      <c r="O11" t="s">
        <v>39</v>
      </c>
      <c r="P11" t="s">
        <v>40</v>
      </c>
      <c r="S11" t="s">
        <v>53</v>
      </c>
      <c r="T11">
        <v>2</v>
      </c>
      <c r="U11">
        <v>1</v>
      </c>
      <c r="V11">
        <v>1</v>
      </c>
      <c r="W11" t="s">
        <v>112</v>
      </c>
      <c r="X11" t="s">
        <v>83</v>
      </c>
      <c r="Y11" t="s">
        <v>105</v>
      </c>
      <c r="Z11" t="s">
        <v>115</v>
      </c>
      <c r="AA11" t="s">
        <v>48</v>
      </c>
      <c r="AB11">
        <v>2</v>
      </c>
      <c r="AD11">
        <v>2</v>
      </c>
      <c r="AE11" t="s">
        <v>89</v>
      </c>
      <c r="AF11" t="s">
        <v>50</v>
      </c>
      <c r="AG11" t="s">
        <v>127</v>
      </c>
      <c r="AH11" t="s">
        <v>129</v>
      </c>
      <c r="AI11">
        <v>0</v>
      </c>
      <c r="AJ11">
        <v>24</v>
      </c>
    </row>
    <row r="12" spans="1:36" x14ac:dyDescent="0.25">
      <c r="A12" t="s">
        <v>825</v>
      </c>
      <c r="B12">
        <v>22</v>
      </c>
      <c r="C12" t="s">
        <v>53</v>
      </c>
      <c r="D12">
        <v>2</v>
      </c>
      <c r="E12">
        <v>1</v>
      </c>
      <c r="F12">
        <v>1</v>
      </c>
      <c r="G12" t="s">
        <v>112</v>
      </c>
      <c r="H12" t="s">
        <v>113</v>
      </c>
      <c r="I12" t="s">
        <v>114</v>
      </c>
      <c r="J12" t="s">
        <v>116</v>
      </c>
      <c r="K12" t="s">
        <v>48</v>
      </c>
      <c r="L12">
        <v>3</v>
      </c>
      <c r="N12">
        <v>2</v>
      </c>
      <c r="O12" t="s">
        <v>89</v>
      </c>
      <c r="P12" t="s">
        <v>71</v>
      </c>
      <c r="Q12" t="s">
        <v>51</v>
      </c>
      <c r="R12" t="s">
        <v>128</v>
      </c>
      <c r="S12" t="s">
        <v>33</v>
      </c>
      <c r="T12">
        <v>3</v>
      </c>
      <c r="V12">
        <v>3</v>
      </c>
      <c r="W12" t="s">
        <v>65</v>
      </c>
      <c r="X12" t="s">
        <v>35</v>
      </c>
      <c r="Y12" t="s">
        <v>36</v>
      </c>
      <c r="AA12" t="s">
        <v>63</v>
      </c>
      <c r="AB12">
        <v>1</v>
      </c>
      <c r="AD12">
        <v>1</v>
      </c>
      <c r="AE12" t="s">
        <v>145</v>
      </c>
      <c r="AF12" t="s">
        <v>95</v>
      </c>
      <c r="AG12" t="s">
        <v>148</v>
      </c>
      <c r="AI12">
        <v>0</v>
      </c>
      <c r="AJ12">
        <v>22</v>
      </c>
    </row>
    <row r="13" spans="1:36" x14ac:dyDescent="0.25">
      <c r="A13" t="s">
        <v>826</v>
      </c>
      <c r="B13">
        <v>23</v>
      </c>
      <c r="C13" t="s">
        <v>33</v>
      </c>
      <c r="D13">
        <v>2</v>
      </c>
      <c r="F13">
        <v>1</v>
      </c>
      <c r="G13" t="s">
        <v>34</v>
      </c>
      <c r="H13" t="s">
        <v>66</v>
      </c>
      <c r="K13" t="s">
        <v>38</v>
      </c>
      <c r="L13">
        <v>1</v>
      </c>
      <c r="M13">
        <v>3</v>
      </c>
      <c r="N13">
        <v>1</v>
      </c>
      <c r="O13" t="s">
        <v>152</v>
      </c>
      <c r="P13" t="s">
        <v>96</v>
      </c>
      <c r="Q13" t="s">
        <v>41</v>
      </c>
      <c r="S13" t="s">
        <v>53</v>
      </c>
      <c r="T13">
        <v>2</v>
      </c>
      <c r="U13">
        <v>1</v>
      </c>
      <c r="V13">
        <v>1</v>
      </c>
      <c r="W13" t="s">
        <v>111</v>
      </c>
      <c r="X13" t="s">
        <v>83</v>
      </c>
      <c r="Y13" t="s">
        <v>105</v>
      </c>
      <c r="Z13" t="s">
        <v>98</v>
      </c>
      <c r="AA13" t="s">
        <v>48</v>
      </c>
      <c r="AB13">
        <v>1</v>
      </c>
      <c r="AD13">
        <v>1</v>
      </c>
      <c r="AE13" t="s">
        <v>89</v>
      </c>
      <c r="AI13">
        <v>0</v>
      </c>
      <c r="AJ13">
        <v>15</v>
      </c>
    </row>
    <row r="14" spans="1:36" x14ac:dyDescent="0.25">
      <c r="A14" t="s">
        <v>827</v>
      </c>
      <c r="B14">
        <v>24</v>
      </c>
      <c r="C14" t="s">
        <v>53</v>
      </c>
      <c r="D14">
        <v>3</v>
      </c>
      <c r="E14">
        <v>3</v>
      </c>
      <c r="F14">
        <v>3</v>
      </c>
      <c r="G14" t="s">
        <v>112</v>
      </c>
      <c r="H14" t="s">
        <v>55</v>
      </c>
      <c r="I14" t="s">
        <v>105</v>
      </c>
      <c r="J14" t="s">
        <v>98</v>
      </c>
      <c r="K14" t="s">
        <v>48</v>
      </c>
      <c r="L14">
        <v>1</v>
      </c>
      <c r="N14">
        <v>2</v>
      </c>
      <c r="O14" t="s">
        <v>126</v>
      </c>
      <c r="S14" t="s">
        <v>43</v>
      </c>
      <c r="T14">
        <v>3</v>
      </c>
      <c r="V14">
        <v>1</v>
      </c>
      <c r="W14" t="s">
        <v>44</v>
      </c>
      <c r="X14" t="s">
        <v>99</v>
      </c>
      <c r="Y14" t="s">
        <v>75</v>
      </c>
      <c r="Z14" t="s">
        <v>101</v>
      </c>
      <c r="AA14" t="s">
        <v>45</v>
      </c>
      <c r="AB14">
        <v>3</v>
      </c>
      <c r="AD14">
        <v>3</v>
      </c>
      <c r="AE14" t="s">
        <v>47</v>
      </c>
      <c r="AF14" t="s">
        <v>76</v>
      </c>
      <c r="AG14" t="s">
        <v>93</v>
      </c>
      <c r="AH14" t="s">
        <v>94</v>
      </c>
      <c r="AI14">
        <v>0</v>
      </c>
      <c r="AJ14">
        <v>28</v>
      </c>
    </row>
    <row r="15" spans="1:36" x14ac:dyDescent="0.25">
      <c r="A15" t="s">
        <v>828</v>
      </c>
      <c r="B15">
        <v>25</v>
      </c>
      <c r="C15" t="s">
        <v>53</v>
      </c>
      <c r="D15">
        <v>1</v>
      </c>
      <c r="E15">
        <v>1</v>
      </c>
      <c r="F15">
        <v>2</v>
      </c>
      <c r="G15" t="s">
        <v>112</v>
      </c>
      <c r="H15" t="s">
        <v>113</v>
      </c>
      <c r="I15" t="s">
        <v>114</v>
      </c>
      <c r="J15" t="s">
        <v>98</v>
      </c>
      <c r="K15" t="s">
        <v>48</v>
      </c>
      <c r="L15">
        <v>2</v>
      </c>
      <c r="N15">
        <v>1</v>
      </c>
      <c r="O15" t="s">
        <v>89</v>
      </c>
      <c r="P15" t="s">
        <v>71</v>
      </c>
      <c r="Q15" t="s">
        <v>127</v>
      </c>
      <c r="R15" t="s">
        <v>128</v>
      </c>
      <c r="S15" t="s">
        <v>43</v>
      </c>
      <c r="T15">
        <v>2</v>
      </c>
      <c r="V15">
        <v>1</v>
      </c>
      <c r="W15" t="s">
        <v>44</v>
      </c>
      <c r="X15" t="s">
        <v>74</v>
      </c>
      <c r="AA15" t="s">
        <v>63</v>
      </c>
      <c r="AB15">
        <v>2</v>
      </c>
      <c r="AD15">
        <v>1</v>
      </c>
      <c r="AE15" t="s">
        <v>103</v>
      </c>
      <c r="AF15" t="s">
        <v>95</v>
      </c>
      <c r="AG15" t="s">
        <v>147</v>
      </c>
      <c r="AI15">
        <v>0</v>
      </c>
      <c r="AJ15">
        <v>17</v>
      </c>
    </row>
    <row r="16" spans="1:36" x14ac:dyDescent="0.25">
      <c r="A16" t="s">
        <v>829</v>
      </c>
      <c r="B16">
        <v>26</v>
      </c>
      <c r="C16" t="s">
        <v>53</v>
      </c>
      <c r="D16">
        <v>2</v>
      </c>
      <c r="E16">
        <v>1</v>
      </c>
      <c r="F16">
        <v>3</v>
      </c>
      <c r="G16" t="s">
        <v>112</v>
      </c>
      <c r="H16" t="s">
        <v>55</v>
      </c>
      <c r="I16" t="s">
        <v>114</v>
      </c>
      <c r="J16" t="s">
        <v>115</v>
      </c>
      <c r="K16" t="s">
        <v>48</v>
      </c>
      <c r="L16">
        <v>2</v>
      </c>
      <c r="N16">
        <v>1</v>
      </c>
      <c r="O16" t="s">
        <v>89</v>
      </c>
      <c r="P16" t="s">
        <v>50</v>
      </c>
      <c r="Q16" t="s">
        <v>51</v>
      </c>
      <c r="S16" t="s">
        <v>43</v>
      </c>
      <c r="T16">
        <v>2</v>
      </c>
      <c r="V16">
        <v>1</v>
      </c>
      <c r="W16" t="s">
        <v>44</v>
      </c>
      <c r="X16" t="s">
        <v>136</v>
      </c>
      <c r="AA16" t="s">
        <v>38</v>
      </c>
      <c r="AB16">
        <v>3</v>
      </c>
      <c r="AC16">
        <v>2</v>
      </c>
      <c r="AD16">
        <v>2</v>
      </c>
      <c r="AE16" t="s">
        <v>152</v>
      </c>
      <c r="AF16" t="s">
        <v>40</v>
      </c>
      <c r="AI16">
        <v>0</v>
      </c>
      <c r="AJ16">
        <v>21</v>
      </c>
    </row>
    <row r="17" spans="1:36" x14ac:dyDescent="0.25">
      <c r="A17" t="s">
        <v>830</v>
      </c>
      <c r="B17">
        <v>27</v>
      </c>
      <c r="C17" t="s">
        <v>53</v>
      </c>
      <c r="D17">
        <v>2</v>
      </c>
      <c r="E17">
        <v>2</v>
      </c>
      <c r="F17">
        <v>3</v>
      </c>
      <c r="G17" t="s">
        <v>111</v>
      </c>
      <c r="H17" t="s">
        <v>83</v>
      </c>
      <c r="I17" t="s">
        <v>97</v>
      </c>
      <c r="J17" t="s">
        <v>116</v>
      </c>
      <c r="K17" t="s">
        <v>48</v>
      </c>
      <c r="L17">
        <v>2</v>
      </c>
      <c r="N17">
        <v>1</v>
      </c>
      <c r="O17" t="s">
        <v>89</v>
      </c>
      <c r="P17" t="s">
        <v>50</v>
      </c>
      <c r="Q17" t="s">
        <v>127</v>
      </c>
      <c r="R17" t="s">
        <v>129</v>
      </c>
      <c r="S17" t="s">
        <v>45</v>
      </c>
      <c r="T17">
        <v>3</v>
      </c>
      <c r="V17">
        <v>3</v>
      </c>
      <c r="W17" t="s">
        <v>86</v>
      </c>
      <c r="X17" t="s">
        <v>76</v>
      </c>
      <c r="Y17" t="s">
        <v>93</v>
      </c>
      <c r="Z17" t="s">
        <v>94</v>
      </c>
      <c r="AA17" t="s">
        <v>63</v>
      </c>
      <c r="AB17">
        <v>1</v>
      </c>
      <c r="AD17">
        <v>1</v>
      </c>
      <c r="AE17" t="s">
        <v>72</v>
      </c>
      <c r="AF17" t="s">
        <v>95</v>
      </c>
      <c r="AI17">
        <v>0</v>
      </c>
      <c r="AJ17">
        <v>25</v>
      </c>
    </row>
    <row r="18" spans="1:36" x14ac:dyDescent="0.25">
      <c r="A18" t="s">
        <v>831</v>
      </c>
      <c r="B18">
        <v>31</v>
      </c>
      <c r="C18" t="s">
        <v>53</v>
      </c>
      <c r="D18">
        <v>1</v>
      </c>
      <c r="E18">
        <v>1</v>
      </c>
      <c r="F18">
        <v>2</v>
      </c>
      <c r="G18" t="s">
        <v>112</v>
      </c>
      <c r="H18" t="s">
        <v>113</v>
      </c>
      <c r="I18" t="s">
        <v>114</v>
      </c>
      <c r="J18" t="s">
        <v>116</v>
      </c>
      <c r="K18" t="s">
        <v>33</v>
      </c>
      <c r="L18">
        <v>2</v>
      </c>
      <c r="N18">
        <v>2</v>
      </c>
      <c r="O18" t="s">
        <v>65</v>
      </c>
      <c r="P18" t="s">
        <v>66</v>
      </c>
      <c r="Q18" t="s">
        <v>131</v>
      </c>
      <c r="S18" t="s">
        <v>56</v>
      </c>
      <c r="T18">
        <v>2</v>
      </c>
      <c r="V18">
        <v>1</v>
      </c>
      <c r="W18" t="s">
        <v>120</v>
      </c>
      <c r="X18" t="s">
        <v>69</v>
      </c>
      <c r="Y18" t="s">
        <v>123</v>
      </c>
      <c r="Z18" t="s">
        <v>124</v>
      </c>
      <c r="AA18" t="s">
        <v>43</v>
      </c>
      <c r="AB18">
        <v>3</v>
      </c>
      <c r="AD18">
        <v>1</v>
      </c>
      <c r="AE18" t="s">
        <v>44</v>
      </c>
      <c r="AF18" t="s">
        <v>136</v>
      </c>
      <c r="AI18">
        <v>0</v>
      </c>
      <c r="AJ18">
        <v>20</v>
      </c>
    </row>
    <row r="19" spans="1:36" x14ac:dyDescent="0.25">
      <c r="A19" t="s">
        <v>832</v>
      </c>
      <c r="B19">
        <v>33</v>
      </c>
      <c r="C19" t="s">
        <v>53</v>
      </c>
      <c r="D19">
        <v>1</v>
      </c>
      <c r="E19">
        <v>2</v>
      </c>
      <c r="F19">
        <v>1</v>
      </c>
      <c r="G19" t="s">
        <v>112</v>
      </c>
      <c r="H19" t="s">
        <v>113</v>
      </c>
      <c r="I19" t="s">
        <v>114</v>
      </c>
      <c r="J19" t="s">
        <v>116</v>
      </c>
      <c r="K19" t="s">
        <v>33</v>
      </c>
      <c r="L19">
        <v>3</v>
      </c>
      <c r="N19">
        <v>3</v>
      </c>
      <c r="O19" t="s">
        <v>34</v>
      </c>
      <c r="S19" t="s">
        <v>56</v>
      </c>
      <c r="T19">
        <v>3</v>
      </c>
      <c r="V19">
        <v>1</v>
      </c>
      <c r="W19" t="s">
        <v>57</v>
      </c>
      <c r="X19" t="s">
        <v>122</v>
      </c>
      <c r="Y19" t="s">
        <v>123</v>
      </c>
      <c r="AA19" t="s">
        <v>63</v>
      </c>
      <c r="AB19">
        <v>2</v>
      </c>
      <c r="AD19">
        <v>1</v>
      </c>
      <c r="AE19" t="s">
        <v>72</v>
      </c>
      <c r="AF19" t="s">
        <v>95</v>
      </c>
      <c r="AI19">
        <v>0</v>
      </c>
      <c r="AJ19">
        <v>19</v>
      </c>
    </row>
    <row r="20" spans="1:36" x14ac:dyDescent="0.25">
      <c r="A20" t="s">
        <v>833</v>
      </c>
      <c r="B20">
        <v>37</v>
      </c>
      <c r="C20" t="s">
        <v>48</v>
      </c>
      <c r="D20">
        <v>1</v>
      </c>
      <c r="F20">
        <v>1</v>
      </c>
      <c r="G20" t="s">
        <v>89</v>
      </c>
      <c r="H20" t="s">
        <v>50</v>
      </c>
      <c r="I20" t="s">
        <v>127</v>
      </c>
      <c r="J20" t="s">
        <v>129</v>
      </c>
      <c r="K20" t="s">
        <v>63</v>
      </c>
      <c r="L20">
        <v>2</v>
      </c>
      <c r="N20">
        <v>1</v>
      </c>
      <c r="O20" t="s">
        <v>145</v>
      </c>
      <c r="P20" t="s">
        <v>95</v>
      </c>
      <c r="Q20" t="s">
        <v>147</v>
      </c>
      <c r="R20" t="s">
        <v>151</v>
      </c>
      <c r="S20" t="s">
        <v>53</v>
      </c>
      <c r="T20">
        <v>1</v>
      </c>
      <c r="U20">
        <v>1</v>
      </c>
      <c r="V20">
        <v>1</v>
      </c>
      <c r="W20" t="s">
        <v>111</v>
      </c>
      <c r="X20" t="s">
        <v>113</v>
      </c>
      <c r="Y20" t="s">
        <v>105</v>
      </c>
      <c r="AA20" t="s">
        <v>33</v>
      </c>
      <c r="AB20">
        <v>2</v>
      </c>
      <c r="AD20">
        <v>2</v>
      </c>
      <c r="AE20" t="s">
        <v>34</v>
      </c>
      <c r="AF20" t="s">
        <v>66</v>
      </c>
      <c r="AG20" t="s">
        <v>36</v>
      </c>
      <c r="AI20">
        <v>0</v>
      </c>
      <c r="AJ20">
        <v>17</v>
      </c>
    </row>
    <row r="21" spans="1:36" x14ac:dyDescent="0.25">
      <c r="A21" t="s">
        <v>834</v>
      </c>
      <c r="B21">
        <v>38</v>
      </c>
      <c r="C21" t="s">
        <v>53</v>
      </c>
      <c r="D21">
        <v>1</v>
      </c>
      <c r="E21">
        <v>1</v>
      </c>
      <c r="F21">
        <v>2</v>
      </c>
      <c r="G21" t="s">
        <v>112</v>
      </c>
      <c r="H21" t="s">
        <v>55</v>
      </c>
      <c r="K21" t="s">
        <v>33</v>
      </c>
      <c r="L21">
        <v>3</v>
      </c>
      <c r="N21">
        <v>3</v>
      </c>
      <c r="O21" t="s">
        <v>65</v>
      </c>
      <c r="P21" t="s">
        <v>66</v>
      </c>
      <c r="Q21" t="s">
        <v>131</v>
      </c>
      <c r="R21" t="s">
        <v>133</v>
      </c>
      <c r="S21" t="s">
        <v>48</v>
      </c>
      <c r="T21">
        <v>1</v>
      </c>
      <c r="V21">
        <v>1</v>
      </c>
      <c r="W21" t="s">
        <v>49</v>
      </c>
      <c r="X21" t="s">
        <v>71</v>
      </c>
      <c r="AA21" t="s">
        <v>38</v>
      </c>
      <c r="AB21">
        <v>3</v>
      </c>
      <c r="AC21">
        <v>3</v>
      </c>
      <c r="AD21">
        <v>3</v>
      </c>
      <c r="AE21" t="s">
        <v>67</v>
      </c>
      <c r="AF21" t="s">
        <v>40</v>
      </c>
      <c r="AG21" t="s">
        <v>41</v>
      </c>
      <c r="AI21">
        <v>0</v>
      </c>
      <c r="AJ21">
        <v>23</v>
      </c>
    </row>
    <row r="22" spans="1:36" x14ac:dyDescent="0.25">
      <c r="A22" t="s">
        <v>835</v>
      </c>
      <c r="B22">
        <v>44</v>
      </c>
      <c r="C22" t="s">
        <v>63</v>
      </c>
      <c r="D22">
        <v>1</v>
      </c>
      <c r="F22">
        <v>1</v>
      </c>
      <c r="G22" t="s">
        <v>72</v>
      </c>
      <c r="H22" t="s">
        <v>95</v>
      </c>
      <c r="I22" t="s">
        <v>104</v>
      </c>
      <c r="K22" t="s">
        <v>38</v>
      </c>
      <c r="L22">
        <v>3</v>
      </c>
      <c r="M22">
        <v>1</v>
      </c>
      <c r="N22">
        <v>2</v>
      </c>
      <c r="O22" t="s">
        <v>67</v>
      </c>
      <c r="S22" t="s">
        <v>53</v>
      </c>
      <c r="T22">
        <v>2</v>
      </c>
      <c r="U22">
        <v>1</v>
      </c>
      <c r="V22">
        <v>1</v>
      </c>
      <c r="W22" t="s">
        <v>111</v>
      </c>
      <c r="X22" t="s">
        <v>83</v>
      </c>
      <c r="Y22" t="s">
        <v>97</v>
      </c>
      <c r="AA22" t="s">
        <v>33</v>
      </c>
      <c r="AB22">
        <v>1</v>
      </c>
      <c r="AD22">
        <v>3</v>
      </c>
      <c r="AE22" t="s">
        <v>65</v>
      </c>
      <c r="AI22">
        <v>0</v>
      </c>
      <c r="AJ22">
        <v>15</v>
      </c>
    </row>
    <row r="23" spans="1:36" x14ac:dyDescent="0.25">
      <c r="A23" t="s">
        <v>836</v>
      </c>
      <c r="B23">
        <v>49</v>
      </c>
      <c r="C23" t="s">
        <v>53</v>
      </c>
      <c r="D23">
        <v>2</v>
      </c>
      <c r="E23">
        <v>3</v>
      </c>
      <c r="F23">
        <v>2</v>
      </c>
      <c r="G23" t="s">
        <v>112</v>
      </c>
      <c r="H23" t="s">
        <v>83</v>
      </c>
      <c r="I23" t="s">
        <v>97</v>
      </c>
      <c r="J23" t="s">
        <v>116</v>
      </c>
      <c r="K23" t="s">
        <v>43</v>
      </c>
      <c r="L23">
        <v>3</v>
      </c>
      <c r="N23">
        <v>3</v>
      </c>
      <c r="O23" t="s">
        <v>44</v>
      </c>
      <c r="P23" t="s">
        <v>74</v>
      </c>
      <c r="Q23" t="s">
        <v>137</v>
      </c>
      <c r="R23" t="s">
        <v>101</v>
      </c>
      <c r="S23" t="s">
        <v>56</v>
      </c>
      <c r="T23">
        <v>3</v>
      </c>
      <c r="V23">
        <v>3</v>
      </c>
      <c r="W23" t="s">
        <v>120</v>
      </c>
      <c r="X23" t="s">
        <v>69</v>
      </c>
      <c r="Y23" t="s">
        <v>123</v>
      </c>
      <c r="Z23" t="s">
        <v>88</v>
      </c>
      <c r="AA23" t="s">
        <v>38</v>
      </c>
      <c r="AB23">
        <v>2</v>
      </c>
      <c r="AC23">
        <v>1</v>
      </c>
      <c r="AD23">
        <v>2</v>
      </c>
      <c r="AE23" t="s">
        <v>39</v>
      </c>
      <c r="AF23" t="s">
        <v>40</v>
      </c>
      <c r="AI23">
        <v>0</v>
      </c>
      <c r="AJ23">
        <v>30</v>
      </c>
    </row>
    <row r="24" spans="1:36" x14ac:dyDescent="0.25">
      <c r="A24" t="s">
        <v>837</v>
      </c>
      <c r="B24">
        <v>52</v>
      </c>
      <c r="C24" t="s">
        <v>53</v>
      </c>
      <c r="D24">
        <v>3</v>
      </c>
      <c r="E24">
        <v>3</v>
      </c>
      <c r="F24">
        <v>3</v>
      </c>
      <c r="G24" t="s">
        <v>111</v>
      </c>
      <c r="H24" t="s">
        <v>113</v>
      </c>
      <c r="I24" t="s">
        <v>97</v>
      </c>
      <c r="J24" t="s">
        <v>115</v>
      </c>
      <c r="K24" t="s">
        <v>43</v>
      </c>
      <c r="L24">
        <v>3</v>
      </c>
      <c r="N24">
        <v>3</v>
      </c>
      <c r="O24" t="s">
        <v>44</v>
      </c>
      <c r="P24" t="s">
        <v>99</v>
      </c>
      <c r="Q24" t="s">
        <v>75</v>
      </c>
      <c r="R24" t="s">
        <v>139</v>
      </c>
      <c r="S24" t="s">
        <v>48</v>
      </c>
      <c r="T24">
        <v>1</v>
      </c>
      <c r="V24">
        <v>1</v>
      </c>
      <c r="W24" t="s">
        <v>89</v>
      </c>
      <c r="X24" t="s">
        <v>50</v>
      </c>
      <c r="Y24" t="s">
        <v>127</v>
      </c>
      <c r="AA24" t="s">
        <v>63</v>
      </c>
      <c r="AB24">
        <v>3</v>
      </c>
      <c r="AD24">
        <v>3</v>
      </c>
      <c r="AE24" t="s">
        <v>72</v>
      </c>
      <c r="AF24" t="s">
        <v>146</v>
      </c>
      <c r="AG24" t="s">
        <v>147</v>
      </c>
      <c r="AH24" t="s">
        <v>150</v>
      </c>
      <c r="AI24">
        <v>0</v>
      </c>
      <c r="AJ24">
        <v>58</v>
      </c>
    </row>
    <row r="25" spans="1:36" x14ac:dyDescent="0.25">
      <c r="A25" t="s">
        <v>838</v>
      </c>
      <c r="B25">
        <v>53</v>
      </c>
      <c r="C25" t="s">
        <v>48</v>
      </c>
      <c r="D25">
        <v>1</v>
      </c>
      <c r="F25">
        <v>1</v>
      </c>
      <c r="G25" t="s">
        <v>89</v>
      </c>
      <c r="H25" t="s">
        <v>71</v>
      </c>
      <c r="I25" t="s">
        <v>127</v>
      </c>
      <c r="J25" t="s">
        <v>129</v>
      </c>
      <c r="K25" t="s">
        <v>38</v>
      </c>
      <c r="L25">
        <v>3</v>
      </c>
      <c r="M25">
        <v>1</v>
      </c>
      <c r="N25">
        <v>2</v>
      </c>
      <c r="O25" t="s">
        <v>152</v>
      </c>
      <c r="S25" t="s">
        <v>53</v>
      </c>
      <c r="T25">
        <v>2</v>
      </c>
      <c r="U25">
        <v>1</v>
      </c>
      <c r="V25">
        <v>1</v>
      </c>
      <c r="W25" t="s">
        <v>111</v>
      </c>
      <c r="X25" t="s">
        <v>83</v>
      </c>
      <c r="Y25" t="s">
        <v>105</v>
      </c>
      <c r="AA25" t="s">
        <v>43</v>
      </c>
      <c r="AB25">
        <v>1</v>
      </c>
      <c r="AD25">
        <v>1</v>
      </c>
      <c r="AE25" t="s">
        <v>44</v>
      </c>
      <c r="AF25" t="s">
        <v>136</v>
      </c>
      <c r="AG25" t="s">
        <v>100</v>
      </c>
      <c r="AI25">
        <v>0</v>
      </c>
      <c r="AJ25">
        <v>15</v>
      </c>
    </row>
    <row r="26" spans="1:36" x14ac:dyDescent="0.25">
      <c r="A26" t="s">
        <v>839</v>
      </c>
      <c r="B26">
        <v>54</v>
      </c>
      <c r="C26" t="s">
        <v>53</v>
      </c>
      <c r="D26">
        <v>1</v>
      </c>
      <c r="E26">
        <v>1</v>
      </c>
      <c r="F26">
        <v>1</v>
      </c>
      <c r="G26" t="s">
        <v>112</v>
      </c>
      <c r="H26" t="s">
        <v>113</v>
      </c>
      <c r="I26" t="s">
        <v>97</v>
      </c>
      <c r="K26" t="s">
        <v>43</v>
      </c>
      <c r="L26">
        <v>3</v>
      </c>
      <c r="N26">
        <v>3</v>
      </c>
      <c r="O26" t="s">
        <v>44</v>
      </c>
      <c r="P26" t="s">
        <v>136</v>
      </c>
      <c r="Q26" t="s">
        <v>100</v>
      </c>
      <c r="R26" t="s">
        <v>138</v>
      </c>
      <c r="S26" t="s">
        <v>33</v>
      </c>
      <c r="T26">
        <v>2</v>
      </c>
      <c r="V26">
        <v>1</v>
      </c>
      <c r="W26" t="s">
        <v>65</v>
      </c>
      <c r="X26" t="s">
        <v>130</v>
      </c>
      <c r="Y26" t="s">
        <v>36</v>
      </c>
      <c r="Z26" t="s">
        <v>133</v>
      </c>
      <c r="AA26" t="s">
        <v>45</v>
      </c>
      <c r="AB26">
        <v>3</v>
      </c>
      <c r="AD26">
        <v>3</v>
      </c>
      <c r="AE26" t="s">
        <v>140</v>
      </c>
      <c r="AF26" t="s">
        <v>141</v>
      </c>
      <c r="AG26" t="s">
        <v>102</v>
      </c>
      <c r="AH26" t="s">
        <v>144</v>
      </c>
      <c r="AI26">
        <v>0</v>
      </c>
      <c r="AJ26">
        <v>24</v>
      </c>
    </row>
    <row r="27" spans="1:36" x14ac:dyDescent="0.25">
      <c r="A27" t="s">
        <v>840</v>
      </c>
      <c r="B27">
        <v>55</v>
      </c>
      <c r="C27" t="s">
        <v>53</v>
      </c>
      <c r="D27">
        <v>2</v>
      </c>
      <c r="E27">
        <v>1</v>
      </c>
      <c r="F27">
        <v>1</v>
      </c>
      <c r="G27" t="s">
        <v>112</v>
      </c>
      <c r="H27" t="s">
        <v>113</v>
      </c>
      <c r="I27" t="s">
        <v>114</v>
      </c>
      <c r="K27" t="s">
        <v>43</v>
      </c>
      <c r="L27">
        <v>3</v>
      </c>
      <c r="N27">
        <v>1</v>
      </c>
      <c r="O27" t="s">
        <v>44</v>
      </c>
      <c r="P27" t="s">
        <v>99</v>
      </c>
      <c r="S27" t="s">
        <v>33</v>
      </c>
      <c r="T27">
        <v>2</v>
      </c>
      <c r="V27">
        <v>2</v>
      </c>
      <c r="W27" t="s">
        <v>65</v>
      </c>
      <c r="AA27" t="s">
        <v>63</v>
      </c>
      <c r="AB27">
        <v>1</v>
      </c>
      <c r="AD27">
        <v>1</v>
      </c>
      <c r="AE27" t="s">
        <v>103</v>
      </c>
      <c r="AF27" t="s">
        <v>95</v>
      </c>
      <c r="AG27" t="s">
        <v>147</v>
      </c>
      <c r="AI27">
        <v>0</v>
      </c>
      <c r="AJ27">
        <v>14</v>
      </c>
    </row>
    <row r="28" spans="1:36" x14ac:dyDescent="0.25">
      <c r="A28" t="s">
        <v>841</v>
      </c>
      <c r="B28">
        <v>56</v>
      </c>
      <c r="C28" t="s">
        <v>53</v>
      </c>
      <c r="D28">
        <v>2</v>
      </c>
      <c r="E28">
        <v>1</v>
      </c>
      <c r="F28">
        <v>1</v>
      </c>
      <c r="G28" t="s">
        <v>112</v>
      </c>
      <c r="H28" t="s">
        <v>113</v>
      </c>
      <c r="K28" t="s">
        <v>43</v>
      </c>
      <c r="L28">
        <v>3</v>
      </c>
      <c r="N28">
        <v>2</v>
      </c>
      <c r="O28" t="s">
        <v>44</v>
      </c>
      <c r="P28" t="s">
        <v>136</v>
      </c>
      <c r="Q28" t="s">
        <v>75</v>
      </c>
      <c r="S28" t="s">
        <v>33</v>
      </c>
      <c r="T28">
        <v>1</v>
      </c>
      <c r="V28">
        <v>2</v>
      </c>
      <c r="W28" t="s">
        <v>65</v>
      </c>
      <c r="X28" t="s">
        <v>130</v>
      </c>
      <c r="Y28" t="s">
        <v>36</v>
      </c>
      <c r="Z28" t="s">
        <v>134</v>
      </c>
      <c r="AA28" t="s">
        <v>38</v>
      </c>
      <c r="AB28">
        <v>3</v>
      </c>
      <c r="AC28">
        <v>1</v>
      </c>
      <c r="AD28">
        <v>3</v>
      </c>
      <c r="AE28" t="s">
        <v>152</v>
      </c>
      <c r="AF28" t="s">
        <v>40</v>
      </c>
      <c r="AI28">
        <v>0</v>
      </c>
      <c r="AJ28">
        <v>20</v>
      </c>
    </row>
    <row r="29" spans="1:36" x14ac:dyDescent="0.25">
      <c r="A29" t="s">
        <v>842</v>
      </c>
      <c r="B29">
        <v>57</v>
      </c>
      <c r="C29" t="s">
        <v>53</v>
      </c>
      <c r="D29">
        <v>1</v>
      </c>
      <c r="E29">
        <v>2</v>
      </c>
      <c r="F29">
        <v>1</v>
      </c>
      <c r="G29" t="s">
        <v>112</v>
      </c>
      <c r="H29" t="s">
        <v>113</v>
      </c>
      <c r="K29" t="s">
        <v>43</v>
      </c>
      <c r="L29">
        <v>3</v>
      </c>
      <c r="N29">
        <v>2</v>
      </c>
      <c r="O29" t="s">
        <v>44</v>
      </c>
      <c r="P29" t="s">
        <v>136</v>
      </c>
      <c r="Q29" t="s">
        <v>75</v>
      </c>
      <c r="S29" t="s">
        <v>45</v>
      </c>
      <c r="T29">
        <v>3</v>
      </c>
      <c r="V29">
        <v>2</v>
      </c>
      <c r="W29" t="s">
        <v>86</v>
      </c>
      <c r="X29" t="s">
        <v>76</v>
      </c>
      <c r="AA29" t="s">
        <v>63</v>
      </c>
      <c r="AB29">
        <v>2</v>
      </c>
      <c r="AD29">
        <v>1</v>
      </c>
      <c r="AE29" t="s">
        <v>103</v>
      </c>
      <c r="AF29" t="s">
        <v>95</v>
      </c>
      <c r="AG29" t="s">
        <v>148</v>
      </c>
      <c r="AH29" t="s">
        <v>151</v>
      </c>
      <c r="AI29">
        <v>0</v>
      </c>
      <c r="AJ29">
        <v>19</v>
      </c>
    </row>
    <row r="30" spans="1:36" x14ac:dyDescent="0.25">
      <c r="A30" t="s">
        <v>843</v>
      </c>
      <c r="B30">
        <v>58</v>
      </c>
      <c r="C30" t="s">
        <v>53</v>
      </c>
      <c r="D30">
        <v>3</v>
      </c>
      <c r="E30">
        <v>3</v>
      </c>
      <c r="F30">
        <v>3</v>
      </c>
      <c r="G30" t="s">
        <v>112</v>
      </c>
      <c r="H30" t="s">
        <v>55</v>
      </c>
      <c r="I30" t="s">
        <v>97</v>
      </c>
      <c r="J30" t="s">
        <v>98</v>
      </c>
      <c r="K30" t="s">
        <v>43</v>
      </c>
      <c r="L30">
        <v>1</v>
      </c>
      <c r="N30">
        <v>1</v>
      </c>
      <c r="O30" t="s">
        <v>44</v>
      </c>
      <c r="P30" t="s">
        <v>136</v>
      </c>
      <c r="S30" t="s">
        <v>45</v>
      </c>
      <c r="T30">
        <v>3</v>
      </c>
      <c r="V30">
        <v>1</v>
      </c>
      <c r="W30" t="s">
        <v>86</v>
      </c>
      <c r="X30" t="s">
        <v>92</v>
      </c>
      <c r="Y30" t="s">
        <v>102</v>
      </c>
      <c r="Z30" t="s">
        <v>94</v>
      </c>
      <c r="AA30" t="s">
        <v>38</v>
      </c>
      <c r="AB30">
        <v>3</v>
      </c>
      <c r="AC30">
        <v>3</v>
      </c>
      <c r="AD30">
        <v>3</v>
      </c>
      <c r="AE30" t="s">
        <v>67</v>
      </c>
      <c r="AF30" t="s">
        <v>40</v>
      </c>
      <c r="AG30" t="s">
        <v>154</v>
      </c>
      <c r="AH30" t="s">
        <v>155</v>
      </c>
      <c r="AI30">
        <v>0</v>
      </c>
      <c r="AJ30">
        <v>28</v>
      </c>
    </row>
    <row r="31" spans="1:36" x14ac:dyDescent="0.25">
      <c r="A31" t="s">
        <v>844</v>
      </c>
      <c r="B31">
        <v>59</v>
      </c>
      <c r="C31" t="s">
        <v>53</v>
      </c>
      <c r="D31">
        <v>1</v>
      </c>
      <c r="E31">
        <v>1</v>
      </c>
      <c r="F31">
        <v>1</v>
      </c>
      <c r="G31" t="s">
        <v>111</v>
      </c>
      <c r="H31" t="s">
        <v>113</v>
      </c>
      <c r="I31" t="s">
        <v>97</v>
      </c>
      <c r="K31" t="s">
        <v>43</v>
      </c>
      <c r="L31">
        <v>3</v>
      </c>
      <c r="N31">
        <v>1</v>
      </c>
      <c r="O31" t="s">
        <v>44</v>
      </c>
      <c r="P31" t="s">
        <v>136</v>
      </c>
      <c r="Q31" t="s">
        <v>137</v>
      </c>
      <c r="R31" t="s">
        <v>101</v>
      </c>
      <c r="S31" t="s">
        <v>63</v>
      </c>
      <c r="T31">
        <v>2</v>
      </c>
      <c r="V31">
        <v>1</v>
      </c>
      <c r="W31" t="s">
        <v>72</v>
      </c>
      <c r="X31" t="s">
        <v>95</v>
      </c>
      <c r="Y31" t="s">
        <v>104</v>
      </c>
      <c r="Z31" t="s">
        <v>151</v>
      </c>
      <c r="AA31" t="s">
        <v>38</v>
      </c>
      <c r="AB31">
        <v>1</v>
      </c>
      <c r="AC31">
        <v>1</v>
      </c>
      <c r="AD31">
        <v>3</v>
      </c>
      <c r="AE31" t="s">
        <v>67</v>
      </c>
      <c r="AF31" t="s">
        <v>40</v>
      </c>
      <c r="AG31" t="s">
        <v>154</v>
      </c>
      <c r="AI31">
        <v>0</v>
      </c>
      <c r="AJ31">
        <v>19</v>
      </c>
    </row>
    <row r="32" spans="1:36" x14ac:dyDescent="0.25">
      <c r="A32" t="s">
        <v>845</v>
      </c>
      <c r="B32">
        <v>60</v>
      </c>
      <c r="C32" t="s">
        <v>56</v>
      </c>
      <c r="D32">
        <v>1</v>
      </c>
      <c r="F32">
        <v>2</v>
      </c>
      <c r="G32" t="s">
        <v>120</v>
      </c>
      <c r="H32" t="s">
        <v>69</v>
      </c>
      <c r="I32" t="s">
        <v>87</v>
      </c>
      <c r="J32" t="s">
        <v>125</v>
      </c>
      <c r="K32" t="s">
        <v>48</v>
      </c>
      <c r="L32">
        <v>2</v>
      </c>
      <c r="N32">
        <v>2</v>
      </c>
      <c r="O32" t="s">
        <v>126</v>
      </c>
      <c r="P32" t="s">
        <v>84</v>
      </c>
      <c r="Q32" t="s">
        <v>127</v>
      </c>
      <c r="R32" t="s">
        <v>129</v>
      </c>
      <c r="S32" t="s">
        <v>53</v>
      </c>
      <c r="T32">
        <v>3</v>
      </c>
      <c r="U32">
        <v>1</v>
      </c>
      <c r="V32">
        <v>1</v>
      </c>
      <c r="W32" t="s">
        <v>112</v>
      </c>
      <c r="X32" t="s">
        <v>83</v>
      </c>
      <c r="Y32" t="s">
        <v>105</v>
      </c>
      <c r="Z32" t="s">
        <v>115</v>
      </c>
      <c r="AA32" t="s">
        <v>45</v>
      </c>
      <c r="AB32">
        <v>3</v>
      </c>
      <c r="AD32">
        <v>1</v>
      </c>
      <c r="AE32" t="s">
        <v>86</v>
      </c>
      <c r="AF32" t="s">
        <v>141</v>
      </c>
      <c r="AI32">
        <v>0</v>
      </c>
      <c r="AJ32">
        <v>21</v>
      </c>
    </row>
    <row r="33" spans="1:36" x14ac:dyDescent="0.25">
      <c r="A33" t="s">
        <v>846</v>
      </c>
      <c r="B33">
        <v>61</v>
      </c>
      <c r="C33" t="s">
        <v>53</v>
      </c>
      <c r="D33">
        <v>1</v>
      </c>
      <c r="E33">
        <v>2</v>
      </c>
      <c r="F33">
        <v>2</v>
      </c>
      <c r="G33" t="s">
        <v>112</v>
      </c>
      <c r="H33" t="s">
        <v>113</v>
      </c>
      <c r="I33" t="s">
        <v>114</v>
      </c>
      <c r="J33" t="s">
        <v>115</v>
      </c>
      <c r="K33" t="s">
        <v>45</v>
      </c>
      <c r="L33">
        <v>3</v>
      </c>
      <c r="N33">
        <v>2</v>
      </c>
      <c r="O33" t="s">
        <v>86</v>
      </c>
      <c r="P33" t="s">
        <v>141</v>
      </c>
      <c r="Q33" t="s">
        <v>102</v>
      </c>
      <c r="R33" t="s">
        <v>144</v>
      </c>
      <c r="S33" t="s">
        <v>56</v>
      </c>
      <c r="T33">
        <v>1</v>
      </c>
      <c r="V33">
        <v>2</v>
      </c>
      <c r="W33" t="s">
        <v>57</v>
      </c>
      <c r="AA33" t="s">
        <v>33</v>
      </c>
      <c r="AB33">
        <v>2</v>
      </c>
      <c r="AD33">
        <v>3</v>
      </c>
      <c r="AE33" t="s">
        <v>65</v>
      </c>
      <c r="AF33" t="s">
        <v>130</v>
      </c>
      <c r="AG33" t="s">
        <v>131</v>
      </c>
      <c r="AH33" t="s">
        <v>133</v>
      </c>
      <c r="AI33">
        <v>0</v>
      </c>
      <c r="AJ33">
        <v>25</v>
      </c>
    </row>
    <row r="34" spans="1:36" x14ac:dyDescent="0.25">
      <c r="A34" t="s">
        <v>847</v>
      </c>
      <c r="B34">
        <v>62</v>
      </c>
      <c r="C34" t="s">
        <v>53</v>
      </c>
      <c r="D34">
        <v>2</v>
      </c>
      <c r="E34">
        <v>1</v>
      </c>
      <c r="F34">
        <v>1</v>
      </c>
      <c r="G34" t="s">
        <v>112</v>
      </c>
      <c r="H34" t="s">
        <v>113</v>
      </c>
      <c r="I34" t="s">
        <v>114</v>
      </c>
      <c r="K34" t="s">
        <v>45</v>
      </c>
      <c r="L34">
        <v>3</v>
      </c>
      <c r="N34">
        <v>1</v>
      </c>
      <c r="O34" t="s">
        <v>140</v>
      </c>
      <c r="P34" t="s">
        <v>141</v>
      </c>
      <c r="Q34" t="s">
        <v>93</v>
      </c>
      <c r="S34" t="s">
        <v>56</v>
      </c>
      <c r="T34">
        <v>3</v>
      </c>
      <c r="V34">
        <v>1</v>
      </c>
      <c r="W34" t="s">
        <v>120</v>
      </c>
      <c r="X34" t="s">
        <v>69</v>
      </c>
      <c r="AA34" t="s">
        <v>43</v>
      </c>
      <c r="AB34">
        <v>1</v>
      </c>
      <c r="AD34">
        <v>1</v>
      </c>
      <c r="AE34" t="s">
        <v>73</v>
      </c>
      <c r="AF34" t="s">
        <v>136</v>
      </c>
      <c r="AG34" t="s">
        <v>137</v>
      </c>
      <c r="AH34" t="s">
        <v>101</v>
      </c>
      <c r="AI34">
        <v>0</v>
      </c>
      <c r="AJ34">
        <v>17</v>
      </c>
    </row>
    <row r="35" spans="1:36" x14ac:dyDescent="0.25">
      <c r="A35" t="s">
        <v>848</v>
      </c>
      <c r="B35">
        <v>63</v>
      </c>
      <c r="C35" t="s">
        <v>56</v>
      </c>
      <c r="D35">
        <v>2</v>
      </c>
      <c r="F35">
        <v>1</v>
      </c>
      <c r="G35" t="s">
        <v>57</v>
      </c>
      <c r="H35" t="s">
        <v>122</v>
      </c>
      <c r="I35" t="s">
        <v>123</v>
      </c>
      <c r="K35" t="s">
        <v>63</v>
      </c>
      <c r="L35">
        <v>1</v>
      </c>
      <c r="N35">
        <v>1</v>
      </c>
      <c r="O35" t="s">
        <v>145</v>
      </c>
      <c r="P35" t="s">
        <v>95</v>
      </c>
      <c r="Q35" t="s">
        <v>104</v>
      </c>
      <c r="S35" t="s">
        <v>53</v>
      </c>
      <c r="T35">
        <v>3</v>
      </c>
      <c r="U35">
        <v>1</v>
      </c>
      <c r="V35">
        <v>1</v>
      </c>
      <c r="W35" t="s">
        <v>112</v>
      </c>
      <c r="X35" t="s">
        <v>83</v>
      </c>
      <c r="AA35" t="s">
        <v>45</v>
      </c>
      <c r="AB35">
        <v>3</v>
      </c>
      <c r="AD35">
        <v>1</v>
      </c>
      <c r="AE35" t="s">
        <v>86</v>
      </c>
      <c r="AI35">
        <v>0</v>
      </c>
      <c r="AJ35">
        <v>15</v>
      </c>
    </row>
    <row r="36" spans="1:36" x14ac:dyDescent="0.25">
      <c r="A36" t="s">
        <v>849</v>
      </c>
      <c r="B36">
        <v>64</v>
      </c>
      <c r="C36" t="s">
        <v>53</v>
      </c>
      <c r="D36">
        <v>3</v>
      </c>
      <c r="E36">
        <v>3</v>
      </c>
      <c r="F36">
        <v>3</v>
      </c>
      <c r="G36" t="s">
        <v>112</v>
      </c>
      <c r="H36" t="s">
        <v>83</v>
      </c>
      <c r="I36" t="s">
        <v>97</v>
      </c>
      <c r="J36" t="s">
        <v>115</v>
      </c>
      <c r="K36" t="s">
        <v>45</v>
      </c>
      <c r="L36">
        <v>3</v>
      </c>
      <c r="N36">
        <v>1</v>
      </c>
      <c r="O36" t="s">
        <v>86</v>
      </c>
      <c r="S36" t="s">
        <v>56</v>
      </c>
      <c r="T36">
        <v>3</v>
      </c>
      <c r="V36">
        <v>3</v>
      </c>
      <c r="W36" t="s">
        <v>57</v>
      </c>
      <c r="X36" t="s">
        <v>122</v>
      </c>
      <c r="Y36" t="s">
        <v>123</v>
      </c>
      <c r="Z36" t="s">
        <v>124</v>
      </c>
      <c r="AA36" t="s">
        <v>38</v>
      </c>
      <c r="AB36">
        <v>3</v>
      </c>
      <c r="AC36">
        <v>1</v>
      </c>
      <c r="AD36">
        <v>1</v>
      </c>
      <c r="AE36" t="s">
        <v>39</v>
      </c>
      <c r="AI36">
        <v>0</v>
      </c>
      <c r="AJ36">
        <v>39</v>
      </c>
    </row>
    <row r="37" spans="1:36" x14ac:dyDescent="0.25">
      <c r="A37" t="s">
        <v>850</v>
      </c>
      <c r="B37">
        <v>65</v>
      </c>
      <c r="C37" t="s">
        <v>53</v>
      </c>
      <c r="D37">
        <v>1</v>
      </c>
      <c r="E37">
        <v>1</v>
      </c>
      <c r="F37">
        <v>2</v>
      </c>
      <c r="G37" t="s">
        <v>112</v>
      </c>
      <c r="H37" t="s">
        <v>113</v>
      </c>
      <c r="I37" t="s">
        <v>97</v>
      </c>
      <c r="J37" t="s">
        <v>98</v>
      </c>
      <c r="K37" t="s">
        <v>45</v>
      </c>
      <c r="L37">
        <v>3</v>
      </c>
      <c r="N37">
        <v>1</v>
      </c>
      <c r="O37" t="s">
        <v>86</v>
      </c>
      <c r="P37" t="s">
        <v>76</v>
      </c>
      <c r="Q37" t="s">
        <v>142</v>
      </c>
      <c r="R37" t="s">
        <v>143</v>
      </c>
      <c r="S37" t="s">
        <v>48</v>
      </c>
      <c r="T37">
        <v>1</v>
      </c>
      <c r="V37">
        <v>1</v>
      </c>
      <c r="W37" t="s">
        <v>49</v>
      </c>
      <c r="X37" t="s">
        <v>50</v>
      </c>
      <c r="AA37" t="s">
        <v>33</v>
      </c>
      <c r="AB37">
        <v>2</v>
      </c>
      <c r="AD37">
        <v>3</v>
      </c>
      <c r="AE37" t="s">
        <v>65</v>
      </c>
      <c r="AF37" t="s">
        <v>130</v>
      </c>
      <c r="AG37" t="s">
        <v>36</v>
      </c>
      <c r="AI37">
        <v>0</v>
      </c>
      <c r="AJ37">
        <v>21</v>
      </c>
    </row>
    <row r="38" spans="1:36" x14ac:dyDescent="0.25">
      <c r="A38" t="s">
        <v>851</v>
      </c>
      <c r="B38">
        <v>66</v>
      </c>
      <c r="C38" t="s">
        <v>53</v>
      </c>
      <c r="D38">
        <v>1</v>
      </c>
      <c r="E38">
        <v>1</v>
      </c>
      <c r="F38">
        <v>1</v>
      </c>
      <c r="G38" t="s">
        <v>112</v>
      </c>
      <c r="H38" t="s">
        <v>113</v>
      </c>
      <c r="I38" t="s">
        <v>114</v>
      </c>
      <c r="K38" t="s">
        <v>45</v>
      </c>
      <c r="L38">
        <v>3</v>
      </c>
      <c r="N38">
        <v>1</v>
      </c>
      <c r="O38" t="s">
        <v>86</v>
      </c>
      <c r="P38" t="s">
        <v>76</v>
      </c>
      <c r="Q38" t="s">
        <v>93</v>
      </c>
      <c r="S38" t="s">
        <v>48</v>
      </c>
      <c r="T38">
        <v>1</v>
      </c>
      <c r="V38">
        <v>1</v>
      </c>
      <c r="W38" t="s">
        <v>49</v>
      </c>
      <c r="X38" t="s">
        <v>84</v>
      </c>
      <c r="Y38" t="s">
        <v>127</v>
      </c>
      <c r="Z38" t="s">
        <v>129</v>
      </c>
      <c r="AA38" t="s">
        <v>43</v>
      </c>
      <c r="AB38">
        <v>2</v>
      </c>
      <c r="AD38">
        <v>1</v>
      </c>
      <c r="AE38" t="s">
        <v>44</v>
      </c>
      <c r="AF38" t="s">
        <v>99</v>
      </c>
      <c r="AG38" t="s">
        <v>137</v>
      </c>
      <c r="AH38" t="s">
        <v>101</v>
      </c>
      <c r="AI38">
        <v>0</v>
      </c>
      <c r="AJ38">
        <v>19</v>
      </c>
    </row>
    <row r="39" spans="1:36" x14ac:dyDescent="0.25">
      <c r="A39" t="s">
        <v>852</v>
      </c>
      <c r="B39">
        <v>67</v>
      </c>
      <c r="C39" t="s">
        <v>53</v>
      </c>
      <c r="D39">
        <v>3</v>
      </c>
      <c r="E39">
        <v>1</v>
      </c>
      <c r="F39">
        <v>1</v>
      </c>
      <c r="G39" t="s">
        <v>111</v>
      </c>
      <c r="H39" t="s">
        <v>113</v>
      </c>
      <c r="I39" t="s">
        <v>105</v>
      </c>
      <c r="J39" t="s">
        <v>116</v>
      </c>
      <c r="K39" t="s">
        <v>45</v>
      </c>
      <c r="L39">
        <v>3</v>
      </c>
      <c r="N39">
        <v>1</v>
      </c>
      <c r="O39" t="s">
        <v>86</v>
      </c>
      <c r="P39" t="s">
        <v>141</v>
      </c>
      <c r="Q39" t="s">
        <v>93</v>
      </c>
      <c r="R39" t="s">
        <v>143</v>
      </c>
      <c r="S39" t="s">
        <v>48</v>
      </c>
      <c r="T39">
        <v>1</v>
      </c>
      <c r="V39">
        <v>3</v>
      </c>
      <c r="W39" t="s">
        <v>89</v>
      </c>
      <c r="X39" t="s">
        <v>84</v>
      </c>
      <c r="Y39" t="s">
        <v>127</v>
      </c>
      <c r="Z39" t="s">
        <v>52</v>
      </c>
      <c r="AA39" t="s">
        <v>63</v>
      </c>
      <c r="AB39">
        <v>1</v>
      </c>
      <c r="AD39">
        <v>2</v>
      </c>
      <c r="AE39" t="s">
        <v>103</v>
      </c>
      <c r="AF39" t="s">
        <v>146</v>
      </c>
      <c r="AG39" t="s">
        <v>147</v>
      </c>
      <c r="AH39" t="s">
        <v>150</v>
      </c>
      <c r="AI39">
        <v>0</v>
      </c>
      <c r="AJ39">
        <v>24</v>
      </c>
    </row>
    <row r="40" spans="1:36" x14ac:dyDescent="0.25">
      <c r="A40" t="s">
        <v>853</v>
      </c>
      <c r="B40">
        <v>68</v>
      </c>
      <c r="C40" t="s">
        <v>53</v>
      </c>
      <c r="D40">
        <v>2</v>
      </c>
      <c r="E40">
        <v>1</v>
      </c>
      <c r="F40">
        <v>1</v>
      </c>
      <c r="G40" t="s">
        <v>112</v>
      </c>
      <c r="H40" t="s">
        <v>113</v>
      </c>
      <c r="I40" t="s">
        <v>114</v>
      </c>
      <c r="J40" t="s">
        <v>98</v>
      </c>
      <c r="K40" t="s">
        <v>45</v>
      </c>
      <c r="L40">
        <v>3</v>
      </c>
      <c r="N40">
        <v>1</v>
      </c>
      <c r="O40" t="s">
        <v>86</v>
      </c>
      <c r="P40" t="s">
        <v>141</v>
      </c>
      <c r="Q40" t="s">
        <v>142</v>
      </c>
      <c r="R40" t="s">
        <v>94</v>
      </c>
      <c r="S40" t="s">
        <v>48</v>
      </c>
      <c r="T40">
        <v>1</v>
      </c>
      <c r="V40">
        <v>1</v>
      </c>
      <c r="W40" t="s">
        <v>49</v>
      </c>
      <c r="X40" t="s">
        <v>84</v>
      </c>
      <c r="Y40" t="s">
        <v>127</v>
      </c>
      <c r="AA40" t="s">
        <v>38</v>
      </c>
      <c r="AB40">
        <v>3</v>
      </c>
      <c r="AC40">
        <v>1</v>
      </c>
      <c r="AD40">
        <v>2</v>
      </c>
      <c r="AE40" t="s">
        <v>152</v>
      </c>
      <c r="AF40" t="s">
        <v>40</v>
      </c>
      <c r="AG40" t="s">
        <v>41</v>
      </c>
      <c r="AI40">
        <v>0</v>
      </c>
      <c r="AJ40">
        <v>20</v>
      </c>
    </row>
    <row r="41" spans="1:36" x14ac:dyDescent="0.25">
      <c r="A41" t="s">
        <v>854</v>
      </c>
      <c r="B41">
        <v>69</v>
      </c>
      <c r="C41" t="s">
        <v>53</v>
      </c>
      <c r="D41">
        <v>1</v>
      </c>
      <c r="E41">
        <v>1</v>
      </c>
      <c r="F41">
        <v>2</v>
      </c>
      <c r="G41" t="s">
        <v>112</v>
      </c>
      <c r="H41" t="s">
        <v>113</v>
      </c>
      <c r="I41" t="s">
        <v>114</v>
      </c>
      <c r="J41" t="s">
        <v>116</v>
      </c>
      <c r="K41" t="s">
        <v>45</v>
      </c>
      <c r="L41">
        <v>3</v>
      </c>
      <c r="N41">
        <v>1</v>
      </c>
      <c r="O41" t="s">
        <v>140</v>
      </c>
      <c r="P41" t="s">
        <v>141</v>
      </c>
      <c r="Q41" t="s">
        <v>93</v>
      </c>
      <c r="S41" t="s">
        <v>33</v>
      </c>
      <c r="T41">
        <v>2</v>
      </c>
      <c r="V41">
        <v>1</v>
      </c>
      <c r="W41" t="s">
        <v>65</v>
      </c>
      <c r="X41" t="s">
        <v>130</v>
      </c>
      <c r="Y41" t="s">
        <v>131</v>
      </c>
      <c r="Z41" t="s">
        <v>134</v>
      </c>
      <c r="AA41" t="s">
        <v>43</v>
      </c>
      <c r="AB41">
        <v>1</v>
      </c>
      <c r="AD41">
        <v>1</v>
      </c>
      <c r="AE41" t="s">
        <v>135</v>
      </c>
      <c r="AF41" t="s">
        <v>136</v>
      </c>
      <c r="AG41" t="s">
        <v>100</v>
      </c>
      <c r="AI41">
        <v>0</v>
      </c>
      <c r="AJ41">
        <v>18</v>
      </c>
    </row>
    <row r="42" spans="1:36" x14ac:dyDescent="0.25">
      <c r="A42" t="s">
        <v>855</v>
      </c>
      <c r="B42">
        <v>70</v>
      </c>
      <c r="C42" t="s">
        <v>33</v>
      </c>
      <c r="D42">
        <v>3</v>
      </c>
      <c r="F42">
        <v>2</v>
      </c>
      <c r="G42" t="s">
        <v>65</v>
      </c>
      <c r="H42" t="s">
        <v>130</v>
      </c>
      <c r="I42" t="s">
        <v>36</v>
      </c>
      <c r="J42" t="s">
        <v>133</v>
      </c>
      <c r="K42" t="s">
        <v>63</v>
      </c>
      <c r="L42">
        <v>2</v>
      </c>
      <c r="N42">
        <v>3</v>
      </c>
      <c r="O42" t="s">
        <v>145</v>
      </c>
      <c r="P42" t="s">
        <v>146</v>
      </c>
      <c r="Q42" t="s">
        <v>104</v>
      </c>
      <c r="R42" t="s">
        <v>150</v>
      </c>
      <c r="S42" t="s">
        <v>53</v>
      </c>
      <c r="T42">
        <v>2</v>
      </c>
      <c r="U42">
        <v>1</v>
      </c>
      <c r="V42">
        <v>1</v>
      </c>
      <c r="W42" t="s">
        <v>112</v>
      </c>
      <c r="X42" t="s">
        <v>55</v>
      </c>
      <c r="AA42" t="s">
        <v>45</v>
      </c>
      <c r="AB42">
        <v>3</v>
      </c>
      <c r="AD42">
        <v>2</v>
      </c>
      <c r="AE42" t="s">
        <v>86</v>
      </c>
      <c r="AF42" t="s">
        <v>92</v>
      </c>
      <c r="AG42" t="s">
        <v>93</v>
      </c>
      <c r="AH42" t="s">
        <v>94</v>
      </c>
      <c r="AI42">
        <v>0</v>
      </c>
      <c r="AJ42">
        <v>25</v>
      </c>
    </row>
    <row r="43" spans="1:36" x14ac:dyDescent="0.25">
      <c r="A43" t="s">
        <v>856</v>
      </c>
      <c r="B43">
        <v>71</v>
      </c>
      <c r="C43" t="s">
        <v>53</v>
      </c>
      <c r="D43">
        <v>1</v>
      </c>
      <c r="E43">
        <v>1</v>
      </c>
      <c r="F43">
        <v>2</v>
      </c>
      <c r="G43" t="s">
        <v>112</v>
      </c>
      <c r="H43" t="s">
        <v>113</v>
      </c>
      <c r="I43" t="s">
        <v>114</v>
      </c>
      <c r="J43" t="s">
        <v>116</v>
      </c>
      <c r="K43" t="s">
        <v>45</v>
      </c>
      <c r="L43">
        <v>3</v>
      </c>
      <c r="N43">
        <v>1</v>
      </c>
      <c r="O43" t="s">
        <v>140</v>
      </c>
      <c r="P43" t="s">
        <v>141</v>
      </c>
      <c r="Q43" t="s">
        <v>142</v>
      </c>
      <c r="S43" t="s">
        <v>33</v>
      </c>
      <c r="T43">
        <v>1</v>
      </c>
      <c r="V43">
        <v>2</v>
      </c>
      <c r="W43" t="s">
        <v>65</v>
      </c>
      <c r="X43" t="s">
        <v>130</v>
      </c>
      <c r="Y43" t="s">
        <v>36</v>
      </c>
      <c r="Z43" t="s">
        <v>134</v>
      </c>
      <c r="AA43" t="s">
        <v>38</v>
      </c>
      <c r="AB43">
        <v>2</v>
      </c>
      <c r="AC43">
        <v>1</v>
      </c>
      <c r="AD43">
        <v>1</v>
      </c>
      <c r="AE43" t="s">
        <v>39</v>
      </c>
      <c r="AF43" t="s">
        <v>96</v>
      </c>
      <c r="AG43" t="s">
        <v>153</v>
      </c>
      <c r="AI43">
        <v>0</v>
      </c>
      <c r="AJ43">
        <v>19</v>
      </c>
    </row>
    <row r="44" spans="1:36" x14ac:dyDescent="0.25">
      <c r="A44" t="s">
        <v>857</v>
      </c>
      <c r="B44">
        <v>72</v>
      </c>
      <c r="C44" t="s">
        <v>53</v>
      </c>
      <c r="D44">
        <v>3</v>
      </c>
      <c r="E44">
        <v>1</v>
      </c>
      <c r="F44">
        <v>1</v>
      </c>
      <c r="G44" t="s">
        <v>112</v>
      </c>
      <c r="H44" t="s">
        <v>55</v>
      </c>
      <c r="K44" t="s">
        <v>45</v>
      </c>
      <c r="L44">
        <v>3</v>
      </c>
      <c r="N44">
        <v>1</v>
      </c>
      <c r="O44" t="s">
        <v>140</v>
      </c>
      <c r="P44" t="s">
        <v>92</v>
      </c>
      <c r="Q44" t="s">
        <v>93</v>
      </c>
      <c r="S44" t="s">
        <v>43</v>
      </c>
      <c r="T44">
        <v>2</v>
      </c>
      <c r="V44">
        <v>1</v>
      </c>
      <c r="W44" t="s">
        <v>44</v>
      </c>
      <c r="X44" t="s">
        <v>136</v>
      </c>
      <c r="AA44" t="s">
        <v>63</v>
      </c>
      <c r="AB44">
        <v>2</v>
      </c>
      <c r="AD44">
        <v>1</v>
      </c>
      <c r="AE44" t="s">
        <v>103</v>
      </c>
      <c r="AF44" t="s">
        <v>95</v>
      </c>
      <c r="AG44" t="s">
        <v>147</v>
      </c>
      <c r="AI44">
        <v>0</v>
      </c>
      <c r="AJ44">
        <v>16</v>
      </c>
    </row>
    <row r="45" spans="1:36" x14ac:dyDescent="0.25">
      <c r="A45" t="s">
        <v>858</v>
      </c>
      <c r="B45">
        <v>73</v>
      </c>
      <c r="C45" t="s">
        <v>53</v>
      </c>
      <c r="D45">
        <v>3</v>
      </c>
      <c r="E45">
        <v>1</v>
      </c>
      <c r="F45">
        <v>1</v>
      </c>
      <c r="G45" t="s">
        <v>112</v>
      </c>
      <c r="H45" t="s">
        <v>83</v>
      </c>
      <c r="I45" t="s">
        <v>114</v>
      </c>
      <c r="J45" t="s">
        <v>98</v>
      </c>
      <c r="K45" t="s">
        <v>45</v>
      </c>
      <c r="L45">
        <v>3</v>
      </c>
      <c r="N45">
        <v>1</v>
      </c>
      <c r="O45" t="s">
        <v>140</v>
      </c>
      <c r="S45" t="s">
        <v>43</v>
      </c>
      <c r="T45">
        <v>1</v>
      </c>
      <c r="V45">
        <v>1</v>
      </c>
      <c r="W45" t="s">
        <v>44</v>
      </c>
      <c r="X45" t="s">
        <v>136</v>
      </c>
      <c r="Y45" t="s">
        <v>75</v>
      </c>
      <c r="Z45" t="s">
        <v>101</v>
      </c>
      <c r="AA45" t="s">
        <v>38</v>
      </c>
      <c r="AB45">
        <v>3</v>
      </c>
      <c r="AC45">
        <v>1</v>
      </c>
      <c r="AD45">
        <v>2</v>
      </c>
      <c r="AE45" t="s">
        <v>39</v>
      </c>
      <c r="AF45" t="s">
        <v>40</v>
      </c>
      <c r="AG45" t="s">
        <v>41</v>
      </c>
      <c r="AI45">
        <v>0</v>
      </c>
      <c r="AJ45">
        <v>19</v>
      </c>
    </row>
    <row r="46" spans="1:36" x14ac:dyDescent="0.25">
      <c r="A46" t="s">
        <v>859</v>
      </c>
      <c r="B46">
        <v>74</v>
      </c>
      <c r="C46" t="s">
        <v>53</v>
      </c>
      <c r="D46">
        <v>2</v>
      </c>
      <c r="E46">
        <v>1</v>
      </c>
      <c r="F46">
        <v>1</v>
      </c>
      <c r="G46" t="s">
        <v>111</v>
      </c>
      <c r="H46" t="s">
        <v>83</v>
      </c>
      <c r="I46" t="s">
        <v>105</v>
      </c>
      <c r="J46" t="s">
        <v>98</v>
      </c>
      <c r="K46" t="s">
        <v>45</v>
      </c>
      <c r="L46">
        <v>3</v>
      </c>
      <c r="N46">
        <v>1</v>
      </c>
      <c r="O46" t="s">
        <v>86</v>
      </c>
      <c r="S46" t="s">
        <v>63</v>
      </c>
      <c r="T46">
        <v>1</v>
      </c>
      <c r="V46">
        <v>1</v>
      </c>
      <c r="W46" t="s">
        <v>72</v>
      </c>
      <c r="X46" t="s">
        <v>95</v>
      </c>
      <c r="Y46" t="s">
        <v>104</v>
      </c>
      <c r="AA46" t="s">
        <v>38</v>
      </c>
      <c r="AB46">
        <v>3</v>
      </c>
      <c r="AC46">
        <v>1</v>
      </c>
      <c r="AD46">
        <v>1</v>
      </c>
      <c r="AE46" t="s">
        <v>39</v>
      </c>
      <c r="AF46" t="s">
        <v>96</v>
      </c>
      <c r="AG46" t="s">
        <v>154</v>
      </c>
      <c r="AI46">
        <v>0</v>
      </c>
      <c r="AJ46">
        <v>16</v>
      </c>
    </row>
    <row r="47" spans="1:36" x14ac:dyDescent="0.25">
      <c r="A47" t="s">
        <v>860</v>
      </c>
      <c r="B47">
        <v>75</v>
      </c>
      <c r="C47" t="s">
        <v>53</v>
      </c>
      <c r="D47">
        <v>2</v>
      </c>
      <c r="E47">
        <v>1</v>
      </c>
      <c r="F47">
        <v>2</v>
      </c>
      <c r="G47" t="s">
        <v>112</v>
      </c>
      <c r="H47" t="s">
        <v>55</v>
      </c>
      <c r="I47" t="s">
        <v>114</v>
      </c>
      <c r="J47" t="s">
        <v>116</v>
      </c>
      <c r="K47" t="s">
        <v>63</v>
      </c>
      <c r="L47">
        <v>2</v>
      </c>
      <c r="N47">
        <v>1</v>
      </c>
      <c r="O47" t="s">
        <v>72</v>
      </c>
      <c r="P47" t="s">
        <v>95</v>
      </c>
      <c r="Q47" t="s">
        <v>147</v>
      </c>
      <c r="R47" t="s">
        <v>151</v>
      </c>
      <c r="S47" t="s">
        <v>56</v>
      </c>
      <c r="T47">
        <v>3</v>
      </c>
      <c r="V47">
        <v>1</v>
      </c>
      <c r="W47" t="s">
        <v>120</v>
      </c>
      <c r="AA47" t="s">
        <v>48</v>
      </c>
      <c r="AB47">
        <v>2</v>
      </c>
      <c r="AD47">
        <v>1</v>
      </c>
      <c r="AE47" t="s">
        <v>49</v>
      </c>
      <c r="AF47" t="s">
        <v>71</v>
      </c>
      <c r="AG47" t="s">
        <v>127</v>
      </c>
      <c r="AH47" t="s">
        <v>52</v>
      </c>
      <c r="AI47">
        <v>0</v>
      </c>
      <c r="AJ47">
        <v>19</v>
      </c>
    </row>
    <row r="48" spans="1:36" x14ac:dyDescent="0.25">
      <c r="A48" t="s">
        <v>861</v>
      </c>
      <c r="B48">
        <v>76</v>
      </c>
      <c r="C48" t="s">
        <v>56</v>
      </c>
      <c r="D48">
        <v>3</v>
      </c>
      <c r="F48">
        <v>1</v>
      </c>
      <c r="G48" t="s">
        <v>57</v>
      </c>
      <c r="H48" t="s">
        <v>122</v>
      </c>
      <c r="K48" t="s">
        <v>33</v>
      </c>
      <c r="L48">
        <v>2</v>
      </c>
      <c r="N48">
        <v>1</v>
      </c>
      <c r="O48" t="s">
        <v>34</v>
      </c>
      <c r="P48" t="s">
        <v>130</v>
      </c>
      <c r="Q48" t="s">
        <v>36</v>
      </c>
      <c r="S48" t="s">
        <v>53</v>
      </c>
      <c r="T48">
        <v>1</v>
      </c>
      <c r="U48">
        <v>1</v>
      </c>
      <c r="V48">
        <v>1</v>
      </c>
      <c r="W48" t="s">
        <v>112</v>
      </c>
      <c r="X48" t="s">
        <v>83</v>
      </c>
      <c r="AA48" t="s">
        <v>63</v>
      </c>
      <c r="AB48">
        <v>2</v>
      </c>
      <c r="AD48">
        <v>1</v>
      </c>
      <c r="AE48" t="s">
        <v>145</v>
      </c>
      <c r="AF48" t="s">
        <v>146</v>
      </c>
      <c r="AI48">
        <v>0</v>
      </c>
      <c r="AJ48">
        <v>13</v>
      </c>
    </row>
    <row r="49" spans="1:36" x14ac:dyDescent="0.25">
      <c r="A49" t="s">
        <v>862</v>
      </c>
      <c r="B49">
        <v>77</v>
      </c>
      <c r="C49" t="s">
        <v>56</v>
      </c>
      <c r="D49">
        <v>3</v>
      </c>
      <c r="F49">
        <v>1</v>
      </c>
      <c r="G49" t="s">
        <v>57</v>
      </c>
      <c r="K49" t="s">
        <v>43</v>
      </c>
      <c r="L49">
        <v>2</v>
      </c>
      <c r="N49">
        <v>1</v>
      </c>
      <c r="O49" t="s">
        <v>44</v>
      </c>
      <c r="P49" t="s">
        <v>136</v>
      </c>
      <c r="Q49" t="s">
        <v>137</v>
      </c>
      <c r="S49" t="s">
        <v>53</v>
      </c>
      <c r="T49">
        <v>1</v>
      </c>
      <c r="U49">
        <v>1</v>
      </c>
      <c r="V49">
        <v>1</v>
      </c>
      <c r="W49" t="s">
        <v>112</v>
      </c>
      <c r="X49" t="s">
        <v>55</v>
      </c>
      <c r="Y49" t="s">
        <v>114</v>
      </c>
      <c r="AA49" t="s">
        <v>63</v>
      </c>
      <c r="AB49">
        <v>1</v>
      </c>
      <c r="AD49">
        <v>1</v>
      </c>
      <c r="AE49" t="s">
        <v>72</v>
      </c>
      <c r="AF49" t="s">
        <v>95</v>
      </c>
      <c r="AI49">
        <v>0</v>
      </c>
      <c r="AJ49">
        <v>14</v>
      </c>
    </row>
    <row r="50" spans="1:36" x14ac:dyDescent="0.25">
      <c r="A50" t="s">
        <v>863</v>
      </c>
      <c r="B50">
        <v>78</v>
      </c>
      <c r="C50" t="s">
        <v>56</v>
      </c>
      <c r="D50">
        <v>3</v>
      </c>
      <c r="F50">
        <v>1</v>
      </c>
      <c r="G50" t="s">
        <v>57</v>
      </c>
      <c r="H50" t="s">
        <v>121</v>
      </c>
      <c r="I50" t="s">
        <v>123</v>
      </c>
      <c r="J50" t="s">
        <v>124</v>
      </c>
      <c r="K50" t="s">
        <v>45</v>
      </c>
      <c r="L50">
        <v>3</v>
      </c>
      <c r="N50">
        <v>1</v>
      </c>
      <c r="O50" t="s">
        <v>47</v>
      </c>
      <c r="P50" t="s">
        <v>141</v>
      </c>
      <c r="Q50" t="s">
        <v>93</v>
      </c>
      <c r="R50" t="s">
        <v>94</v>
      </c>
      <c r="S50" t="s">
        <v>53</v>
      </c>
      <c r="T50">
        <v>1</v>
      </c>
      <c r="U50">
        <v>3</v>
      </c>
      <c r="V50">
        <v>3</v>
      </c>
      <c r="W50" t="s">
        <v>112</v>
      </c>
      <c r="X50" t="s">
        <v>55</v>
      </c>
      <c r="AA50" t="s">
        <v>63</v>
      </c>
      <c r="AB50">
        <v>1</v>
      </c>
      <c r="AD50">
        <v>1</v>
      </c>
      <c r="AE50" t="s">
        <v>72</v>
      </c>
      <c r="AF50" t="s">
        <v>146</v>
      </c>
      <c r="AI50">
        <v>0</v>
      </c>
      <c r="AJ50">
        <v>21</v>
      </c>
    </row>
    <row r="51" spans="1:36" x14ac:dyDescent="0.25">
      <c r="A51" t="s">
        <v>864</v>
      </c>
      <c r="B51">
        <v>79</v>
      </c>
      <c r="C51" t="s">
        <v>53</v>
      </c>
      <c r="D51">
        <v>3</v>
      </c>
      <c r="E51">
        <v>3</v>
      </c>
      <c r="F51">
        <v>3</v>
      </c>
      <c r="G51" t="s">
        <v>112</v>
      </c>
      <c r="H51" t="s">
        <v>83</v>
      </c>
      <c r="I51" t="s">
        <v>114</v>
      </c>
      <c r="J51" t="s">
        <v>116</v>
      </c>
      <c r="K51" t="s">
        <v>63</v>
      </c>
      <c r="L51">
        <v>3</v>
      </c>
      <c r="N51">
        <v>3</v>
      </c>
      <c r="O51" t="s">
        <v>103</v>
      </c>
      <c r="P51" t="s">
        <v>146</v>
      </c>
      <c r="Q51" t="s">
        <v>147</v>
      </c>
      <c r="R51" t="s">
        <v>151</v>
      </c>
      <c r="S51" t="s">
        <v>56</v>
      </c>
      <c r="T51">
        <v>3</v>
      </c>
      <c r="V51">
        <v>3</v>
      </c>
      <c r="W51" t="s">
        <v>57</v>
      </c>
      <c r="X51" t="s">
        <v>69</v>
      </c>
      <c r="Y51" t="s">
        <v>123</v>
      </c>
      <c r="Z51" t="s">
        <v>124</v>
      </c>
      <c r="AA51" t="s">
        <v>38</v>
      </c>
      <c r="AB51">
        <v>3</v>
      </c>
      <c r="AC51">
        <v>2</v>
      </c>
      <c r="AD51">
        <v>3</v>
      </c>
      <c r="AE51" t="s">
        <v>152</v>
      </c>
      <c r="AF51" t="s">
        <v>40</v>
      </c>
      <c r="AG51" t="s">
        <v>41</v>
      </c>
      <c r="AI51">
        <v>0</v>
      </c>
      <c r="AJ51">
        <v>57</v>
      </c>
    </row>
    <row r="52" spans="1:36" x14ac:dyDescent="0.25">
      <c r="A52" t="s">
        <v>865</v>
      </c>
      <c r="B52">
        <v>80</v>
      </c>
      <c r="C52" t="s">
        <v>48</v>
      </c>
      <c r="D52">
        <v>2</v>
      </c>
      <c r="F52">
        <v>3</v>
      </c>
      <c r="G52" t="s">
        <v>49</v>
      </c>
      <c r="H52" t="s">
        <v>84</v>
      </c>
      <c r="I52" t="s">
        <v>127</v>
      </c>
      <c r="J52" t="s">
        <v>129</v>
      </c>
      <c r="K52" t="s">
        <v>33</v>
      </c>
      <c r="L52">
        <v>3</v>
      </c>
      <c r="N52">
        <v>3</v>
      </c>
      <c r="O52" t="s">
        <v>34</v>
      </c>
      <c r="P52" t="s">
        <v>35</v>
      </c>
      <c r="S52" t="s">
        <v>53</v>
      </c>
      <c r="T52">
        <v>3</v>
      </c>
      <c r="U52">
        <v>1</v>
      </c>
      <c r="V52">
        <v>1</v>
      </c>
      <c r="W52" t="s">
        <v>111</v>
      </c>
      <c r="X52" t="s">
        <v>113</v>
      </c>
      <c r="AA52" t="s">
        <v>63</v>
      </c>
      <c r="AB52">
        <v>3</v>
      </c>
      <c r="AD52">
        <v>2</v>
      </c>
      <c r="AE52" t="s">
        <v>72</v>
      </c>
      <c r="AF52" t="s">
        <v>95</v>
      </c>
      <c r="AG52" t="s">
        <v>147</v>
      </c>
      <c r="AH52" t="s">
        <v>150</v>
      </c>
      <c r="AI52">
        <v>0</v>
      </c>
      <c r="AJ52">
        <v>25</v>
      </c>
    </row>
    <row r="53" spans="1:36" x14ac:dyDescent="0.25">
      <c r="A53" t="s">
        <v>866</v>
      </c>
      <c r="B53">
        <v>81</v>
      </c>
      <c r="C53" t="s">
        <v>53</v>
      </c>
      <c r="D53">
        <v>3</v>
      </c>
      <c r="E53">
        <v>2</v>
      </c>
      <c r="F53">
        <v>3</v>
      </c>
      <c r="G53" t="s">
        <v>112</v>
      </c>
      <c r="H53" t="s">
        <v>55</v>
      </c>
      <c r="I53" t="s">
        <v>114</v>
      </c>
      <c r="J53" t="s">
        <v>116</v>
      </c>
      <c r="K53" t="s">
        <v>63</v>
      </c>
      <c r="L53">
        <v>3</v>
      </c>
      <c r="N53">
        <v>3</v>
      </c>
      <c r="O53" t="s">
        <v>72</v>
      </c>
      <c r="P53" t="s">
        <v>146</v>
      </c>
      <c r="Q53" t="s">
        <v>148</v>
      </c>
      <c r="R53" t="s">
        <v>151</v>
      </c>
      <c r="S53" t="s">
        <v>48</v>
      </c>
      <c r="T53">
        <v>2</v>
      </c>
      <c r="V53">
        <v>1</v>
      </c>
      <c r="W53" t="s">
        <v>49</v>
      </c>
      <c r="X53" t="s">
        <v>71</v>
      </c>
      <c r="Y53" t="s">
        <v>127</v>
      </c>
      <c r="Z53" t="s">
        <v>129</v>
      </c>
      <c r="AA53" t="s">
        <v>43</v>
      </c>
      <c r="AB53">
        <v>3</v>
      </c>
      <c r="AD53">
        <v>3</v>
      </c>
      <c r="AE53" t="s">
        <v>44</v>
      </c>
      <c r="AF53" t="s">
        <v>99</v>
      </c>
      <c r="AG53" t="s">
        <v>137</v>
      </c>
      <c r="AH53" t="s">
        <v>139</v>
      </c>
      <c r="AI53">
        <v>0</v>
      </c>
      <c r="AJ53">
        <v>32</v>
      </c>
    </row>
    <row r="54" spans="1:36" x14ac:dyDescent="0.25">
      <c r="A54" t="s">
        <v>867</v>
      </c>
      <c r="B54">
        <v>82</v>
      </c>
      <c r="C54" t="s">
        <v>53</v>
      </c>
      <c r="D54">
        <v>1</v>
      </c>
      <c r="E54">
        <v>2</v>
      </c>
      <c r="F54">
        <v>2</v>
      </c>
      <c r="G54" t="s">
        <v>111</v>
      </c>
      <c r="H54" t="s">
        <v>113</v>
      </c>
      <c r="I54" t="s">
        <v>114</v>
      </c>
      <c r="J54" t="s">
        <v>116</v>
      </c>
      <c r="K54" t="s">
        <v>63</v>
      </c>
      <c r="L54">
        <v>2</v>
      </c>
      <c r="N54">
        <v>2</v>
      </c>
      <c r="O54" t="s">
        <v>72</v>
      </c>
      <c r="P54" t="s">
        <v>146</v>
      </c>
      <c r="Q54" t="s">
        <v>147</v>
      </c>
      <c r="R54" t="s">
        <v>150</v>
      </c>
      <c r="S54" t="s">
        <v>48</v>
      </c>
      <c r="T54">
        <v>3</v>
      </c>
      <c r="V54">
        <v>1</v>
      </c>
      <c r="W54" t="s">
        <v>49</v>
      </c>
      <c r="X54" t="s">
        <v>71</v>
      </c>
      <c r="Y54" t="s">
        <v>127</v>
      </c>
      <c r="Z54" t="s">
        <v>52</v>
      </c>
      <c r="AA54" t="s">
        <v>45</v>
      </c>
      <c r="AB54">
        <v>3</v>
      </c>
      <c r="AD54">
        <v>1</v>
      </c>
      <c r="AE54" t="s">
        <v>86</v>
      </c>
      <c r="AI54">
        <v>0</v>
      </c>
      <c r="AJ54">
        <v>22</v>
      </c>
    </row>
    <row r="55" spans="1:36" x14ac:dyDescent="0.25">
      <c r="A55" t="s">
        <v>868</v>
      </c>
      <c r="B55">
        <v>83</v>
      </c>
      <c r="C55" t="s">
        <v>53</v>
      </c>
      <c r="D55">
        <v>3</v>
      </c>
      <c r="E55">
        <v>2</v>
      </c>
      <c r="F55">
        <v>3</v>
      </c>
      <c r="G55" t="s">
        <v>111</v>
      </c>
      <c r="H55" t="s">
        <v>83</v>
      </c>
      <c r="I55" t="s">
        <v>105</v>
      </c>
      <c r="J55" t="s">
        <v>116</v>
      </c>
      <c r="K55" t="s">
        <v>63</v>
      </c>
      <c r="L55">
        <v>3</v>
      </c>
      <c r="N55">
        <v>3</v>
      </c>
      <c r="O55" t="s">
        <v>72</v>
      </c>
      <c r="P55" t="s">
        <v>146</v>
      </c>
      <c r="Q55" t="s">
        <v>148</v>
      </c>
      <c r="R55" t="s">
        <v>151</v>
      </c>
      <c r="S55" t="s">
        <v>48</v>
      </c>
      <c r="T55">
        <v>3</v>
      </c>
      <c r="V55">
        <v>3</v>
      </c>
      <c r="W55" t="s">
        <v>89</v>
      </c>
      <c r="X55" t="s">
        <v>71</v>
      </c>
      <c r="Y55" t="s">
        <v>127</v>
      </c>
      <c r="Z55" t="s">
        <v>129</v>
      </c>
      <c r="AA55" t="s">
        <v>38</v>
      </c>
      <c r="AB55">
        <v>3</v>
      </c>
      <c r="AC55">
        <v>1</v>
      </c>
      <c r="AD55">
        <v>1</v>
      </c>
      <c r="AE55" t="s">
        <v>152</v>
      </c>
      <c r="AF55" t="s">
        <v>40</v>
      </c>
      <c r="AG55" t="s">
        <v>153</v>
      </c>
      <c r="AH55" t="s">
        <v>155</v>
      </c>
      <c r="AI55">
        <v>0</v>
      </c>
      <c r="AJ55">
        <v>31</v>
      </c>
    </row>
    <row r="56" spans="1:36" x14ac:dyDescent="0.25">
      <c r="A56" t="s">
        <v>869</v>
      </c>
      <c r="B56">
        <v>84</v>
      </c>
      <c r="C56" t="s">
        <v>53</v>
      </c>
      <c r="D56">
        <v>3</v>
      </c>
      <c r="E56">
        <v>2</v>
      </c>
      <c r="F56">
        <v>2</v>
      </c>
      <c r="G56" t="s">
        <v>112</v>
      </c>
      <c r="H56" t="s">
        <v>83</v>
      </c>
      <c r="I56" t="s">
        <v>97</v>
      </c>
      <c r="J56" t="s">
        <v>116</v>
      </c>
      <c r="K56" t="s">
        <v>63</v>
      </c>
      <c r="L56">
        <v>3</v>
      </c>
      <c r="N56">
        <v>3</v>
      </c>
      <c r="O56" t="s">
        <v>145</v>
      </c>
      <c r="P56" t="s">
        <v>146</v>
      </c>
      <c r="Q56" t="s">
        <v>104</v>
      </c>
      <c r="R56" t="s">
        <v>149</v>
      </c>
      <c r="S56" t="s">
        <v>33</v>
      </c>
      <c r="T56">
        <v>2</v>
      </c>
      <c r="V56">
        <v>2</v>
      </c>
      <c r="W56" t="s">
        <v>34</v>
      </c>
      <c r="X56" t="s">
        <v>130</v>
      </c>
      <c r="AA56" t="s">
        <v>43</v>
      </c>
      <c r="AB56">
        <v>3</v>
      </c>
      <c r="AD56">
        <v>3</v>
      </c>
      <c r="AE56" t="s">
        <v>135</v>
      </c>
      <c r="AF56" t="s">
        <v>74</v>
      </c>
      <c r="AG56" t="s">
        <v>137</v>
      </c>
      <c r="AH56" t="s">
        <v>139</v>
      </c>
      <c r="AI56">
        <v>0</v>
      </c>
      <c r="AJ56">
        <v>28</v>
      </c>
    </row>
    <row r="57" spans="1:36" x14ac:dyDescent="0.25">
      <c r="A57" t="s">
        <v>870</v>
      </c>
      <c r="B57">
        <v>85</v>
      </c>
      <c r="C57" t="s">
        <v>33</v>
      </c>
      <c r="D57">
        <v>3</v>
      </c>
      <c r="F57">
        <v>2</v>
      </c>
      <c r="G57" t="s">
        <v>34</v>
      </c>
      <c r="H57" t="s">
        <v>130</v>
      </c>
      <c r="I57" t="s">
        <v>36</v>
      </c>
      <c r="K57" t="s">
        <v>45</v>
      </c>
      <c r="L57">
        <v>3</v>
      </c>
      <c r="N57">
        <v>1</v>
      </c>
      <c r="O57" t="s">
        <v>140</v>
      </c>
      <c r="P57" t="s">
        <v>141</v>
      </c>
      <c r="Q57" t="s">
        <v>93</v>
      </c>
      <c r="S57" t="s">
        <v>53</v>
      </c>
      <c r="T57">
        <v>1</v>
      </c>
      <c r="U57">
        <v>1</v>
      </c>
      <c r="V57">
        <v>1</v>
      </c>
      <c r="W57" t="s">
        <v>112</v>
      </c>
      <c r="X57" t="s">
        <v>83</v>
      </c>
      <c r="Y57" t="s">
        <v>97</v>
      </c>
      <c r="Z57" t="s">
        <v>116</v>
      </c>
      <c r="AA57" t="s">
        <v>63</v>
      </c>
      <c r="AB57">
        <v>2</v>
      </c>
      <c r="AD57">
        <v>2</v>
      </c>
      <c r="AE57" t="s">
        <v>145</v>
      </c>
      <c r="AF57" t="s">
        <v>146</v>
      </c>
      <c r="AG57" t="s">
        <v>104</v>
      </c>
      <c r="AI57">
        <v>0</v>
      </c>
      <c r="AJ57">
        <v>20</v>
      </c>
    </row>
    <row r="58" spans="1:36" x14ac:dyDescent="0.25">
      <c r="A58" t="s">
        <v>871</v>
      </c>
      <c r="B58">
        <v>86</v>
      </c>
      <c r="C58" t="s">
        <v>53</v>
      </c>
      <c r="D58">
        <v>1</v>
      </c>
      <c r="E58">
        <v>1</v>
      </c>
      <c r="F58">
        <v>1</v>
      </c>
      <c r="G58" t="s">
        <v>111</v>
      </c>
      <c r="H58" t="s">
        <v>83</v>
      </c>
      <c r="I58" t="s">
        <v>105</v>
      </c>
      <c r="K58" t="s">
        <v>63</v>
      </c>
      <c r="L58">
        <v>2</v>
      </c>
      <c r="N58">
        <v>1</v>
      </c>
      <c r="O58" t="s">
        <v>145</v>
      </c>
      <c r="P58" t="s">
        <v>95</v>
      </c>
      <c r="Q58" t="s">
        <v>147</v>
      </c>
      <c r="S58" t="s">
        <v>33</v>
      </c>
      <c r="T58">
        <v>3</v>
      </c>
      <c r="V58">
        <v>1</v>
      </c>
      <c r="W58" t="s">
        <v>34</v>
      </c>
      <c r="AA58" t="s">
        <v>38</v>
      </c>
      <c r="AB58">
        <v>2</v>
      </c>
      <c r="AC58">
        <v>2</v>
      </c>
      <c r="AD58">
        <v>1</v>
      </c>
      <c r="AE58" t="s">
        <v>152</v>
      </c>
      <c r="AF58" t="s">
        <v>96</v>
      </c>
      <c r="AI58">
        <v>0</v>
      </c>
      <c r="AJ58">
        <v>14</v>
      </c>
    </row>
    <row r="59" spans="1:36" x14ac:dyDescent="0.25">
      <c r="A59" t="s">
        <v>872</v>
      </c>
      <c r="B59">
        <v>87</v>
      </c>
      <c r="C59" t="s">
        <v>43</v>
      </c>
      <c r="D59">
        <v>3</v>
      </c>
      <c r="F59">
        <v>2</v>
      </c>
      <c r="G59" t="s">
        <v>44</v>
      </c>
      <c r="H59" t="s">
        <v>99</v>
      </c>
      <c r="I59" t="s">
        <v>75</v>
      </c>
      <c r="K59" t="s">
        <v>45</v>
      </c>
      <c r="L59">
        <v>3</v>
      </c>
      <c r="N59">
        <v>1</v>
      </c>
      <c r="O59" t="s">
        <v>140</v>
      </c>
      <c r="P59" t="s">
        <v>141</v>
      </c>
      <c r="Q59" t="s">
        <v>102</v>
      </c>
      <c r="R59" t="s">
        <v>143</v>
      </c>
      <c r="S59" t="s">
        <v>53</v>
      </c>
      <c r="T59">
        <v>1</v>
      </c>
      <c r="U59">
        <v>1</v>
      </c>
      <c r="V59">
        <v>3</v>
      </c>
      <c r="W59" t="s">
        <v>112</v>
      </c>
      <c r="X59" t="s">
        <v>55</v>
      </c>
      <c r="Y59" t="s">
        <v>97</v>
      </c>
      <c r="AA59" t="s">
        <v>63</v>
      </c>
      <c r="AB59">
        <v>1</v>
      </c>
      <c r="AD59">
        <v>1</v>
      </c>
      <c r="AE59" t="s">
        <v>72</v>
      </c>
      <c r="AF59" t="s">
        <v>146</v>
      </c>
      <c r="AI59">
        <v>0</v>
      </c>
      <c r="AJ59">
        <v>19</v>
      </c>
    </row>
    <row r="60" spans="1:36" x14ac:dyDescent="0.25">
      <c r="A60" t="s">
        <v>873</v>
      </c>
      <c r="B60">
        <v>88</v>
      </c>
      <c r="C60" t="s">
        <v>53</v>
      </c>
      <c r="D60">
        <v>2</v>
      </c>
      <c r="E60">
        <v>3</v>
      </c>
      <c r="F60">
        <v>3</v>
      </c>
      <c r="G60" t="s">
        <v>112</v>
      </c>
      <c r="H60" t="s">
        <v>55</v>
      </c>
      <c r="I60" t="s">
        <v>97</v>
      </c>
      <c r="J60" t="s">
        <v>115</v>
      </c>
      <c r="K60" t="s">
        <v>63</v>
      </c>
      <c r="L60">
        <v>1</v>
      </c>
      <c r="N60">
        <v>1</v>
      </c>
      <c r="O60" t="s">
        <v>72</v>
      </c>
      <c r="P60" t="s">
        <v>146</v>
      </c>
      <c r="Q60" t="s">
        <v>104</v>
      </c>
      <c r="R60" t="s">
        <v>150</v>
      </c>
      <c r="S60" t="s">
        <v>43</v>
      </c>
      <c r="T60">
        <v>3</v>
      </c>
      <c r="V60">
        <v>1</v>
      </c>
      <c r="W60" t="s">
        <v>44</v>
      </c>
      <c r="X60" t="s">
        <v>99</v>
      </c>
      <c r="Y60" t="s">
        <v>75</v>
      </c>
      <c r="AA60" t="s">
        <v>38</v>
      </c>
      <c r="AB60">
        <v>3</v>
      </c>
      <c r="AC60">
        <v>3</v>
      </c>
      <c r="AD60">
        <v>2</v>
      </c>
      <c r="AE60" t="s">
        <v>152</v>
      </c>
      <c r="AF60" t="s">
        <v>40</v>
      </c>
      <c r="AG60" t="s">
        <v>153</v>
      </c>
      <c r="AH60" t="s">
        <v>155</v>
      </c>
      <c r="AI60">
        <v>0</v>
      </c>
      <c r="AJ60">
        <v>29</v>
      </c>
    </row>
    <row r="61" spans="1:36" x14ac:dyDescent="0.25">
      <c r="A61" t="s">
        <v>874</v>
      </c>
      <c r="B61">
        <v>89</v>
      </c>
      <c r="C61" t="s">
        <v>53</v>
      </c>
      <c r="D61">
        <v>2</v>
      </c>
      <c r="E61">
        <v>1</v>
      </c>
      <c r="F61">
        <v>2</v>
      </c>
      <c r="G61" t="s">
        <v>112</v>
      </c>
      <c r="H61" t="s">
        <v>55</v>
      </c>
      <c r="I61" t="s">
        <v>97</v>
      </c>
      <c r="J61" t="s">
        <v>116</v>
      </c>
      <c r="K61" t="s">
        <v>63</v>
      </c>
      <c r="L61">
        <v>2</v>
      </c>
      <c r="N61">
        <v>2</v>
      </c>
      <c r="O61" t="s">
        <v>72</v>
      </c>
      <c r="P61" t="s">
        <v>146</v>
      </c>
      <c r="Q61" t="s">
        <v>147</v>
      </c>
      <c r="R61" t="s">
        <v>151</v>
      </c>
      <c r="S61" t="s">
        <v>45</v>
      </c>
      <c r="T61">
        <v>3</v>
      </c>
      <c r="V61">
        <v>1</v>
      </c>
      <c r="W61" t="s">
        <v>86</v>
      </c>
      <c r="X61" t="s">
        <v>141</v>
      </c>
      <c r="Y61" t="s">
        <v>102</v>
      </c>
      <c r="Z61" t="s">
        <v>94</v>
      </c>
      <c r="AA61" t="s">
        <v>38</v>
      </c>
      <c r="AB61">
        <v>3</v>
      </c>
      <c r="AC61">
        <v>1</v>
      </c>
      <c r="AD61">
        <v>1</v>
      </c>
      <c r="AE61" t="s">
        <v>67</v>
      </c>
      <c r="AF61" t="s">
        <v>70</v>
      </c>
      <c r="AG61" t="s">
        <v>153</v>
      </c>
      <c r="AH61" t="s">
        <v>155</v>
      </c>
      <c r="AI61">
        <v>0</v>
      </c>
      <c r="AJ61">
        <v>24</v>
      </c>
    </row>
    <row r="62" spans="1:36" x14ac:dyDescent="0.25">
      <c r="A62" t="s">
        <v>875</v>
      </c>
      <c r="B62">
        <v>90</v>
      </c>
      <c r="C62" t="s">
        <v>56</v>
      </c>
      <c r="D62">
        <v>3</v>
      </c>
      <c r="F62">
        <v>1</v>
      </c>
      <c r="G62" t="s">
        <v>120</v>
      </c>
      <c r="H62" t="s">
        <v>121</v>
      </c>
      <c r="I62" t="s">
        <v>87</v>
      </c>
      <c r="J62" t="s">
        <v>125</v>
      </c>
      <c r="K62" t="s">
        <v>48</v>
      </c>
      <c r="L62">
        <v>1</v>
      </c>
      <c r="N62">
        <v>1</v>
      </c>
      <c r="O62" t="s">
        <v>49</v>
      </c>
      <c r="P62" t="s">
        <v>84</v>
      </c>
      <c r="Q62" t="s">
        <v>127</v>
      </c>
      <c r="R62" t="s">
        <v>129</v>
      </c>
      <c r="S62" t="s">
        <v>53</v>
      </c>
      <c r="T62">
        <v>3</v>
      </c>
      <c r="U62">
        <v>1</v>
      </c>
      <c r="V62">
        <v>2</v>
      </c>
      <c r="W62" t="s">
        <v>112</v>
      </c>
      <c r="X62" t="s">
        <v>55</v>
      </c>
      <c r="Y62" t="s">
        <v>114</v>
      </c>
      <c r="AA62" t="s">
        <v>38</v>
      </c>
      <c r="AB62">
        <v>3</v>
      </c>
      <c r="AC62">
        <v>1</v>
      </c>
      <c r="AD62">
        <v>1</v>
      </c>
      <c r="AE62" t="s">
        <v>67</v>
      </c>
      <c r="AI62">
        <v>0</v>
      </c>
      <c r="AJ62">
        <v>19</v>
      </c>
    </row>
    <row r="63" spans="1:36" x14ac:dyDescent="0.25">
      <c r="A63" t="s">
        <v>876</v>
      </c>
      <c r="B63">
        <v>91</v>
      </c>
      <c r="C63" t="s">
        <v>56</v>
      </c>
      <c r="D63">
        <v>3</v>
      </c>
      <c r="F63">
        <v>2</v>
      </c>
      <c r="G63" t="s">
        <v>57</v>
      </c>
      <c r="H63" t="s">
        <v>121</v>
      </c>
      <c r="I63" t="s">
        <v>87</v>
      </c>
      <c r="K63" t="s">
        <v>33</v>
      </c>
      <c r="L63">
        <v>2</v>
      </c>
      <c r="N63">
        <v>2</v>
      </c>
      <c r="O63" t="s">
        <v>65</v>
      </c>
      <c r="P63" t="s">
        <v>130</v>
      </c>
      <c r="Q63" t="s">
        <v>131</v>
      </c>
      <c r="R63" t="s">
        <v>133</v>
      </c>
      <c r="S63" t="s">
        <v>53</v>
      </c>
      <c r="T63">
        <v>1</v>
      </c>
      <c r="U63">
        <v>1</v>
      </c>
      <c r="V63">
        <v>2</v>
      </c>
      <c r="W63" t="s">
        <v>112</v>
      </c>
      <c r="X63" t="s">
        <v>113</v>
      </c>
      <c r="AA63" t="s">
        <v>38</v>
      </c>
      <c r="AB63">
        <v>3</v>
      </c>
      <c r="AC63">
        <v>1</v>
      </c>
      <c r="AD63">
        <v>2</v>
      </c>
      <c r="AE63" t="s">
        <v>67</v>
      </c>
      <c r="AF63" t="s">
        <v>96</v>
      </c>
      <c r="AG63" t="s">
        <v>41</v>
      </c>
      <c r="AI63">
        <v>0</v>
      </c>
      <c r="AJ63">
        <v>21</v>
      </c>
    </row>
    <row r="64" spans="1:36" x14ac:dyDescent="0.25">
      <c r="A64" t="s">
        <v>877</v>
      </c>
      <c r="B64">
        <v>92</v>
      </c>
      <c r="C64" t="s">
        <v>53</v>
      </c>
      <c r="D64">
        <v>2</v>
      </c>
      <c r="E64">
        <v>1</v>
      </c>
      <c r="F64">
        <v>2</v>
      </c>
      <c r="G64" t="s">
        <v>112</v>
      </c>
      <c r="H64" t="s">
        <v>55</v>
      </c>
      <c r="I64" t="s">
        <v>97</v>
      </c>
      <c r="J64" t="s">
        <v>115</v>
      </c>
      <c r="K64" t="s">
        <v>38</v>
      </c>
      <c r="L64">
        <v>1</v>
      </c>
      <c r="M64">
        <v>1</v>
      </c>
      <c r="N64">
        <v>1</v>
      </c>
      <c r="O64" t="s">
        <v>39</v>
      </c>
      <c r="P64" t="s">
        <v>40</v>
      </c>
      <c r="S64" t="s">
        <v>56</v>
      </c>
      <c r="T64">
        <v>3</v>
      </c>
      <c r="V64">
        <v>1</v>
      </c>
      <c r="W64" t="s">
        <v>120</v>
      </c>
      <c r="X64" t="s">
        <v>69</v>
      </c>
      <c r="Y64" t="s">
        <v>87</v>
      </c>
      <c r="AA64" t="s">
        <v>43</v>
      </c>
      <c r="AB64">
        <v>1</v>
      </c>
      <c r="AD64">
        <v>2</v>
      </c>
      <c r="AE64" t="s">
        <v>44</v>
      </c>
      <c r="AF64" t="s">
        <v>99</v>
      </c>
      <c r="AG64" t="s">
        <v>75</v>
      </c>
      <c r="AH64" t="s">
        <v>101</v>
      </c>
      <c r="AI64">
        <v>0</v>
      </c>
      <c r="AJ64">
        <v>20</v>
      </c>
    </row>
    <row r="65" spans="1:36" x14ac:dyDescent="0.25">
      <c r="A65" t="s">
        <v>878</v>
      </c>
      <c r="B65">
        <v>93</v>
      </c>
      <c r="C65" t="s">
        <v>56</v>
      </c>
      <c r="D65">
        <v>3</v>
      </c>
      <c r="F65">
        <v>1</v>
      </c>
      <c r="G65" t="s">
        <v>57</v>
      </c>
      <c r="H65" t="s">
        <v>122</v>
      </c>
      <c r="I65" t="s">
        <v>123</v>
      </c>
      <c r="K65" t="s">
        <v>45</v>
      </c>
      <c r="L65">
        <v>3</v>
      </c>
      <c r="N65">
        <v>1</v>
      </c>
      <c r="O65" t="s">
        <v>140</v>
      </c>
      <c r="P65" t="s">
        <v>141</v>
      </c>
      <c r="Q65" t="s">
        <v>102</v>
      </c>
      <c r="S65" t="s">
        <v>53</v>
      </c>
      <c r="T65">
        <v>1</v>
      </c>
      <c r="U65">
        <v>2</v>
      </c>
      <c r="V65">
        <v>2</v>
      </c>
      <c r="W65" t="s">
        <v>112</v>
      </c>
      <c r="X65" t="s">
        <v>55</v>
      </c>
      <c r="Y65" t="s">
        <v>97</v>
      </c>
      <c r="AA65" t="s">
        <v>38</v>
      </c>
      <c r="AB65">
        <v>1</v>
      </c>
      <c r="AC65">
        <v>1</v>
      </c>
      <c r="AD65">
        <v>2</v>
      </c>
      <c r="AE65" t="s">
        <v>39</v>
      </c>
      <c r="AI65">
        <v>0</v>
      </c>
      <c r="AJ65">
        <v>18</v>
      </c>
    </row>
    <row r="66" spans="1:36" x14ac:dyDescent="0.25">
      <c r="A66" t="s">
        <v>879</v>
      </c>
      <c r="B66">
        <v>94</v>
      </c>
      <c r="C66" t="s">
        <v>56</v>
      </c>
      <c r="D66">
        <v>3</v>
      </c>
      <c r="F66">
        <v>2</v>
      </c>
      <c r="G66" t="s">
        <v>57</v>
      </c>
      <c r="H66" t="s">
        <v>69</v>
      </c>
      <c r="I66" t="s">
        <v>85</v>
      </c>
      <c r="J66" t="s">
        <v>125</v>
      </c>
      <c r="K66" t="s">
        <v>63</v>
      </c>
      <c r="L66">
        <v>3</v>
      </c>
      <c r="N66">
        <v>2</v>
      </c>
      <c r="O66" t="s">
        <v>72</v>
      </c>
      <c r="P66" t="s">
        <v>95</v>
      </c>
      <c r="Q66" t="s">
        <v>148</v>
      </c>
      <c r="R66" t="s">
        <v>151</v>
      </c>
      <c r="S66" t="s">
        <v>53</v>
      </c>
      <c r="T66">
        <v>3</v>
      </c>
      <c r="U66">
        <v>3</v>
      </c>
      <c r="V66">
        <v>1</v>
      </c>
      <c r="W66" t="s">
        <v>112</v>
      </c>
      <c r="X66" t="s">
        <v>55</v>
      </c>
      <c r="Y66" t="s">
        <v>105</v>
      </c>
      <c r="Z66" t="s">
        <v>115</v>
      </c>
      <c r="AA66" t="s">
        <v>38</v>
      </c>
      <c r="AB66">
        <v>1</v>
      </c>
      <c r="AC66">
        <v>1</v>
      </c>
      <c r="AD66">
        <v>1</v>
      </c>
      <c r="AE66" t="s">
        <v>39</v>
      </c>
      <c r="AF66" t="s">
        <v>96</v>
      </c>
      <c r="AG66" t="s">
        <v>153</v>
      </c>
      <c r="AI66">
        <v>0</v>
      </c>
      <c r="AJ66">
        <v>26</v>
      </c>
    </row>
    <row r="67" spans="1:36" x14ac:dyDescent="0.25">
      <c r="A67" t="s">
        <v>880</v>
      </c>
      <c r="B67">
        <v>95</v>
      </c>
      <c r="C67" t="s">
        <v>53</v>
      </c>
      <c r="D67">
        <v>2</v>
      </c>
      <c r="E67">
        <v>2</v>
      </c>
      <c r="F67">
        <v>3</v>
      </c>
      <c r="G67" t="s">
        <v>112</v>
      </c>
      <c r="H67" t="s">
        <v>113</v>
      </c>
      <c r="I67" t="s">
        <v>114</v>
      </c>
      <c r="J67" t="s">
        <v>116</v>
      </c>
      <c r="K67" t="s">
        <v>38</v>
      </c>
      <c r="L67">
        <v>3</v>
      </c>
      <c r="M67">
        <v>3</v>
      </c>
      <c r="N67">
        <v>2</v>
      </c>
      <c r="O67" t="s">
        <v>67</v>
      </c>
      <c r="P67" t="s">
        <v>40</v>
      </c>
      <c r="Q67" t="s">
        <v>41</v>
      </c>
      <c r="R67" t="s">
        <v>156</v>
      </c>
      <c r="S67" t="s">
        <v>48</v>
      </c>
      <c r="T67">
        <v>2</v>
      </c>
      <c r="V67">
        <v>1</v>
      </c>
      <c r="W67" t="s">
        <v>49</v>
      </c>
      <c r="X67" t="s">
        <v>84</v>
      </c>
      <c r="Y67" t="s">
        <v>90</v>
      </c>
      <c r="Z67" t="s">
        <v>52</v>
      </c>
      <c r="AA67" t="s">
        <v>33</v>
      </c>
      <c r="AB67">
        <v>3</v>
      </c>
      <c r="AD67">
        <v>3</v>
      </c>
      <c r="AE67" t="s">
        <v>65</v>
      </c>
      <c r="AF67" t="s">
        <v>130</v>
      </c>
      <c r="AG67" t="s">
        <v>131</v>
      </c>
      <c r="AH67" t="s">
        <v>133</v>
      </c>
      <c r="AI67">
        <v>0</v>
      </c>
      <c r="AJ67">
        <v>32</v>
      </c>
    </row>
    <row r="68" spans="1:36" x14ac:dyDescent="0.25">
      <c r="A68" t="s">
        <v>881</v>
      </c>
      <c r="B68">
        <v>96</v>
      </c>
      <c r="C68" t="s">
        <v>48</v>
      </c>
      <c r="D68">
        <v>2</v>
      </c>
      <c r="F68">
        <v>1</v>
      </c>
      <c r="G68" t="s">
        <v>49</v>
      </c>
      <c r="H68" t="s">
        <v>84</v>
      </c>
      <c r="I68" t="s">
        <v>127</v>
      </c>
      <c r="K68" t="s">
        <v>43</v>
      </c>
      <c r="L68">
        <v>3</v>
      </c>
      <c r="N68">
        <v>1</v>
      </c>
      <c r="O68" t="s">
        <v>73</v>
      </c>
      <c r="P68" t="s">
        <v>99</v>
      </c>
      <c r="Q68" t="s">
        <v>75</v>
      </c>
      <c r="S68" t="s">
        <v>53</v>
      </c>
      <c r="T68">
        <v>1</v>
      </c>
      <c r="U68">
        <v>1</v>
      </c>
      <c r="V68">
        <v>2</v>
      </c>
      <c r="W68" t="s">
        <v>112</v>
      </c>
      <c r="X68" t="s">
        <v>113</v>
      </c>
      <c r="Y68" t="s">
        <v>114</v>
      </c>
      <c r="AA68" t="s">
        <v>38</v>
      </c>
      <c r="AB68">
        <v>2</v>
      </c>
      <c r="AC68">
        <v>1</v>
      </c>
      <c r="AD68">
        <v>2</v>
      </c>
      <c r="AE68" t="s">
        <v>39</v>
      </c>
      <c r="AF68" t="s">
        <v>40</v>
      </c>
      <c r="AI68">
        <v>0</v>
      </c>
      <c r="AJ68">
        <v>17</v>
      </c>
    </row>
    <row r="69" spans="1:36" x14ac:dyDescent="0.25">
      <c r="A69" t="s">
        <v>882</v>
      </c>
      <c r="B69">
        <v>97</v>
      </c>
      <c r="C69" t="s">
        <v>53</v>
      </c>
      <c r="D69">
        <v>3</v>
      </c>
      <c r="E69">
        <v>1</v>
      </c>
      <c r="F69">
        <v>1</v>
      </c>
      <c r="G69" t="s">
        <v>112</v>
      </c>
      <c r="H69" t="s">
        <v>55</v>
      </c>
      <c r="I69" t="s">
        <v>105</v>
      </c>
      <c r="J69" t="s">
        <v>98</v>
      </c>
      <c r="K69" t="s">
        <v>38</v>
      </c>
      <c r="L69">
        <v>3</v>
      </c>
      <c r="M69">
        <v>1</v>
      </c>
      <c r="N69">
        <v>1</v>
      </c>
      <c r="O69" t="s">
        <v>39</v>
      </c>
      <c r="S69" t="s">
        <v>48</v>
      </c>
      <c r="T69">
        <v>2</v>
      </c>
      <c r="V69">
        <v>1</v>
      </c>
      <c r="W69" t="s">
        <v>49</v>
      </c>
      <c r="X69" t="s">
        <v>84</v>
      </c>
      <c r="Y69" t="s">
        <v>127</v>
      </c>
      <c r="AA69" t="s">
        <v>45</v>
      </c>
      <c r="AB69">
        <v>3</v>
      </c>
      <c r="AD69">
        <v>1</v>
      </c>
      <c r="AE69" t="s">
        <v>86</v>
      </c>
      <c r="AF69" t="s">
        <v>141</v>
      </c>
      <c r="AI69">
        <v>0</v>
      </c>
      <c r="AJ69">
        <v>17</v>
      </c>
    </row>
    <row r="70" spans="1:36" x14ac:dyDescent="0.25">
      <c r="A70" t="s">
        <v>883</v>
      </c>
      <c r="B70">
        <v>98</v>
      </c>
      <c r="C70" t="s">
        <v>53</v>
      </c>
      <c r="D70">
        <v>3</v>
      </c>
      <c r="E70">
        <v>1</v>
      </c>
      <c r="F70">
        <v>1</v>
      </c>
      <c r="G70" t="s">
        <v>112</v>
      </c>
      <c r="H70" t="s">
        <v>113</v>
      </c>
      <c r="K70" t="s">
        <v>38</v>
      </c>
      <c r="L70">
        <v>3</v>
      </c>
      <c r="M70">
        <v>1</v>
      </c>
      <c r="N70">
        <v>1</v>
      </c>
      <c r="O70" t="s">
        <v>39</v>
      </c>
      <c r="P70" t="s">
        <v>96</v>
      </c>
      <c r="Q70" t="s">
        <v>41</v>
      </c>
      <c r="S70" t="s">
        <v>48</v>
      </c>
      <c r="T70">
        <v>1</v>
      </c>
      <c r="V70">
        <v>1</v>
      </c>
      <c r="W70" t="s">
        <v>49</v>
      </c>
      <c r="X70" t="s">
        <v>84</v>
      </c>
      <c r="Y70" t="s">
        <v>127</v>
      </c>
      <c r="AA70" t="s">
        <v>63</v>
      </c>
      <c r="AB70">
        <v>2</v>
      </c>
      <c r="AD70">
        <v>1</v>
      </c>
      <c r="AE70" t="s">
        <v>72</v>
      </c>
      <c r="AF70" t="s">
        <v>95</v>
      </c>
      <c r="AG70" t="s">
        <v>147</v>
      </c>
      <c r="AH70" t="s">
        <v>151</v>
      </c>
      <c r="AI70">
        <v>0</v>
      </c>
      <c r="AJ70">
        <v>18</v>
      </c>
    </row>
    <row r="71" spans="1:36" x14ac:dyDescent="0.25">
      <c r="A71" t="s">
        <v>884</v>
      </c>
      <c r="B71">
        <v>99</v>
      </c>
      <c r="C71" t="s">
        <v>53</v>
      </c>
      <c r="D71">
        <v>1</v>
      </c>
      <c r="E71">
        <v>2</v>
      </c>
      <c r="F71">
        <v>2</v>
      </c>
      <c r="G71" t="s">
        <v>112</v>
      </c>
      <c r="H71" t="s">
        <v>113</v>
      </c>
      <c r="I71" t="s">
        <v>114</v>
      </c>
      <c r="K71" t="s">
        <v>38</v>
      </c>
      <c r="L71">
        <v>3</v>
      </c>
      <c r="M71">
        <v>1</v>
      </c>
      <c r="N71">
        <v>2</v>
      </c>
      <c r="O71" t="s">
        <v>67</v>
      </c>
      <c r="P71" t="s">
        <v>70</v>
      </c>
      <c r="S71" t="s">
        <v>33</v>
      </c>
      <c r="T71">
        <v>2</v>
      </c>
      <c r="V71">
        <v>1</v>
      </c>
      <c r="W71" t="s">
        <v>65</v>
      </c>
      <c r="X71" t="s">
        <v>130</v>
      </c>
      <c r="Y71" t="s">
        <v>131</v>
      </c>
      <c r="Z71" t="s">
        <v>133</v>
      </c>
      <c r="AA71" t="s">
        <v>43</v>
      </c>
      <c r="AB71">
        <v>1</v>
      </c>
      <c r="AD71">
        <v>1</v>
      </c>
      <c r="AE71" t="s">
        <v>73</v>
      </c>
      <c r="AF71" t="s">
        <v>99</v>
      </c>
      <c r="AG71" t="s">
        <v>75</v>
      </c>
      <c r="AI71">
        <v>0</v>
      </c>
      <c r="AJ71">
        <v>19</v>
      </c>
    </row>
    <row r="72" spans="1:36" x14ac:dyDescent="0.25">
      <c r="A72" t="s">
        <v>885</v>
      </c>
      <c r="B72">
        <v>100</v>
      </c>
      <c r="C72" t="s">
        <v>33</v>
      </c>
      <c r="D72">
        <v>1</v>
      </c>
      <c r="F72">
        <v>1</v>
      </c>
      <c r="G72" t="s">
        <v>65</v>
      </c>
      <c r="H72" t="s">
        <v>130</v>
      </c>
      <c r="I72" t="s">
        <v>131</v>
      </c>
      <c r="K72" t="s">
        <v>45</v>
      </c>
      <c r="L72">
        <v>3</v>
      </c>
      <c r="N72">
        <v>1</v>
      </c>
      <c r="O72" t="s">
        <v>140</v>
      </c>
      <c r="P72" t="s">
        <v>76</v>
      </c>
      <c r="Q72" t="s">
        <v>93</v>
      </c>
      <c r="R72" t="s">
        <v>94</v>
      </c>
      <c r="S72" t="s">
        <v>53</v>
      </c>
      <c r="T72">
        <v>2</v>
      </c>
      <c r="U72">
        <v>1</v>
      </c>
      <c r="V72">
        <v>2</v>
      </c>
      <c r="W72" t="s">
        <v>112</v>
      </c>
      <c r="X72" t="s">
        <v>55</v>
      </c>
      <c r="Y72" t="s">
        <v>97</v>
      </c>
      <c r="AA72" t="s">
        <v>38</v>
      </c>
      <c r="AB72">
        <v>1</v>
      </c>
      <c r="AC72">
        <v>1</v>
      </c>
      <c r="AD72">
        <v>2</v>
      </c>
      <c r="AE72" t="s">
        <v>67</v>
      </c>
      <c r="AF72" t="s">
        <v>70</v>
      </c>
      <c r="AI72">
        <v>0</v>
      </c>
      <c r="AJ72">
        <v>18</v>
      </c>
    </row>
    <row r="73" spans="1:36" x14ac:dyDescent="0.25">
      <c r="A73" t="s">
        <v>886</v>
      </c>
      <c r="B73">
        <v>101</v>
      </c>
      <c r="C73" t="s">
        <v>53</v>
      </c>
      <c r="D73">
        <v>1</v>
      </c>
      <c r="E73">
        <v>1</v>
      </c>
      <c r="F73">
        <v>1</v>
      </c>
      <c r="G73" t="s">
        <v>112</v>
      </c>
      <c r="H73" t="s">
        <v>113</v>
      </c>
      <c r="I73" t="s">
        <v>114</v>
      </c>
      <c r="J73" t="s">
        <v>116</v>
      </c>
      <c r="K73" t="s">
        <v>38</v>
      </c>
      <c r="L73">
        <v>3</v>
      </c>
      <c r="M73">
        <v>1</v>
      </c>
      <c r="N73">
        <v>1</v>
      </c>
      <c r="O73" t="s">
        <v>67</v>
      </c>
      <c r="P73" t="s">
        <v>96</v>
      </c>
      <c r="Q73" t="s">
        <v>41</v>
      </c>
      <c r="S73" t="s">
        <v>33</v>
      </c>
      <c r="T73">
        <v>1</v>
      </c>
      <c r="V73">
        <v>2</v>
      </c>
      <c r="W73" t="s">
        <v>65</v>
      </c>
      <c r="AA73" t="s">
        <v>63</v>
      </c>
      <c r="AB73">
        <v>1</v>
      </c>
      <c r="AD73">
        <v>1</v>
      </c>
      <c r="AE73" t="s">
        <v>103</v>
      </c>
      <c r="AF73" t="s">
        <v>95</v>
      </c>
      <c r="AG73" t="s">
        <v>147</v>
      </c>
      <c r="AH73" t="s">
        <v>151</v>
      </c>
      <c r="AI73">
        <v>0</v>
      </c>
      <c r="AJ73">
        <v>15</v>
      </c>
    </row>
    <row r="74" spans="1:36" x14ac:dyDescent="0.25">
      <c r="A74" t="s">
        <v>887</v>
      </c>
      <c r="B74">
        <v>102</v>
      </c>
      <c r="C74" t="s">
        <v>43</v>
      </c>
      <c r="D74">
        <v>2</v>
      </c>
      <c r="F74">
        <v>3</v>
      </c>
      <c r="G74" t="s">
        <v>44</v>
      </c>
      <c r="H74" t="s">
        <v>99</v>
      </c>
      <c r="I74" t="s">
        <v>75</v>
      </c>
      <c r="J74" t="s">
        <v>101</v>
      </c>
      <c r="K74" t="s">
        <v>45</v>
      </c>
      <c r="L74">
        <v>3</v>
      </c>
      <c r="N74">
        <v>3</v>
      </c>
      <c r="O74" t="s">
        <v>140</v>
      </c>
      <c r="P74" t="s">
        <v>141</v>
      </c>
      <c r="Q74" t="s">
        <v>102</v>
      </c>
      <c r="R74" t="s">
        <v>143</v>
      </c>
      <c r="S74" t="s">
        <v>53</v>
      </c>
      <c r="T74">
        <v>1</v>
      </c>
      <c r="U74">
        <v>3</v>
      </c>
      <c r="V74">
        <v>3</v>
      </c>
      <c r="W74" t="s">
        <v>112</v>
      </c>
      <c r="X74" t="s">
        <v>55</v>
      </c>
      <c r="Y74" t="s">
        <v>97</v>
      </c>
      <c r="AA74" t="s">
        <v>38</v>
      </c>
      <c r="AB74">
        <v>1</v>
      </c>
      <c r="AC74">
        <v>1</v>
      </c>
      <c r="AD74">
        <v>2</v>
      </c>
      <c r="AE74" t="s">
        <v>39</v>
      </c>
      <c r="AI74">
        <v>0</v>
      </c>
      <c r="AJ74">
        <v>25</v>
      </c>
    </row>
    <row r="75" spans="1:36" x14ac:dyDescent="0.25">
      <c r="A75" t="s">
        <v>888</v>
      </c>
      <c r="B75">
        <v>103</v>
      </c>
      <c r="C75" t="s">
        <v>53</v>
      </c>
      <c r="D75">
        <v>2</v>
      </c>
      <c r="E75">
        <v>1</v>
      </c>
      <c r="F75">
        <v>1</v>
      </c>
      <c r="G75" t="s">
        <v>112</v>
      </c>
      <c r="H75" t="s">
        <v>55</v>
      </c>
      <c r="I75" t="s">
        <v>114</v>
      </c>
      <c r="K75" t="s">
        <v>38</v>
      </c>
      <c r="L75">
        <v>1</v>
      </c>
      <c r="M75">
        <v>1</v>
      </c>
      <c r="N75">
        <v>2</v>
      </c>
      <c r="O75" t="s">
        <v>39</v>
      </c>
      <c r="P75" t="s">
        <v>40</v>
      </c>
      <c r="Q75" t="s">
        <v>154</v>
      </c>
      <c r="S75" t="s">
        <v>43</v>
      </c>
      <c r="T75">
        <v>1</v>
      </c>
      <c r="V75">
        <v>1</v>
      </c>
      <c r="W75" t="s">
        <v>44</v>
      </c>
      <c r="X75" t="s">
        <v>74</v>
      </c>
      <c r="AA75" t="s">
        <v>63</v>
      </c>
      <c r="AB75">
        <v>2</v>
      </c>
      <c r="AD75">
        <v>1</v>
      </c>
      <c r="AE75" t="s">
        <v>103</v>
      </c>
      <c r="AF75" t="s">
        <v>95</v>
      </c>
      <c r="AG75" t="s">
        <v>147</v>
      </c>
      <c r="AI75">
        <v>0</v>
      </c>
      <c r="AJ75">
        <v>15</v>
      </c>
    </row>
    <row r="76" spans="1:36" x14ac:dyDescent="0.25">
      <c r="A76" t="s">
        <v>889</v>
      </c>
      <c r="B76">
        <v>104</v>
      </c>
      <c r="C76" t="s">
        <v>53</v>
      </c>
      <c r="D76">
        <v>1</v>
      </c>
      <c r="E76">
        <v>1</v>
      </c>
      <c r="F76">
        <v>3</v>
      </c>
      <c r="G76" t="s">
        <v>112</v>
      </c>
      <c r="H76" t="s">
        <v>113</v>
      </c>
      <c r="I76" t="s">
        <v>114</v>
      </c>
      <c r="K76" t="s">
        <v>38</v>
      </c>
      <c r="L76">
        <v>3</v>
      </c>
      <c r="M76">
        <v>1</v>
      </c>
      <c r="N76">
        <v>1</v>
      </c>
      <c r="O76" t="s">
        <v>39</v>
      </c>
      <c r="P76" t="s">
        <v>96</v>
      </c>
      <c r="Q76" t="s">
        <v>41</v>
      </c>
      <c r="R76" t="s">
        <v>155</v>
      </c>
      <c r="S76" t="s">
        <v>45</v>
      </c>
      <c r="T76">
        <v>3</v>
      </c>
      <c r="V76">
        <v>2</v>
      </c>
      <c r="W76" t="s">
        <v>140</v>
      </c>
      <c r="AA76" t="s">
        <v>63</v>
      </c>
      <c r="AB76">
        <v>2</v>
      </c>
      <c r="AD76">
        <v>1</v>
      </c>
      <c r="AE76" t="s">
        <v>103</v>
      </c>
      <c r="AF76" t="s">
        <v>95</v>
      </c>
      <c r="AG76" t="s">
        <v>147</v>
      </c>
      <c r="AH76" t="s">
        <v>150</v>
      </c>
      <c r="AI76">
        <v>0</v>
      </c>
      <c r="AJ76">
        <v>20</v>
      </c>
    </row>
    <row r="77" spans="1:36" x14ac:dyDescent="0.25">
      <c r="A77" t="s">
        <v>890</v>
      </c>
      <c r="B77">
        <v>105</v>
      </c>
      <c r="C77" t="s">
        <v>33</v>
      </c>
      <c r="D77">
        <v>1</v>
      </c>
      <c r="F77">
        <v>2</v>
      </c>
      <c r="G77" t="s">
        <v>65</v>
      </c>
      <c r="H77" t="s">
        <v>130</v>
      </c>
      <c r="I77" t="s">
        <v>36</v>
      </c>
      <c r="J77" t="s">
        <v>134</v>
      </c>
      <c r="K77" t="s">
        <v>43</v>
      </c>
      <c r="L77">
        <v>2</v>
      </c>
      <c r="N77">
        <v>1</v>
      </c>
      <c r="O77" t="s">
        <v>135</v>
      </c>
      <c r="P77" t="s">
        <v>74</v>
      </c>
      <c r="Q77" t="s">
        <v>75</v>
      </c>
      <c r="R77" t="s">
        <v>139</v>
      </c>
      <c r="S77" t="s">
        <v>56</v>
      </c>
      <c r="T77">
        <v>2</v>
      </c>
      <c r="V77">
        <v>3</v>
      </c>
      <c r="W77" t="s">
        <v>120</v>
      </c>
      <c r="X77" t="s">
        <v>69</v>
      </c>
      <c r="AA77" t="s">
        <v>48</v>
      </c>
      <c r="AB77">
        <v>1</v>
      </c>
      <c r="AD77">
        <v>1</v>
      </c>
      <c r="AE77" t="s">
        <v>126</v>
      </c>
      <c r="AF77" t="s">
        <v>84</v>
      </c>
      <c r="AI77">
        <v>0</v>
      </c>
      <c r="AJ77">
        <v>18</v>
      </c>
    </row>
    <row r="78" spans="1:36" x14ac:dyDescent="0.25">
      <c r="A78" t="s">
        <v>891</v>
      </c>
      <c r="B78">
        <v>106</v>
      </c>
      <c r="C78" t="s">
        <v>33</v>
      </c>
      <c r="D78">
        <v>3</v>
      </c>
      <c r="F78">
        <v>3</v>
      </c>
      <c r="G78" t="s">
        <v>65</v>
      </c>
      <c r="H78" t="s">
        <v>130</v>
      </c>
      <c r="I78" t="s">
        <v>36</v>
      </c>
      <c r="J78" t="s">
        <v>133</v>
      </c>
      <c r="K78" t="s">
        <v>45</v>
      </c>
      <c r="L78">
        <v>3</v>
      </c>
      <c r="N78">
        <v>1</v>
      </c>
      <c r="O78" t="s">
        <v>140</v>
      </c>
      <c r="S78" t="s">
        <v>56</v>
      </c>
      <c r="T78">
        <v>3</v>
      </c>
      <c r="V78">
        <v>1</v>
      </c>
      <c r="W78" t="s">
        <v>120</v>
      </c>
      <c r="AA78" t="s">
        <v>48</v>
      </c>
      <c r="AB78">
        <v>3</v>
      </c>
      <c r="AD78">
        <v>3</v>
      </c>
      <c r="AE78" t="s">
        <v>126</v>
      </c>
      <c r="AF78" t="s">
        <v>84</v>
      </c>
      <c r="AG78" t="s">
        <v>127</v>
      </c>
      <c r="AH78" t="s">
        <v>52</v>
      </c>
      <c r="AI78">
        <v>0</v>
      </c>
      <c r="AJ78">
        <v>23</v>
      </c>
    </row>
    <row r="79" spans="1:36" x14ac:dyDescent="0.25">
      <c r="A79" t="s">
        <v>892</v>
      </c>
      <c r="B79">
        <v>107</v>
      </c>
      <c r="C79" t="s">
        <v>33</v>
      </c>
      <c r="D79">
        <v>2</v>
      </c>
      <c r="F79">
        <v>1</v>
      </c>
      <c r="G79" t="s">
        <v>65</v>
      </c>
      <c r="H79" t="s">
        <v>66</v>
      </c>
      <c r="K79" t="s">
        <v>63</v>
      </c>
      <c r="L79">
        <v>1</v>
      </c>
      <c r="N79">
        <v>1</v>
      </c>
      <c r="O79" t="s">
        <v>145</v>
      </c>
      <c r="P79" t="s">
        <v>95</v>
      </c>
      <c r="Q79" t="s">
        <v>147</v>
      </c>
      <c r="R79" t="s">
        <v>149</v>
      </c>
      <c r="S79" t="s">
        <v>56</v>
      </c>
      <c r="T79">
        <v>3</v>
      </c>
      <c r="V79">
        <v>1</v>
      </c>
      <c r="W79" t="s">
        <v>120</v>
      </c>
      <c r="X79" t="s">
        <v>69</v>
      </c>
      <c r="AA79" t="s">
        <v>48</v>
      </c>
      <c r="AB79">
        <v>1</v>
      </c>
      <c r="AD79">
        <v>1</v>
      </c>
      <c r="AE79" t="s">
        <v>89</v>
      </c>
      <c r="AF79" t="s">
        <v>84</v>
      </c>
      <c r="AI79">
        <v>0</v>
      </c>
      <c r="AJ79">
        <v>13</v>
      </c>
    </row>
    <row r="80" spans="1:36" x14ac:dyDescent="0.25">
      <c r="A80" t="s">
        <v>893</v>
      </c>
      <c r="B80">
        <v>108</v>
      </c>
      <c r="C80" t="s">
        <v>33</v>
      </c>
      <c r="D80">
        <v>2</v>
      </c>
      <c r="F80">
        <v>1</v>
      </c>
      <c r="G80" t="s">
        <v>65</v>
      </c>
      <c r="H80" t="s">
        <v>130</v>
      </c>
      <c r="I80" t="s">
        <v>36</v>
      </c>
      <c r="J80" t="s">
        <v>134</v>
      </c>
      <c r="K80" t="s">
        <v>38</v>
      </c>
      <c r="L80">
        <v>3</v>
      </c>
      <c r="M80">
        <v>1</v>
      </c>
      <c r="N80">
        <v>2</v>
      </c>
      <c r="O80" t="s">
        <v>152</v>
      </c>
      <c r="P80" t="s">
        <v>96</v>
      </c>
      <c r="Q80" t="s">
        <v>154</v>
      </c>
      <c r="S80" t="s">
        <v>56</v>
      </c>
      <c r="T80">
        <v>3</v>
      </c>
      <c r="V80">
        <v>1</v>
      </c>
      <c r="W80" t="s">
        <v>120</v>
      </c>
      <c r="X80" t="s">
        <v>69</v>
      </c>
      <c r="Y80" t="s">
        <v>87</v>
      </c>
      <c r="AA80" t="s">
        <v>48</v>
      </c>
      <c r="AB80">
        <v>1</v>
      </c>
      <c r="AD80">
        <v>1</v>
      </c>
      <c r="AE80" t="s">
        <v>126</v>
      </c>
      <c r="AF80" t="s">
        <v>84</v>
      </c>
      <c r="AI80">
        <v>0</v>
      </c>
      <c r="AJ80">
        <v>19</v>
      </c>
    </row>
    <row r="81" spans="1:36" x14ac:dyDescent="0.25">
      <c r="A81" t="s">
        <v>894</v>
      </c>
      <c r="B81">
        <v>109</v>
      </c>
      <c r="C81" t="s">
        <v>56</v>
      </c>
      <c r="D81">
        <v>3</v>
      </c>
      <c r="F81">
        <v>3</v>
      </c>
      <c r="G81" t="s">
        <v>68</v>
      </c>
      <c r="H81" t="s">
        <v>121</v>
      </c>
      <c r="K81" t="s">
        <v>48</v>
      </c>
      <c r="L81">
        <v>1</v>
      </c>
      <c r="N81">
        <v>2</v>
      </c>
      <c r="O81" t="s">
        <v>126</v>
      </c>
      <c r="P81" t="s">
        <v>84</v>
      </c>
      <c r="Q81" t="s">
        <v>90</v>
      </c>
      <c r="R81" t="s">
        <v>128</v>
      </c>
      <c r="S81" t="s">
        <v>43</v>
      </c>
      <c r="T81">
        <v>3</v>
      </c>
      <c r="V81">
        <v>2</v>
      </c>
      <c r="W81" t="s">
        <v>44</v>
      </c>
      <c r="X81" t="s">
        <v>99</v>
      </c>
      <c r="Y81" t="s">
        <v>137</v>
      </c>
      <c r="AA81" t="s">
        <v>45</v>
      </c>
      <c r="AB81">
        <v>3</v>
      </c>
      <c r="AD81">
        <v>2</v>
      </c>
      <c r="AE81" t="s">
        <v>140</v>
      </c>
      <c r="AF81" t="s">
        <v>76</v>
      </c>
      <c r="AI81">
        <v>0</v>
      </c>
      <c r="AJ81">
        <v>23</v>
      </c>
    </row>
    <row r="82" spans="1:36" x14ac:dyDescent="0.25">
      <c r="A82" t="s">
        <v>895</v>
      </c>
      <c r="B82">
        <v>110</v>
      </c>
      <c r="C82" t="s">
        <v>56</v>
      </c>
      <c r="D82">
        <v>2</v>
      </c>
      <c r="F82">
        <v>2</v>
      </c>
      <c r="G82" t="s">
        <v>120</v>
      </c>
      <c r="H82" t="s">
        <v>122</v>
      </c>
      <c r="K82" t="s">
        <v>48</v>
      </c>
      <c r="L82">
        <v>2</v>
      </c>
      <c r="N82">
        <v>1</v>
      </c>
      <c r="O82" t="s">
        <v>89</v>
      </c>
      <c r="S82" t="s">
        <v>43</v>
      </c>
      <c r="T82">
        <v>2</v>
      </c>
      <c r="V82">
        <v>1</v>
      </c>
      <c r="W82" t="s">
        <v>44</v>
      </c>
      <c r="X82" t="s">
        <v>74</v>
      </c>
      <c r="AA82" t="s">
        <v>63</v>
      </c>
      <c r="AB82">
        <v>1</v>
      </c>
      <c r="AD82">
        <v>1</v>
      </c>
      <c r="AE82" t="s">
        <v>103</v>
      </c>
      <c r="AF82" t="s">
        <v>95</v>
      </c>
      <c r="AG82" t="s">
        <v>148</v>
      </c>
      <c r="AI82">
        <v>0</v>
      </c>
      <c r="AJ82">
        <v>12</v>
      </c>
    </row>
    <row r="83" spans="1:36" x14ac:dyDescent="0.25">
      <c r="A83" t="s">
        <v>896</v>
      </c>
      <c r="B83">
        <v>111</v>
      </c>
      <c r="C83" t="s">
        <v>56</v>
      </c>
      <c r="D83">
        <v>1</v>
      </c>
      <c r="F83">
        <v>1</v>
      </c>
      <c r="G83" t="s">
        <v>120</v>
      </c>
      <c r="H83" t="s">
        <v>69</v>
      </c>
      <c r="I83" t="s">
        <v>85</v>
      </c>
      <c r="J83" t="s">
        <v>125</v>
      </c>
      <c r="K83" t="s">
        <v>48</v>
      </c>
      <c r="L83">
        <v>2</v>
      </c>
      <c r="N83">
        <v>1</v>
      </c>
      <c r="O83" t="s">
        <v>126</v>
      </c>
      <c r="P83" t="s">
        <v>71</v>
      </c>
      <c r="Q83" t="s">
        <v>127</v>
      </c>
      <c r="R83" t="s">
        <v>129</v>
      </c>
      <c r="S83" t="s">
        <v>43</v>
      </c>
      <c r="T83">
        <v>3</v>
      </c>
      <c r="V83">
        <v>1</v>
      </c>
      <c r="W83" t="s">
        <v>44</v>
      </c>
      <c r="AA83" t="s">
        <v>38</v>
      </c>
      <c r="AB83">
        <v>3</v>
      </c>
      <c r="AC83">
        <v>1</v>
      </c>
      <c r="AD83">
        <v>2</v>
      </c>
      <c r="AE83" t="s">
        <v>39</v>
      </c>
      <c r="AF83" t="s">
        <v>40</v>
      </c>
      <c r="AI83">
        <v>0</v>
      </c>
      <c r="AJ83">
        <v>18</v>
      </c>
    </row>
    <row r="84" spans="1:36" x14ac:dyDescent="0.25">
      <c r="A84" t="s">
        <v>897</v>
      </c>
      <c r="B84">
        <v>112</v>
      </c>
      <c r="C84" t="s">
        <v>45</v>
      </c>
      <c r="D84">
        <v>2</v>
      </c>
      <c r="F84">
        <v>1</v>
      </c>
      <c r="G84" t="s">
        <v>86</v>
      </c>
      <c r="H84" t="s">
        <v>92</v>
      </c>
      <c r="I84" t="s">
        <v>142</v>
      </c>
      <c r="K84" t="s">
        <v>63</v>
      </c>
      <c r="L84">
        <v>1</v>
      </c>
      <c r="N84">
        <v>1</v>
      </c>
      <c r="O84" t="s">
        <v>103</v>
      </c>
      <c r="P84" t="s">
        <v>95</v>
      </c>
      <c r="Q84" t="s">
        <v>104</v>
      </c>
      <c r="S84" t="s">
        <v>56</v>
      </c>
      <c r="T84">
        <v>2</v>
      </c>
      <c r="V84">
        <v>1</v>
      </c>
      <c r="W84" t="s">
        <v>68</v>
      </c>
      <c r="X84" t="s">
        <v>122</v>
      </c>
      <c r="Y84" t="s">
        <v>87</v>
      </c>
      <c r="AA84" t="s">
        <v>48</v>
      </c>
      <c r="AB84">
        <v>1</v>
      </c>
      <c r="AD84">
        <v>1</v>
      </c>
      <c r="AE84" t="s">
        <v>89</v>
      </c>
      <c r="AF84" t="s">
        <v>50</v>
      </c>
      <c r="AI84">
        <v>0</v>
      </c>
      <c r="AJ84">
        <v>14</v>
      </c>
    </row>
    <row r="85" spans="1:36" x14ac:dyDescent="0.25">
      <c r="A85" t="s">
        <v>898</v>
      </c>
      <c r="B85">
        <v>113</v>
      </c>
      <c r="C85" t="s">
        <v>56</v>
      </c>
      <c r="D85">
        <v>2</v>
      </c>
      <c r="F85">
        <v>3</v>
      </c>
      <c r="G85" t="s">
        <v>57</v>
      </c>
      <c r="H85" t="s">
        <v>69</v>
      </c>
      <c r="I85" t="s">
        <v>87</v>
      </c>
      <c r="J85" t="s">
        <v>88</v>
      </c>
      <c r="K85" t="s">
        <v>48</v>
      </c>
      <c r="L85">
        <v>3</v>
      </c>
      <c r="N85">
        <v>3</v>
      </c>
      <c r="O85" t="s">
        <v>126</v>
      </c>
      <c r="P85" t="s">
        <v>71</v>
      </c>
      <c r="Q85" t="s">
        <v>127</v>
      </c>
      <c r="R85" t="s">
        <v>129</v>
      </c>
      <c r="S85" t="s">
        <v>45</v>
      </c>
      <c r="T85">
        <v>3</v>
      </c>
      <c r="V85">
        <v>3</v>
      </c>
      <c r="W85" t="s">
        <v>86</v>
      </c>
      <c r="X85" t="s">
        <v>76</v>
      </c>
      <c r="Y85" t="s">
        <v>142</v>
      </c>
      <c r="Z85" t="s">
        <v>143</v>
      </c>
      <c r="AA85" t="s">
        <v>38</v>
      </c>
      <c r="AB85">
        <v>3</v>
      </c>
      <c r="AC85">
        <v>1</v>
      </c>
      <c r="AD85">
        <v>1</v>
      </c>
      <c r="AE85" t="s">
        <v>39</v>
      </c>
      <c r="AF85" t="s">
        <v>40</v>
      </c>
      <c r="AG85" t="s">
        <v>41</v>
      </c>
      <c r="AI85">
        <v>0</v>
      </c>
      <c r="AJ85">
        <v>28</v>
      </c>
    </row>
    <row r="86" spans="1:36" x14ac:dyDescent="0.25">
      <c r="A86" t="s">
        <v>899</v>
      </c>
      <c r="B86">
        <v>114</v>
      </c>
      <c r="C86" t="s">
        <v>63</v>
      </c>
      <c r="D86">
        <v>2</v>
      </c>
      <c r="F86">
        <v>1</v>
      </c>
      <c r="G86" t="s">
        <v>103</v>
      </c>
      <c r="H86" t="s">
        <v>95</v>
      </c>
      <c r="I86" t="s">
        <v>104</v>
      </c>
      <c r="J86" t="s">
        <v>151</v>
      </c>
      <c r="K86" t="s">
        <v>38</v>
      </c>
      <c r="L86">
        <v>1</v>
      </c>
      <c r="M86">
        <v>1</v>
      </c>
      <c r="N86">
        <v>2</v>
      </c>
      <c r="O86" t="s">
        <v>39</v>
      </c>
      <c r="P86" t="s">
        <v>96</v>
      </c>
      <c r="S86" t="s">
        <v>56</v>
      </c>
      <c r="T86">
        <v>3</v>
      </c>
      <c r="V86">
        <v>1</v>
      </c>
      <c r="W86" t="s">
        <v>57</v>
      </c>
      <c r="X86" t="s">
        <v>122</v>
      </c>
      <c r="Y86" t="s">
        <v>85</v>
      </c>
      <c r="AA86" t="s">
        <v>48</v>
      </c>
      <c r="AB86">
        <v>2</v>
      </c>
      <c r="AD86">
        <v>1</v>
      </c>
      <c r="AE86" t="s">
        <v>89</v>
      </c>
      <c r="AF86" t="s">
        <v>84</v>
      </c>
      <c r="AI86">
        <v>0</v>
      </c>
      <c r="AJ86">
        <v>16</v>
      </c>
    </row>
    <row r="87" spans="1:36" x14ac:dyDescent="0.25">
      <c r="A87" t="s">
        <v>900</v>
      </c>
      <c r="B87">
        <v>115</v>
      </c>
      <c r="C87" t="s">
        <v>56</v>
      </c>
      <c r="D87">
        <v>2</v>
      </c>
      <c r="F87">
        <v>1</v>
      </c>
      <c r="G87" t="s">
        <v>120</v>
      </c>
      <c r="H87" t="s">
        <v>122</v>
      </c>
      <c r="K87" t="s">
        <v>33</v>
      </c>
      <c r="L87">
        <v>2</v>
      </c>
      <c r="N87">
        <v>2</v>
      </c>
      <c r="O87" t="s">
        <v>65</v>
      </c>
      <c r="P87" t="s">
        <v>130</v>
      </c>
      <c r="Q87" t="s">
        <v>36</v>
      </c>
      <c r="S87" t="s">
        <v>48</v>
      </c>
      <c r="T87">
        <v>1</v>
      </c>
      <c r="V87">
        <v>1</v>
      </c>
      <c r="W87" t="s">
        <v>126</v>
      </c>
      <c r="X87" t="s">
        <v>84</v>
      </c>
      <c r="Y87" t="s">
        <v>127</v>
      </c>
      <c r="AA87" t="s">
        <v>43</v>
      </c>
      <c r="AB87">
        <v>3</v>
      </c>
      <c r="AD87">
        <v>1</v>
      </c>
      <c r="AE87" t="s">
        <v>44</v>
      </c>
      <c r="AF87" t="s">
        <v>136</v>
      </c>
      <c r="AI87">
        <v>0</v>
      </c>
      <c r="AJ87">
        <v>15</v>
      </c>
    </row>
    <row r="88" spans="1:36" x14ac:dyDescent="0.25">
      <c r="A88" t="s">
        <v>901</v>
      </c>
      <c r="B88">
        <v>116</v>
      </c>
      <c r="C88" t="s">
        <v>48</v>
      </c>
      <c r="D88">
        <v>1</v>
      </c>
      <c r="F88">
        <v>1</v>
      </c>
      <c r="G88" t="s">
        <v>126</v>
      </c>
      <c r="H88" t="s">
        <v>84</v>
      </c>
      <c r="I88" t="s">
        <v>127</v>
      </c>
      <c r="K88" t="s">
        <v>45</v>
      </c>
      <c r="L88">
        <v>3</v>
      </c>
      <c r="N88">
        <v>1</v>
      </c>
      <c r="O88" t="s">
        <v>140</v>
      </c>
      <c r="P88" t="s">
        <v>76</v>
      </c>
      <c r="Q88" t="s">
        <v>142</v>
      </c>
      <c r="S88" t="s">
        <v>56</v>
      </c>
      <c r="T88">
        <v>3</v>
      </c>
      <c r="V88">
        <v>1</v>
      </c>
      <c r="W88" t="s">
        <v>120</v>
      </c>
      <c r="X88" t="s">
        <v>121</v>
      </c>
      <c r="Y88" t="s">
        <v>87</v>
      </c>
      <c r="AA88" t="s">
        <v>33</v>
      </c>
      <c r="AB88">
        <v>1</v>
      </c>
      <c r="AD88">
        <v>1</v>
      </c>
      <c r="AE88" t="s">
        <v>65</v>
      </c>
      <c r="AF88" t="s">
        <v>130</v>
      </c>
      <c r="AG88" t="s">
        <v>36</v>
      </c>
      <c r="AI88">
        <v>0</v>
      </c>
      <c r="AJ88">
        <v>17</v>
      </c>
    </row>
    <row r="89" spans="1:36" x14ac:dyDescent="0.25">
      <c r="A89" t="s">
        <v>902</v>
      </c>
      <c r="B89">
        <v>117</v>
      </c>
      <c r="C89" t="s">
        <v>56</v>
      </c>
      <c r="D89">
        <v>3</v>
      </c>
      <c r="F89">
        <v>3</v>
      </c>
      <c r="G89" t="s">
        <v>57</v>
      </c>
      <c r="H89" t="s">
        <v>122</v>
      </c>
      <c r="I89" t="s">
        <v>85</v>
      </c>
      <c r="J89" t="s">
        <v>124</v>
      </c>
      <c r="K89" t="s">
        <v>33</v>
      </c>
      <c r="L89">
        <v>1</v>
      </c>
      <c r="N89">
        <v>2</v>
      </c>
      <c r="O89" t="s">
        <v>34</v>
      </c>
      <c r="S89" t="s">
        <v>48</v>
      </c>
      <c r="T89">
        <v>2</v>
      </c>
      <c r="V89">
        <v>1</v>
      </c>
      <c r="W89" t="s">
        <v>89</v>
      </c>
      <c r="X89" t="s">
        <v>84</v>
      </c>
      <c r="AA89" t="s">
        <v>63</v>
      </c>
      <c r="AB89">
        <v>3</v>
      </c>
      <c r="AD89">
        <v>2</v>
      </c>
      <c r="AE89" t="s">
        <v>72</v>
      </c>
      <c r="AF89" t="s">
        <v>146</v>
      </c>
      <c r="AG89" t="s">
        <v>104</v>
      </c>
      <c r="AH89" t="s">
        <v>151</v>
      </c>
      <c r="AI89">
        <v>0</v>
      </c>
      <c r="AJ89">
        <v>20</v>
      </c>
    </row>
    <row r="90" spans="1:36" x14ac:dyDescent="0.25">
      <c r="A90" t="s">
        <v>903</v>
      </c>
      <c r="B90">
        <v>118</v>
      </c>
      <c r="C90" t="s">
        <v>48</v>
      </c>
      <c r="D90">
        <v>1</v>
      </c>
      <c r="F90">
        <v>1</v>
      </c>
      <c r="G90" t="s">
        <v>89</v>
      </c>
      <c r="H90" t="s">
        <v>50</v>
      </c>
      <c r="I90" t="s">
        <v>127</v>
      </c>
      <c r="K90" t="s">
        <v>38</v>
      </c>
      <c r="L90">
        <v>1</v>
      </c>
      <c r="M90">
        <v>1</v>
      </c>
      <c r="N90">
        <v>2</v>
      </c>
      <c r="O90" t="s">
        <v>67</v>
      </c>
      <c r="P90" t="s">
        <v>40</v>
      </c>
      <c r="Q90" t="s">
        <v>154</v>
      </c>
      <c r="S90" t="s">
        <v>56</v>
      </c>
      <c r="T90">
        <v>3</v>
      </c>
      <c r="V90">
        <v>1</v>
      </c>
      <c r="W90" t="s">
        <v>57</v>
      </c>
      <c r="AA90" t="s">
        <v>33</v>
      </c>
      <c r="AB90">
        <v>1</v>
      </c>
      <c r="AD90">
        <v>2</v>
      </c>
      <c r="AE90" t="s">
        <v>65</v>
      </c>
      <c r="AI90">
        <v>0</v>
      </c>
      <c r="AJ90">
        <v>14</v>
      </c>
    </row>
    <row r="91" spans="1:36" x14ac:dyDescent="0.25">
      <c r="A91" t="s">
        <v>904</v>
      </c>
      <c r="B91">
        <v>119</v>
      </c>
      <c r="C91" t="s">
        <v>56</v>
      </c>
      <c r="D91">
        <v>2</v>
      </c>
      <c r="F91">
        <v>2</v>
      </c>
      <c r="G91" t="s">
        <v>120</v>
      </c>
      <c r="H91" t="s">
        <v>121</v>
      </c>
      <c r="I91" t="s">
        <v>123</v>
      </c>
      <c r="K91" t="s">
        <v>33</v>
      </c>
      <c r="L91">
        <v>1</v>
      </c>
      <c r="N91">
        <v>3</v>
      </c>
      <c r="O91" t="s">
        <v>65</v>
      </c>
      <c r="S91" t="s">
        <v>43</v>
      </c>
      <c r="T91">
        <v>2</v>
      </c>
      <c r="V91">
        <v>1</v>
      </c>
      <c r="W91" t="s">
        <v>44</v>
      </c>
      <c r="X91" t="s">
        <v>99</v>
      </c>
      <c r="Y91" t="s">
        <v>100</v>
      </c>
      <c r="AA91" t="s">
        <v>45</v>
      </c>
      <c r="AB91">
        <v>3</v>
      </c>
      <c r="AD91">
        <v>2</v>
      </c>
      <c r="AE91" t="s">
        <v>140</v>
      </c>
      <c r="AF91" t="s">
        <v>76</v>
      </c>
      <c r="AI91">
        <v>0</v>
      </c>
      <c r="AJ91">
        <v>17</v>
      </c>
    </row>
    <row r="92" spans="1:36" x14ac:dyDescent="0.25">
      <c r="A92" t="s">
        <v>905</v>
      </c>
      <c r="B92">
        <v>120</v>
      </c>
      <c r="C92" t="s">
        <v>43</v>
      </c>
      <c r="D92">
        <v>3</v>
      </c>
      <c r="F92">
        <v>1</v>
      </c>
      <c r="G92" t="s">
        <v>44</v>
      </c>
      <c r="H92" t="s">
        <v>99</v>
      </c>
      <c r="K92" t="s">
        <v>63</v>
      </c>
      <c r="L92">
        <v>3</v>
      </c>
      <c r="N92">
        <v>1</v>
      </c>
      <c r="O92" t="s">
        <v>145</v>
      </c>
      <c r="P92" t="s">
        <v>146</v>
      </c>
      <c r="S92" t="s">
        <v>56</v>
      </c>
      <c r="T92">
        <v>2</v>
      </c>
      <c r="V92">
        <v>1</v>
      </c>
      <c r="W92" t="s">
        <v>57</v>
      </c>
      <c r="X92" t="s">
        <v>122</v>
      </c>
      <c r="Y92" t="s">
        <v>123</v>
      </c>
      <c r="Z92" t="s">
        <v>124</v>
      </c>
      <c r="AA92" t="s">
        <v>33</v>
      </c>
      <c r="AB92">
        <v>2</v>
      </c>
      <c r="AD92">
        <v>2</v>
      </c>
      <c r="AE92" t="s">
        <v>34</v>
      </c>
      <c r="AI92">
        <v>0</v>
      </c>
      <c r="AJ92">
        <v>17</v>
      </c>
    </row>
    <row r="93" spans="1:36" x14ac:dyDescent="0.25">
      <c r="A93" t="s">
        <v>906</v>
      </c>
      <c r="B93">
        <v>121</v>
      </c>
      <c r="C93" t="s">
        <v>56</v>
      </c>
      <c r="D93">
        <v>2</v>
      </c>
      <c r="F93">
        <v>3</v>
      </c>
      <c r="G93" t="s">
        <v>120</v>
      </c>
      <c r="H93" t="s">
        <v>69</v>
      </c>
      <c r="I93" t="s">
        <v>85</v>
      </c>
      <c r="J93" t="s">
        <v>124</v>
      </c>
      <c r="K93" t="s">
        <v>33</v>
      </c>
      <c r="L93">
        <v>2</v>
      </c>
      <c r="N93">
        <v>3</v>
      </c>
      <c r="O93" t="s">
        <v>65</v>
      </c>
      <c r="P93" t="s">
        <v>66</v>
      </c>
      <c r="Q93" t="s">
        <v>131</v>
      </c>
      <c r="R93" t="s">
        <v>133</v>
      </c>
      <c r="S93" t="s">
        <v>43</v>
      </c>
      <c r="T93">
        <v>3</v>
      </c>
      <c r="V93">
        <v>1</v>
      </c>
      <c r="W93" t="s">
        <v>44</v>
      </c>
      <c r="X93" t="s">
        <v>136</v>
      </c>
      <c r="AA93" t="s">
        <v>38</v>
      </c>
      <c r="AB93">
        <v>3</v>
      </c>
      <c r="AC93">
        <v>2</v>
      </c>
      <c r="AD93">
        <v>2</v>
      </c>
      <c r="AE93" t="s">
        <v>67</v>
      </c>
      <c r="AF93" t="s">
        <v>40</v>
      </c>
      <c r="AG93" t="s">
        <v>153</v>
      </c>
      <c r="AH93" t="s">
        <v>156</v>
      </c>
      <c r="AI93">
        <v>0</v>
      </c>
      <c r="AJ93">
        <v>27</v>
      </c>
    </row>
    <row r="94" spans="1:36" x14ac:dyDescent="0.25">
      <c r="A94" t="s">
        <v>907</v>
      </c>
      <c r="B94">
        <v>122</v>
      </c>
      <c r="C94" t="s">
        <v>45</v>
      </c>
      <c r="D94">
        <v>3</v>
      </c>
      <c r="F94">
        <v>1</v>
      </c>
      <c r="G94" t="s">
        <v>140</v>
      </c>
      <c r="K94" t="s">
        <v>63</v>
      </c>
      <c r="L94">
        <v>2</v>
      </c>
      <c r="N94">
        <v>1</v>
      </c>
      <c r="O94" t="s">
        <v>145</v>
      </c>
      <c r="P94" t="s">
        <v>95</v>
      </c>
      <c r="Q94" t="s">
        <v>147</v>
      </c>
      <c r="S94" t="s">
        <v>56</v>
      </c>
      <c r="T94">
        <v>3</v>
      </c>
      <c r="V94">
        <v>1</v>
      </c>
      <c r="W94" t="s">
        <v>57</v>
      </c>
      <c r="X94" t="s">
        <v>69</v>
      </c>
      <c r="AA94" t="s">
        <v>33</v>
      </c>
      <c r="AB94">
        <v>1</v>
      </c>
      <c r="AD94">
        <v>2</v>
      </c>
      <c r="AE94" t="s">
        <v>34</v>
      </c>
      <c r="AI94">
        <v>0</v>
      </c>
      <c r="AJ94">
        <v>13</v>
      </c>
    </row>
    <row r="95" spans="1:36" x14ac:dyDescent="0.25">
      <c r="A95" t="s">
        <v>908</v>
      </c>
      <c r="B95">
        <v>123</v>
      </c>
      <c r="C95" t="s">
        <v>56</v>
      </c>
      <c r="D95">
        <v>2</v>
      </c>
      <c r="F95">
        <v>1</v>
      </c>
      <c r="G95" t="s">
        <v>57</v>
      </c>
      <c r="H95" t="s">
        <v>121</v>
      </c>
      <c r="I95" t="s">
        <v>85</v>
      </c>
      <c r="K95" t="s">
        <v>33</v>
      </c>
      <c r="L95">
        <v>1</v>
      </c>
      <c r="N95">
        <v>2</v>
      </c>
      <c r="O95" t="s">
        <v>65</v>
      </c>
      <c r="S95" t="s">
        <v>45</v>
      </c>
      <c r="T95">
        <v>2</v>
      </c>
      <c r="V95">
        <v>1</v>
      </c>
      <c r="W95" t="s">
        <v>86</v>
      </c>
      <c r="AA95" t="s">
        <v>38</v>
      </c>
      <c r="AB95">
        <v>1</v>
      </c>
      <c r="AC95">
        <v>1</v>
      </c>
      <c r="AD95">
        <v>2</v>
      </c>
      <c r="AE95" t="s">
        <v>67</v>
      </c>
      <c r="AF95" t="s">
        <v>96</v>
      </c>
      <c r="AG95" t="s">
        <v>154</v>
      </c>
      <c r="AI95">
        <v>0</v>
      </c>
      <c r="AJ95">
        <v>12</v>
      </c>
    </row>
    <row r="96" spans="1:36" x14ac:dyDescent="0.25">
      <c r="A96" t="s">
        <v>909</v>
      </c>
      <c r="B96">
        <v>124</v>
      </c>
      <c r="C96" t="s">
        <v>63</v>
      </c>
      <c r="D96">
        <v>1</v>
      </c>
      <c r="F96">
        <v>1</v>
      </c>
      <c r="G96" t="s">
        <v>145</v>
      </c>
      <c r="H96" t="s">
        <v>95</v>
      </c>
      <c r="I96" t="s">
        <v>147</v>
      </c>
      <c r="K96" t="s">
        <v>38</v>
      </c>
      <c r="L96">
        <v>1</v>
      </c>
      <c r="M96">
        <v>1</v>
      </c>
      <c r="N96">
        <v>2</v>
      </c>
      <c r="O96" t="s">
        <v>67</v>
      </c>
      <c r="P96" t="s">
        <v>40</v>
      </c>
      <c r="Q96" t="s">
        <v>154</v>
      </c>
      <c r="S96" t="s">
        <v>56</v>
      </c>
      <c r="T96">
        <v>3</v>
      </c>
      <c r="V96">
        <v>1</v>
      </c>
      <c r="W96" t="s">
        <v>57</v>
      </c>
      <c r="AA96" t="s">
        <v>33</v>
      </c>
      <c r="AB96">
        <v>1</v>
      </c>
      <c r="AD96">
        <v>2</v>
      </c>
      <c r="AE96" t="s">
        <v>65</v>
      </c>
      <c r="AI96">
        <v>0</v>
      </c>
      <c r="AJ96">
        <v>12</v>
      </c>
    </row>
    <row r="97" spans="1:36" x14ac:dyDescent="0.25">
      <c r="A97" t="s">
        <v>910</v>
      </c>
      <c r="B97">
        <v>125</v>
      </c>
      <c r="C97" t="s">
        <v>56</v>
      </c>
      <c r="D97">
        <v>2</v>
      </c>
      <c r="F97">
        <v>1</v>
      </c>
      <c r="G97" t="s">
        <v>120</v>
      </c>
      <c r="H97" t="s">
        <v>122</v>
      </c>
      <c r="I97" t="s">
        <v>123</v>
      </c>
      <c r="K97" t="s">
        <v>43</v>
      </c>
      <c r="L97">
        <v>2</v>
      </c>
      <c r="N97">
        <v>1</v>
      </c>
      <c r="O97" t="s">
        <v>44</v>
      </c>
      <c r="P97" t="s">
        <v>136</v>
      </c>
      <c r="Q97" t="s">
        <v>137</v>
      </c>
      <c r="S97" t="s">
        <v>48</v>
      </c>
      <c r="T97">
        <v>1</v>
      </c>
      <c r="V97">
        <v>1</v>
      </c>
      <c r="W97" t="s">
        <v>126</v>
      </c>
      <c r="X97" t="s">
        <v>71</v>
      </c>
      <c r="Y97" t="s">
        <v>127</v>
      </c>
      <c r="AA97" t="s">
        <v>33</v>
      </c>
      <c r="AB97">
        <v>1</v>
      </c>
      <c r="AD97">
        <v>2</v>
      </c>
      <c r="AE97" t="s">
        <v>65</v>
      </c>
      <c r="AI97">
        <v>0</v>
      </c>
      <c r="AJ97">
        <v>14</v>
      </c>
    </row>
    <row r="98" spans="1:36" x14ac:dyDescent="0.25">
      <c r="A98" t="s">
        <v>911</v>
      </c>
      <c r="B98">
        <v>126</v>
      </c>
      <c r="C98" t="s">
        <v>48</v>
      </c>
      <c r="D98">
        <v>1</v>
      </c>
      <c r="F98">
        <v>1</v>
      </c>
      <c r="G98" t="s">
        <v>126</v>
      </c>
      <c r="H98" t="s">
        <v>84</v>
      </c>
      <c r="I98" t="s">
        <v>51</v>
      </c>
      <c r="J98" t="s">
        <v>129</v>
      </c>
      <c r="K98" t="s">
        <v>45</v>
      </c>
      <c r="L98">
        <v>3</v>
      </c>
      <c r="N98">
        <v>2</v>
      </c>
      <c r="O98" t="s">
        <v>140</v>
      </c>
      <c r="S98" t="s">
        <v>56</v>
      </c>
      <c r="T98">
        <v>1</v>
      </c>
      <c r="V98">
        <v>1</v>
      </c>
      <c r="W98" t="s">
        <v>120</v>
      </c>
      <c r="X98" t="s">
        <v>121</v>
      </c>
      <c r="Y98" t="s">
        <v>123</v>
      </c>
      <c r="AA98" t="s">
        <v>43</v>
      </c>
      <c r="AB98">
        <v>1</v>
      </c>
      <c r="AD98">
        <v>1</v>
      </c>
      <c r="AE98" t="s">
        <v>44</v>
      </c>
      <c r="AF98" t="s">
        <v>136</v>
      </c>
      <c r="AI98">
        <v>0</v>
      </c>
      <c r="AJ98">
        <v>13</v>
      </c>
    </row>
    <row r="99" spans="1:36" x14ac:dyDescent="0.25">
      <c r="A99" t="s">
        <v>912</v>
      </c>
      <c r="B99">
        <v>127</v>
      </c>
      <c r="C99" t="s">
        <v>48</v>
      </c>
      <c r="D99">
        <v>2</v>
      </c>
      <c r="F99">
        <v>2</v>
      </c>
      <c r="G99" t="s">
        <v>126</v>
      </c>
      <c r="H99" t="s">
        <v>71</v>
      </c>
      <c r="I99" t="s">
        <v>127</v>
      </c>
      <c r="K99" t="s">
        <v>63</v>
      </c>
      <c r="L99">
        <v>1</v>
      </c>
      <c r="N99">
        <v>1</v>
      </c>
      <c r="O99" t="s">
        <v>72</v>
      </c>
      <c r="P99" t="s">
        <v>146</v>
      </c>
      <c r="Q99" t="s">
        <v>148</v>
      </c>
      <c r="S99" t="s">
        <v>56</v>
      </c>
      <c r="T99">
        <v>3</v>
      </c>
      <c r="V99">
        <v>1</v>
      </c>
      <c r="W99" t="s">
        <v>120</v>
      </c>
      <c r="X99" t="s">
        <v>121</v>
      </c>
      <c r="Y99" t="s">
        <v>123</v>
      </c>
      <c r="AA99" t="s">
        <v>43</v>
      </c>
      <c r="AB99">
        <v>3</v>
      </c>
      <c r="AD99">
        <v>1</v>
      </c>
      <c r="AE99" t="s">
        <v>44</v>
      </c>
      <c r="AI99">
        <v>0</v>
      </c>
      <c r="AJ99">
        <v>17</v>
      </c>
    </row>
    <row r="100" spans="1:36" x14ac:dyDescent="0.25">
      <c r="A100" t="s">
        <v>913</v>
      </c>
      <c r="B100">
        <v>128</v>
      </c>
      <c r="C100" t="s">
        <v>48</v>
      </c>
      <c r="D100">
        <v>1</v>
      </c>
      <c r="F100">
        <v>1</v>
      </c>
      <c r="G100" t="s">
        <v>126</v>
      </c>
      <c r="H100" t="s">
        <v>84</v>
      </c>
      <c r="I100" t="s">
        <v>127</v>
      </c>
      <c r="K100" t="s">
        <v>38</v>
      </c>
      <c r="L100">
        <v>3</v>
      </c>
      <c r="M100">
        <v>1</v>
      </c>
      <c r="N100">
        <v>3</v>
      </c>
      <c r="O100" t="s">
        <v>39</v>
      </c>
      <c r="P100" t="s">
        <v>40</v>
      </c>
      <c r="Q100" t="s">
        <v>154</v>
      </c>
      <c r="R100" t="s">
        <v>156</v>
      </c>
      <c r="S100" t="s">
        <v>56</v>
      </c>
      <c r="T100">
        <v>3</v>
      </c>
      <c r="V100">
        <v>3</v>
      </c>
      <c r="W100" t="s">
        <v>120</v>
      </c>
      <c r="X100" t="s">
        <v>69</v>
      </c>
      <c r="Y100" t="s">
        <v>85</v>
      </c>
      <c r="Z100" t="s">
        <v>125</v>
      </c>
      <c r="AA100" t="s">
        <v>43</v>
      </c>
      <c r="AB100">
        <v>2</v>
      </c>
      <c r="AD100">
        <v>1</v>
      </c>
      <c r="AE100" t="s">
        <v>44</v>
      </c>
      <c r="AF100" t="s">
        <v>136</v>
      </c>
      <c r="AI100">
        <v>0</v>
      </c>
      <c r="AJ100">
        <v>25</v>
      </c>
    </row>
    <row r="101" spans="1:36" x14ac:dyDescent="0.25">
      <c r="A101" t="s">
        <v>914</v>
      </c>
      <c r="B101">
        <v>129</v>
      </c>
      <c r="C101" t="s">
        <v>56</v>
      </c>
      <c r="D101">
        <v>3</v>
      </c>
      <c r="F101">
        <v>1</v>
      </c>
      <c r="G101" t="s">
        <v>120</v>
      </c>
      <c r="K101" t="s">
        <v>43</v>
      </c>
      <c r="L101">
        <v>1</v>
      </c>
      <c r="N101">
        <v>2</v>
      </c>
      <c r="O101" t="s">
        <v>44</v>
      </c>
      <c r="P101" t="s">
        <v>136</v>
      </c>
      <c r="Q101" t="s">
        <v>137</v>
      </c>
      <c r="S101" t="s">
        <v>33</v>
      </c>
      <c r="T101">
        <v>2</v>
      </c>
      <c r="V101">
        <v>2</v>
      </c>
      <c r="W101" t="s">
        <v>65</v>
      </c>
      <c r="X101" t="s">
        <v>35</v>
      </c>
      <c r="AA101" t="s">
        <v>45</v>
      </c>
      <c r="AB101">
        <v>3</v>
      </c>
      <c r="AD101">
        <v>1</v>
      </c>
      <c r="AE101" t="s">
        <v>140</v>
      </c>
      <c r="AI101">
        <v>0</v>
      </c>
      <c r="AJ101">
        <v>16</v>
      </c>
    </row>
    <row r="102" spans="1:36" x14ac:dyDescent="0.25">
      <c r="A102" t="s">
        <v>915</v>
      </c>
      <c r="B102">
        <v>130</v>
      </c>
      <c r="C102" t="s">
        <v>33</v>
      </c>
      <c r="D102">
        <v>1</v>
      </c>
      <c r="F102">
        <v>2</v>
      </c>
      <c r="G102" t="s">
        <v>65</v>
      </c>
      <c r="K102" t="s">
        <v>63</v>
      </c>
      <c r="L102">
        <v>2</v>
      </c>
      <c r="N102">
        <v>1</v>
      </c>
      <c r="O102" t="s">
        <v>145</v>
      </c>
      <c r="P102" t="s">
        <v>146</v>
      </c>
      <c r="Q102" t="s">
        <v>104</v>
      </c>
      <c r="S102" t="s">
        <v>56</v>
      </c>
      <c r="T102">
        <v>1</v>
      </c>
      <c r="V102">
        <v>1</v>
      </c>
      <c r="W102" t="s">
        <v>57</v>
      </c>
      <c r="X102" t="s">
        <v>122</v>
      </c>
      <c r="Y102" t="s">
        <v>123</v>
      </c>
      <c r="Z102" t="s">
        <v>124</v>
      </c>
      <c r="AA102" t="s">
        <v>43</v>
      </c>
      <c r="AB102">
        <v>2</v>
      </c>
      <c r="AD102">
        <v>1</v>
      </c>
      <c r="AE102" t="s">
        <v>44</v>
      </c>
      <c r="AI102">
        <v>0</v>
      </c>
      <c r="AJ102">
        <v>12</v>
      </c>
    </row>
    <row r="103" spans="1:36" x14ac:dyDescent="0.25">
      <c r="A103" t="s">
        <v>916</v>
      </c>
      <c r="B103">
        <v>131</v>
      </c>
      <c r="C103" t="s">
        <v>56</v>
      </c>
      <c r="D103">
        <v>3</v>
      </c>
      <c r="F103">
        <v>1</v>
      </c>
      <c r="G103" t="s">
        <v>57</v>
      </c>
      <c r="H103" t="s">
        <v>122</v>
      </c>
      <c r="I103" t="s">
        <v>123</v>
      </c>
      <c r="J103" t="s">
        <v>125</v>
      </c>
      <c r="K103" t="s">
        <v>43</v>
      </c>
      <c r="L103">
        <v>3</v>
      </c>
      <c r="N103">
        <v>1</v>
      </c>
      <c r="O103" t="s">
        <v>44</v>
      </c>
      <c r="P103" t="s">
        <v>136</v>
      </c>
      <c r="S103" t="s">
        <v>33</v>
      </c>
      <c r="T103">
        <v>2</v>
      </c>
      <c r="V103">
        <v>3</v>
      </c>
      <c r="W103" t="s">
        <v>65</v>
      </c>
      <c r="AA103" t="s">
        <v>38</v>
      </c>
      <c r="AB103">
        <v>1</v>
      </c>
      <c r="AC103">
        <v>2</v>
      </c>
      <c r="AD103">
        <v>2</v>
      </c>
      <c r="AE103" t="s">
        <v>39</v>
      </c>
      <c r="AF103" t="s">
        <v>96</v>
      </c>
      <c r="AG103" t="s">
        <v>154</v>
      </c>
      <c r="AH103" t="s">
        <v>155</v>
      </c>
      <c r="AI103">
        <v>0</v>
      </c>
      <c r="AJ103">
        <v>20</v>
      </c>
    </row>
    <row r="104" spans="1:36" x14ac:dyDescent="0.25">
      <c r="A104" t="s">
        <v>917</v>
      </c>
      <c r="B104">
        <v>132</v>
      </c>
      <c r="C104" t="s">
        <v>56</v>
      </c>
      <c r="D104">
        <v>3</v>
      </c>
      <c r="F104">
        <v>1</v>
      </c>
      <c r="G104" t="s">
        <v>57</v>
      </c>
      <c r="H104" t="s">
        <v>122</v>
      </c>
      <c r="I104" t="s">
        <v>123</v>
      </c>
      <c r="K104" t="s">
        <v>43</v>
      </c>
      <c r="L104">
        <v>1</v>
      </c>
      <c r="N104">
        <v>1</v>
      </c>
      <c r="O104" t="s">
        <v>44</v>
      </c>
      <c r="P104" t="s">
        <v>136</v>
      </c>
      <c r="Q104" t="s">
        <v>137</v>
      </c>
      <c r="S104" t="s">
        <v>45</v>
      </c>
      <c r="T104">
        <v>3</v>
      </c>
      <c r="V104">
        <v>1</v>
      </c>
      <c r="W104" t="s">
        <v>140</v>
      </c>
      <c r="AA104" t="s">
        <v>63</v>
      </c>
      <c r="AB104">
        <v>2</v>
      </c>
      <c r="AD104">
        <v>1</v>
      </c>
      <c r="AE104" t="s">
        <v>72</v>
      </c>
      <c r="AF104" t="s">
        <v>146</v>
      </c>
      <c r="AG104" t="s">
        <v>104</v>
      </c>
      <c r="AI104">
        <v>0</v>
      </c>
      <c r="AJ104">
        <v>15</v>
      </c>
    </row>
    <row r="105" spans="1:36" x14ac:dyDescent="0.25">
      <c r="A105" t="s">
        <v>918</v>
      </c>
      <c r="B105">
        <v>133</v>
      </c>
      <c r="C105" t="s">
        <v>45</v>
      </c>
      <c r="D105">
        <v>2</v>
      </c>
      <c r="F105">
        <v>2</v>
      </c>
      <c r="G105" t="s">
        <v>140</v>
      </c>
      <c r="K105" t="s">
        <v>38</v>
      </c>
      <c r="L105">
        <v>1</v>
      </c>
      <c r="M105">
        <v>3</v>
      </c>
      <c r="N105">
        <v>2</v>
      </c>
      <c r="O105" t="s">
        <v>39</v>
      </c>
      <c r="P105" t="s">
        <v>96</v>
      </c>
      <c r="Q105" t="s">
        <v>154</v>
      </c>
      <c r="R105" t="s">
        <v>156</v>
      </c>
      <c r="S105" t="s">
        <v>56</v>
      </c>
      <c r="T105">
        <v>3</v>
      </c>
      <c r="V105">
        <v>1</v>
      </c>
      <c r="W105" t="s">
        <v>68</v>
      </c>
      <c r="X105" t="s">
        <v>121</v>
      </c>
      <c r="Y105" t="s">
        <v>87</v>
      </c>
      <c r="Z105" t="s">
        <v>124</v>
      </c>
      <c r="AA105" t="s">
        <v>43</v>
      </c>
      <c r="AB105">
        <v>1</v>
      </c>
      <c r="AD105">
        <v>1</v>
      </c>
      <c r="AE105" t="s">
        <v>44</v>
      </c>
      <c r="AI105">
        <v>0</v>
      </c>
      <c r="AJ105">
        <v>17</v>
      </c>
    </row>
    <row r="106" spans="1:36" x14ac:dyDescent="0.25">
      <c r="A106" t="s">
        <v>919</v>
      </c>
      <c r="B106">
        <v>134</v>
      </c>
      <c r="C106" t="s">
        <v>56</v>
      </c>
      <c r="D106">
        <v>3</v>
      </c>
      <c r="F106">
        <v>1</v>
      </c>
      <c r="G106" t="s">
        <v>57</v>
      </c>
      <c r="K106" t="s">
        <v>43</v>
      </c>
      <c r="L106">
        <v>3</v>
      </c>
      <c r="N106">
        <v>1</v>
      </c>
      <c r="O106" t="s">
        <v>44</v>
      </c>
      <c r="P106" t="s">
        <v>99</v>
      </c>
      <c r="S106" t="s">
        <v>63</v>
      </c>
      <c r="T106">
        <v>1</v>
      </c>
      <c r="V106">
        <v>1</v>
      </c>
      <c r="W106" t="s">
        <v>103</v>
      </c>
      <c r="X106" t="s">
        <v>146</v>
      </c>
      <c r="Y106" t="s">
        <v>104</v>
      </c>
      <c r="AA106" t="s">
        <v>38</v>
      </c>
      <c r="AB106">
        <v>1</v>
      </c>
      <c r="AC106">
        <v>1</v>
      </c>
      <c r="AD106">
        <v>2</v>
      </c>
      <c r="AE106" t="s">
        <v>39</v>
      </c>
      <c r="AI106">
        <v>0</v>
      </c>
      <c r="AJ106">
        <v>13</v>
      </c>
    </row>
    <row r="107" spans="1:36" x14ac:dyDescent="0.25">
      <c r="A107" t="s">
        <v>920</v>
      </c>
      <c r="B107">
        <v>135</v>
      </c>
      <c r="C107" t="s">
        <v>56</v>
      </c>
      <c r="D107">
        <v>3</v>
      </c>
      <c r="F107">
        <v>2</v>
      </c>
      <c r="G107" t="s">
        <v>120</v>
      </c>
      <c r="H107" t="s">
        <v>121</v>
      </c>
      <c r="I107" t="s">
        <v>123</v>
      </c>
      <c r="K107" t="s">
        <v>45</v>
      </c>
      <c r="L107">
        <v>3</v>
      </c>
      <c r="N107">
        <v>2</v>
      </c>
      <c r="O107" t="s">
        <v>140</v>
      </c>
      <c r="P107" t="s">
        <v>76</v>
      </c>
      <c r="Q107" t="s">
        <v>102</v>
      </c>
      <c r="S107" t="s">
        <v>48</v>
      </c>
      <c r="T107">
        <v>1</v>
      </c>
      <c r="V107">
        <v>3</v>
      </c>
      <c r="W107" t="s">
        <v>126</v>
      </c>
      <c r="X107" t="s">
        <v>84</v>
      </c>
      <c r="Y107" t="s">
        <v>90</v>
      </c>
      <c r="Z107" t="s">
        <v>128</v>
      </c>
      <c r="AA107" t="s">
        <v>33</v>
      </c>
      <c r="AB107">
        <v>2</v>
      </c>
      <c r="AD107">
        <v>2</v>
      </c>
      <c r="AE107" t="s">
        <v>65</v>
      </c>
      <c r="AI107">
        <v>0</v>
      </c>
      <c r="AJ107">
        <v>21</v>
      </c>
    </row>
    <row r="108" spans="1:36" x14ac:dyDescent="0.25">
      <c r="A108" t="s">
        <v>921</v>
      </c>
      <c r="B108">
        <v>136</v>
      </c>
      <c r="C108" t="s">
        <v>56</v>
      </c>
      <c r="D108">
        <v>2</v>
      </c>
      <c r="F108">
        <v>1</v>
      </c>
      <c r="G108" t="s">
        <v>120</v>
      </c>
      <c r="H108" t="s">
        <v>121</v>
      </c>
      <c r="I108" t="s">
        <v>87</v>
      </c>
      <c r="K108" t="s">
        <v>45</v>
      </c>
      <c r="L108">
        <v>3</v>
      </c>
      <c r="N108">
        <v>1</v>
      </c>
      <c r="O108" t="s">
        <v>86</v>
      </c>
      <c r="P108" t="s">
        <v>141</v>
      </c>
      <c r="Q108" t="s">
        <v>142</v>
      </c>
      <c r="S108" t="s">
        <v>48</v>
      </c>
      <c r="T108">
        <v>1</v>
      </c>
      <c r="V108">
        <v>1</v>
      </c>
      <c r="W108" t="s">
        <v>126</v>
      </c>
      <c r="X108" t="s">
        <v>84</v>
      </c>
      <c r="AA108" t="s">
        <v>43</v>
      </c>
      <c r="AB108">
        <v>1</v>
      </c>
      <c r="AD108">
        <v>1</v>
      </c>
      <c r="AE108" t="s">
        <v>73</v>
      </c>
      <c r="AF108" t="s">
        <v>74</v>
      </c>
      <c r="AG108" t="s">
        <v>100</v>
      </c>
      <c r="AH108" t="s">
        <v>101</v>
      </c>
      <c r="AI108">
        <v>0</v>
      </c>
      <c r="AJ108">
        <v>15</v>
      </c>
    </row>
    <row r="109" spans="1:36" x14ac:dyDescent="0.25">
      <c r="A109" t="s">
        <v>922</v>
      </c>
      <c r="B109">
        <v>137</v>
      </c>
      <c r="C109" t="s">
        <v>48</v>
      </c>
      <c r="D109">
        <v>2</v>
      </c>
      <c r="F109">
        <v>3</v>
      </c>
      <c r="G109" t="s">
        <v>126</v>
      </c>
      <c r="H109" t="s">
        <v>84</v>
      </c>
      <c r="I109" t="s">
        <v>127</v>
      </c>
      <c r="J109" t="s">
        <v>129</v>
      </c>
      <c r="K109" t="s">
        <v>63</v>
      </c>
      <c r="L109">
        <v>1</v>
      </c>
      <c r="N109">
        <v>2</v>
      </c>
      <c r="O109" t="s">
        <v>72</v>
      </c>
      <c r="P109" t="s">
        <v>146</v>
      </c>
      <c r="Q109" t="s">
        <v>148</v>
      </c>
      <c r="R109" t="s">
        <v>149</v>
      </c>
      <c r="S109" t="s">
        <v>56</v>
      </c>
      <c r="T109">
        <v>3</v>
      </c>
      <c r="V109">
        <v>2</v>
      </c>
      <c r="W109" t="s">
        <v>120</v>
      </c>
      <c r="X109" t="s">
        <v>69</v>
      </c>
      <c r="Y109" t="s">
        <v>123</v>
      </c>
      <c r="AA109" t="s">
        <v>45</v>
      </c>
      <c r="AB109">
        <v>3</v>
      </c>
      <c r="AD109">
        <v>3</v>
      </c>
      <c r="AE109" t="s">
        <v>86</v>
      </c>
      <c r="AF109" t="s">
        <v>141</v>
      </c>
      <c r="AG109" t="s">
        <v>93</v>
      </c>
      <c r="AH109" t="s">
        <v>143</v>
      </c>
      <c r="AI109">
        <v>0</v>
      </c>
      <c r="AJ109">
        <v>27</v>
      </c>
    </row>
    <row r="110" spans="1:36" x14ac:dyDescent="0.25">
      <c r="A110" t="s">
        <v>923</v>
      </c>
      <c r="B110">
        <v>138</v>
      </c>
      <c r="C110" t="s">
        <v>56</v>
      </c>
      <c r="D110">
        <v>2</v>
      </c>
      <c r="F110">
        <v>1</v>
      </c>
      <c r="G110" t="s">
        <v>120</v>
      </c>
      <c r="H110" t="s">
        <v>121</v>
      </c>
      <c r="I110" t="s">
        <v>123</v>
      </c>
      <c r="K110" t="s">
        <v>45</v>
      </c>
      <c r="L110">
        <v>3</v>
      </c>
      <c r="N110">
        <v>2</v>
      </c>
      <c r="O110" t="s">
        <v>86</v>
      </c>
      <c r="P110" t="s">
        <v>76</v>
      </c>
      <c r="Q110" t="s">
        <v>93</v>
      </c>
      <c r="S110" t="s">
        <v>48</v>
      </c>
      <c r="T110">
        <v>1</v>
      </c>
      <c r="V110">
        <v>1</v>
      </c>
      <c r="W110" t="s">
        <v>126</v>
      </c>
      <c r="X110" t="s">
        <v>84</v>
      </c>
      <c r="Y110" t="s">
        <v>127</v>
      </c>
      <c r="AA110" t="s">
        <v>38</v>
      </c>
      <c r="AB110">
        <v>3</v>
      </c>
      <c r="AC110">
        <v>1</v>
      </c>
      <c r="AD110">
        <v>2</v>
      </c>
      <c r="AE110" t="s">
        <v>39</v>
      </c>
      <c r="AF110" t="s">
        <v>96</v>
      </c>
      <c r="AG110" t="s">
        <v>153</v>
      </c>
      <c r="AI110">
        <v>0</v>
      </c>
      <c r="AJ110">
        <v>19</v>
      </c>
    </row>
    <row r="111" spans="1:36" x14ac:dyDescent="0.25">
      <c r="A111" t="s">
        <v>924</v>
      </c>
      <c r="B111">
        <v>139</v>
      </c>
      <c r="C111" t="s">
        <v>56</v>
      </c>
      <c r="D111">
        <v>1</v>
      </c>
      <c r="F111">
        <v>1</v>
      </c>
      <c r="G111" t="s">
        <v>120</v>
      </c>
      <c r="H111" t="s">
        <v>121</v>
      </c>
      <c r="I111" t="s">
        <v>87</v>
      </c>
      <c r="J111" t="s">
        <v>88</v>
      </c>
      <c r="K111" t="s">
        <v>45</v>
      </c>
      <c r="L111">
        <v>3</v>
      </c>
      <c r="N111">
        <v>1</v>
      </c>
      <c r="O111" t="s">
        <v>140</v>
      </c>
      <c r="P111" t="s">
        <v>92</v>
      </c>
      <c r="Q111" t="s">
        <v>93</v>
      </c>
      <c r="S111" t="s">
        <v>33</v>
      </c>
      <c r="T111">
        <v>2</v>
      </c>
      <c r="V111">
        <v>3</v>
      </c>
      <c r="W111" t="s">
        <v>65</v>
      </c>
      <c r="AA111" t="s">
        <v>43</v>
      </c>
      <c r="AB111">
        <v>1</v>
      </c>
      <c r="AD111">
        <v>1</v>
      </c>
      <c r="AE111" t="s">
        <v>73</v>
      </c>
      <c r="AF111" t="s">
        <v>136</v>
      </c>
      <c r="AG111" t="s">
        <v>100</v>
      </c>
      <c r="AH111" t="s">
        <v>101</v>
      </c>
      <c r="AI111">
        <v>0</v>
      </c>
      <c r="AJ111">
        <v>17</v>
      </c>
    </row>
    <row r="112" spans="1:36" x14ac:dyDescent="0.25">
      <c r="A112" t="s">
        <v>925</v>
      </c>
      <c r="B112">
        <v>140</v>
      </c>
      <c r="C112" t="s">
        <v>56</v>
      </c>
      <c r="D112">
        <v>3</v>
      </c>
      <c r="F112">
        <v>2</v>
      </c>
      <c r="G112" t="s">
        <v>57</v>
      </c>
      <c r="K112" t="s">
        <v>45</v>
      </c>
      <c r="L112">
        <v>3</v>
      </c>
      <c r="N112">
        <v>1</v>
      </c>
      <c r="O112" t="s">
        <v>140</v>
      </c>
      <c r="P112" t="s">
        <v>141</v>
      </c>
      <c r="Q112" t="s">
        <v>93</v>
      </c>
      <c r="S112" t="s">
        <v>33</v>
      </c>
      <c r="T112">
        <v>1</v>
      </c>
      <c r="V112">
        <v>3</v>
      </c>
      <c r="W112" t="s">
        <v>65</v>
      </c>
      <c r="AA112" t="s">
        <v>63</v>
      </c>
      <c r="AB112">
        <v>2</v>
      </c>
      <c r="AD112">
        <v>1</v>
      </c>
      <c r="AE112" t="s">
        <v>145</v>
      </c>
      <c r="AF112" t="s">
        <v>146</v>
      </c>
      <c r="AG112" t="s">
        <v>147</v>
      </c>
      <c r="AI112">
        <v>0</v>
      </c>
      <c r="AJ112">
        <v>16</v>
      </c>
    </row>
    <row r="113" spans="1:36" x14ac:dyDescent="0.25">
      <c r="A113" t="s">
        <v>926</v>
      </c>
      <c r="B113">
        <v>141</v>
      </c>
      <c r="C113" t="s">
        <v>33</v>
      </c>
      <c r="D113">
        <v>1</v>
      </c>
      <c r="F113">
        <v>2</v>
      </c>
      <c r="G113" t="s">
        <v>65</v>
      </c>
      <c r="H113" t="s">
        <v>35</v>
      </c>
      <c r="I113" t="s">
        <v>131</v>
      </c>
      <c r="K113" t="s">
        <v>38</v>
      </c>
      <c r="L113">
        <v>2</v>
      </c>
      <c r="M113">
        <v>1</v>
      </c>
      <c r="N113">
        <v>2</v>
      </c>
      <c r="O113" t="s">
        <v>39</v>
      </c>
      <c r="P113" t="s">
        <v>96</v>
      </c>
      <c r="Q113" t="s">
        <v>153</v>
      </c>
      <c r="S113" t="s">
        <v>56</v>
      </c>
      <c r="T113">
        <v>2</v>
      </c>
      <c r="V113">
        <v>1</v>
      </c>
      <c r="W113" t="s">
        <v>57</v>
      </c>
      <c r="AA113" t="s">
        <v>45</v>
      </c>
      <c r="AB113">
        <v>3</v>
      </c>
      <c r="AD113">
        <v>1</v>
      </c>
      <c r="AE113" t="s">
        <v>140</v>
      </c>
      <c r="AF113" t="s">
        <v>141</v>
      </c>
      <c r="AI113">
        <v>0</v>
      </c>
      <c r="AJ113">
        <v>15</v>
      </c>
    </row>
    <row r="114" spans="1:36" x14ac:dyDescent="0.25">
      <c r="A114" t="s">
        <v>927</v>
      </c>
      <c r="B114">
        <v>142</v>
      </c>
      <c r="C114" t="s">
        <v>43</v>
      </c>
      <c r="D114">
        <v>1</v>
      </c>
      <c r="F114">
        <v>1</v>
      </c>
      <c r="G114" t="s">
        <v>44</v>
      </c>
      <c r="H114" t="s">
        <v>99</v>
      </c>
      <c r="I114" t="s">
        <v>75</v>
      </c>
      <c r="J114" t="s">
        <v>138</v>
      </c>
      <c r="K114" t="s">
        <v>63</v>
      </c>
      <c r="L114">
        <v>1</v>
      </c>
      <c r="N114">
        <v>2</v>
      </c>
      <c r="O114" t="s">
        <v>145</v>
      </c>
      <c r="P114" t="s">
        <v>146</v>
      </c>
      <c r="Q114" t="s">
        <v>147</v>
      </c>
      <c r="S114" t="s">
        <v>56</v>
      </c>
      <c r="T114">
        <v>2</v>
      </c>
      <c r="V114">
        <v>1</v>
      </c>
      <c r="W114" t="s">
        <v>120</v>
      </c>
      <c r="X114" t="s">
        <v>69</v>
      </c>
      <c r="AA114" t="s">
        <v>45</v>
      </c>
      <c r="AB114">
        <v>3</v>
      </c>
      <c r="AD114">
        <v>3</v>
      </c>
      <c r="AE114" t="s">
        <v>86</v>
      </c>
      <c r="AI114">
        <v>0</v>
      </c>
      <c r="AJ114">
        <v>17</v>
      </c>
    </row>
    <row r="115" spans="1:36" x14ac:dyDescent="0.25">
      <c r="A115" t="s">
        <v>928</v>
      </c>
      <c r="B115">
        <v>143</v>
      </c>
      <c r="C115" t="s">
        <v>43</v>
      </c>
      <c r="D115">
        <v>1</v>
      </c>
      <c r="F115">
        <v>2</v>
      </c>
      <c r="G115" t="s">
        <v>44</v>
      </c>
      <c r="H115" t="s">
        <v>136</v>
      </c>
      <c r="K115" t="s">
        <v>38</v>
      </c>
      <c r="L115">
        <v>3</v>
      </c>
      <c r="M115">
        <v>3</v>
      </c>
      <c r="N115">
        <v>3</v>
      </c>
      <c r="O115" t="s">
        <v>39</v>
      </c>
      <c r="P115" t="s">
        <v>96</v>
      </c>
      <c r="Q115" t="s">
        <v>154</v>
      </c>
      <c r="R115" t="s">
        <v>156</v>
      </c>
      <c r="S115" t="s">
        <v>56</v>
      </c>
      <c r="T115">
        <v>3</v>
      </c>
      <c r="V115">
        <v>3</v>
      </c>
      <c r="W115" t="s">
        <v>57</v>
      </c>
      <c r="X115" t="s">
        <v>122</v>
      </c>
      <c r="Y115" t="s">
        <v>85</v>
      </c>
      <c r="Z115" t="s">
        <v>125</v>
      </c>
      <c r="AA115" t="s">
        <v>45</v>
      </c>
      <c r="AB115">
        <v>2</v>
      </c>
      <c r="AD115">
        <v>1</v>
      </c>
      <c r="AE115" t="s">
        <v>140</v>
      </c>
      <c r="AI115">
        <v>0</v>
      </c>
      <c r="AJ115">
        <v>25</v>
      </c>
    </row>
    <row r="116" spans="1:36" x14ac:dyDescent="0.25">
      <c r="A116" s="36" t="s">
        <v>929</v>
      </c>
      <c r="B116">
        <v>144</v>
      </c>
      <c r="C116" t="s">
        <v>63</v>
      </c>
      <c r="D116">
        <v>1</v>
      </c>
      <c r="F116">
        <v>1</v>
      </c>
      <c r="G116" t="s">
        <v>145</v>
      </c>
      <c r="H116" t="s">
        <v>146</v>
      </c>
      <c r="I116" t="s">
        <v>104</v>
      </c>
      <c r="K116" t="s">
        <v>38</v>
      </c>
      <c r="L116">
        <v>2</v>
      </c>
      <c r="M116">
        <v>3</v>
      </c>
      <c r="N116">
        <v>2</v>
      </c>
      <c r="O116" t="s">
        <v>39</v>
      </c>
      <c r="P116" t="s">
        <v>96</v>
      </c>
      <c r="Q116" t="s">
        <v>154</v>
      </c>
      <c r="R116" t="s">
        <v>156</v>
      </c>
      <c r="S116" t="s">
        <v>56</v>
      </c>
      <c r="T116">
        <v>3</v>
      </c>
      <c r="V116">
        <v>2</v>
      </c>
      <c r="W116" t="s">
        <v>57</v>
      </c>
      <c r="X116" t="s">
        <v>122</v>
      </c>
      <c r="Y116" t="s">
        <v>85</v>
      </c>
      <c r="Z116" t="s">
        <v>124</v>
      </c>
      <c r="AA116" t="s">
        <v>45</v>
      </c>
      <c r="AB116">
        <v>3</v>
      </c>
      <c r="AD116">
        <v>1</v>
      </c>
      <c r="AE116" t="s">
        <v>86</v>
      </c>
      <c r="AF116" t="s">
        <v>76</v>
      </c>
      <c r="AG116" t="s">
        <v>102</v>
      </c>
      <c r="AH116" t="s">
        <v>144</v>
      </c>
      <c r="AI116">
        <v>0</v>
      </c>
      <c r="AJ116">
        <v>24</v>
      </c>
    </row>
    <row r="117" spans="1:36" x14ac:dyDescent="0.25">
      <c r="A117" t="s">
        <v>930</v>
      </c>
      <c r="B117">
        <v>145</v>
      </c>
      <c r="C117" t="s">
        <v>48</v>
      </c>
      <c r="D117">
        <v>2</v>
      </c>
      <c r="F117">
        <v>1</v>
      </c>
      <c r="G117" t="s">
        <v>49</v>
      </c>
      <c r="H117" t="s">
        <v>84</v>
      </c>
      <c r="I117" t="s">
        <v>127</v>
      </c>
      <c r="J117" t="s">
        <v>128</v>
      </c>
      <c r="K117" t="s">
        <v>33</v>
      </c>
      <c r="L117">
        <v>1</v>
      </c>
      <c r="N117">
        <v>2</v>
      </c>
      <c r="O117" t="s">
        <v>34</v>
      </c>
      <c r="S117" t="s">
        <v>56</v>
      </c>
      <c r="T117">
        <v>3</v>
      </c>
      <c r="V117">
        <v>1</v>
      </c>
      <c r="W117" t="s">
        <v>120</v>
      </c>
      <c r="AA117" t="s">
        <v>63</v>
      </c>
      <c r="AB117">
        <v>2</v>
      </c>
      <c r="AD117">
        <v>1</v>
      </c>
      <c r="AE117" t="s">
        <v>72</v>
      </c>
      <c r="AF117" t="s">
        <v>95</v>
      </c>
      <c r="AG117" t="s">
        <v>147</v>
      </c>
      <c r="AI117">
        <v>0</v>
      </c>
      <c r="AJ117">
        <v>14</v>
      </c>
    </row>
    <row r="118" spans="1:36" x14ac:dyDescent="0.25">
      <c r="A118" t="s">
        <v>931</v>
      </c>
      <c r="B118">
        <v>146</v>
      </c>
      <c r="C118" t="s">
        <v>48</v>
      </c>
      <c r="D118">
        <v>3</v>
      </c>
      <c r="F118">
        <v>2</v>
      </c>
      <c r="G118" t="s">
        <v>49</v>
      </c>
      <c r="H118" t="s">
        <v>71</v>
      </c>
      <c r="I118" t="s">
        <v>51</v>
      </c>
      <c r="J118" t="s">
        <v>129</v>
      </c>
      <c r="K118" t="s">
        <v>43</v>
      </c>
      <c r="L118">
        <v>3</v>
      </c>
      <c r="N118">
        <v>2</v>
      </c>
      <c r="O118" t="s">
        <v>44</v>
      </c>
      <c r="P118" t="s">
        <v>99</v>
      </c>
      <c r="Q118" t="s">
        <v>75</v>
      </c>
      <c r="R118" t="s">
        <v>101</v>
      </c>
      <c r="S118" t="s">
        <v>56</v>
      </c>
      <c r="T118">
        <v>3</v>
      </c>
      <c r="V118">
        <v>2</v>
      </c>
      <c r="W118" t="s">
        <v>120</v>
      </c>
      <c r="X118" t="s">
        <v>121</v>
      </c>
      <c r="Y118" t="s">
        <v>123</v>
      </c>
      <c r="AA118" t="s">
        <v>63</v>
      </c>
      <c r="AB118">
        <v>1</v>
      </c>
      <c r="AD118">
        <v>2</v>
      </c>
      <c r="AE118" t="s">
        <v>145</v>
      </c>
      <c r="AF118" t="s">
        <v>146</v>
      </c>
      <c r="AG118" t="s">
        <v>104</v>
      </c>
      <c r="AI118">
        <v>0</v>
      </c>
      <c r="AJ118">
        <v>24</v>
      </c>
    </row>
    <row r="119" spans="1:36" x14ac:dyDescent="0.25">
      <c r="A119" t="s">
        <v>932</v>
      </c>
      <c r="B119">
        <v>147</v>
      </c>
      <c r="C119" t="s">
        <v>56</v>
      </c>
      <c r="D119">
        <v>3</v>
      </c>
      <c r="F119">
        <v>3</v>
      </c>
      <c r="G119" t="s">
        <v>120</v>
      </c>
      <c r="H119" t="s">
        <v>69</v>
      </c>
      <c r="I119" t="s">
        <v>87</v>
      </c>
      <c r="J119" t="s">
        <v>88</v>
      </c>
      <c r="K119" t="s">
        <v>63</v>
      </c>
      <c r="L119">
        <v>3</v>
      </c>
      <c r="N119">
        <v>3</v>
      </c>
      <c r="O119" t="s">
        <v>145</v>
      </c>
      <c r="P119" t="s">
        <v>146</v>
      </c>
      <c r="Q119" t="s">
        <v>147</v>
      </c>
      <c r="R119" t="s">
        <v>150</v>
      </c>
      <c r="S119" t="s">
        <v>48</v>
      </c>
      <c r="T119">
        <v>2</v>
      </c>
      <c r="V119">
        <v>3</v>
      </c>
      <c r="W119" t="s">
        <v>49</v>
      </c>
      <c r="X119" t="s">
        <v>50</v>
      </c>
      <c r="Y119" t="s">
        <v>127</v>
      </c>
      <c r="Z119" t="s">
        <v>52</v>
      </c>
      <c r="AA119" t="s">
        <v>45</v>
      </c>
      <c r="AB119">
        <v>3</v>
      </c>
      <c r="AD119">
        <v>3</v>
      </c>
      <c r="AE119" t="s">
        <v>140</v>
      </c>
      <c r="AF119" t="s">
        <v>141</v>
      </c>
      <c r="AG119" t="s">
        <v>102</v>
      </c>
      <c r="AH119" t="s">
        <v>94</v>
      </c>
      <c r="AI119">
        <v>0</v>
      </c>
      <c r="AJ119">
        <v>48</v>
      </c>
    </row>
    <row r="120" spans="1:36" x14ac:dyDescent="0.25">
      <c r="A120" t="s">
        <v>933</v>
      </c>
      <c r="B120">
        <v>148</v>
      </c>
      <c r="C120" t="s">
        <v>56</v>
      </c>
      <c r="D120">
        <v>2</v>
      </c>
      <c r="F120">
        <v>1</v>
      </c>
      <c r="G120" t="s">
        <v>120</v>
      </c>
      <c r="H120" t="s">
        <v>122</v>
      </c>
      <c r="I120" t="s">
        <v>85</v>
      </c>
      <c r="J120" t="s">
        <v>124</v>
      </c>
      <c r="K120" t="s">
        <v>63</v>
      </c>
      <c r="L120">
        <v>2</v>
      </c>
      <c r="N120">
        <v>1</v>
      </c>
      <c r="O120" t="s">
        <v>145</v>
      </c>
      <c r="P120" t="s">
        <v>91</v>
      </c>
      <c r="Q120" t="s">
        <v>147</v>
      </c>
      <c r="S120" t="s">
        <v>48</v>
      </c>
      <c r="T120">
        <v>3</v>
      </c>
      <c r="V120">
        <v>1</v>
      </c>
      <c r="W120" t="s">
        <v>49</v>
      </c>
      <c r="AA120" t="s">
        <v>38</v>
      </c>
      <c r="AB120">
        <v>3</v>
      </c>
      <c r="AC120">
        <v>1</v>
      </c>
      <c r="AD120">
        <v>2</v>
      </c>
      <c r="AE120" t="s">
        <v>152</v>
      </c>
      <c r="AF120" t="s">
        <v>40</v>
      </c>
      <c r="AI120">
        <v>0</v>
      </c>
      <c r="AJ120">
        <v>18</v>
      </c>
    </row>
    <row r="121" spans="1:36" x14ac:dyDescent="0.25">
      <c r="A121" t="s">
        <v>934</v>
      </c>
      <c r="B121">
        <v>149</v>
      </c>
      <c r="C121" t="s">
        <v>33</v>
      </c>
      <c r="D121">
        <v>2</v>
      </c>
      <c r="F121">
        <v>3</v>
      </c>
      <c r="G121" t="s">
        <v>34</v>
      </c>
      <c r="H121" t="s">
        <v>66</v>
      </c>
      <c r="K121" t="s">
        <v>43</v>
      </c>
      <c r="L121">
        <v>1</v>
      </c>
      <c r="N121">
        <v>1</v>
      </c>
      <c r="O121" t="s">
        <v>135</v>
      </c>
      <c r="P121" t="s">
        <v>99</v>
      </c>
      <c r="Q121" t="s">
        <v>137</v>
      </c>
      <c r="R121" t="s">
        <v>139</v>
      </c>
      <c r="S121" t="s">
        <v>56</v>
      </c>
      <c r="T121">
        <v>2</v>
      </c>
      <c r="V121">
        <v>1</v>
      </c>
      <c r="W121" t="s">
        <v>68</v>
      </c>
      <c r="AA121" t="s">
        <v>63</v>
      </c>
      <c r="AB121">
        <v>3</v>
      </c>
      <c r="AD121">
        <v>1</v>
      </c>
      <c r="AE121" t="s">
        <v>72</v>
      </c>
      <c r="AF121" t="s">
        <v>146</v>
      </c>
      <c r="AI121">
        <v>0</v>
      </c>
      <c r="AJ121">
        <v>15</v>
      </c>
    </row>
    <row r="122" spans="1:36" x14ac:dyDescent="0.25">
      <c r="A122" s="36" t="s">
        <v>935</v>
      </c>
      <c r="B122">
        <v>150</v>
      </c>
      <c r="C122" t="s">
        <v>56</v>
      </c>
      <c r="D122">
        <v>1</v>
      </c>
      <c r="F122">
        <v>2</v>
      </c>
      <c r="G122" t="s">
        <v>57</v>
      </c>
      <c r="H122" t="s">
        <v>69</v>
      </c>
      <c r="K122" t="s">
        <v>63</v>
      </c>
      <c r="L122">
        <v>2</v>
      </c>
      <c r="N122">
        <v>1</v>
      </c>
      <c r="O122" t="s">
        <v>145</v>
      </c>
      <c r="S122" t="s">
        <v>33</v>
      </c>
      <c r="T122">
        <v>2</v>
      </c>
      <c r="V122">
        <v>1</v>
      </c>
      <c r="W122" t="s">
        <v>34</v>
      </c>
      <c r="AA122" t="s">
        <v>45</v>
      </c>
      <c r="AB122">
        <v>3</v>
      </c>
      <c r="AD122">
        <v>1</v>
      </c>
      <c r="AE122" t="s">
        <v>86</v>
      </c>
      <c r="AI122">
        <v>0</v>
      </c>
      <c r="AJ122">
        <v>10</v>
      </c>
    </row>
    <row r="123" spans="1:36" x14ac:dyDescent="0.25">
      <c r="A123" t="s">
        <v>936</v>
      </c>
      <c r="B123">
        <v>151</v>
      </c>
      <c r="C123" t="s">
        <v>56</v>
      </c>
      <c r="D123">
        <v>3</v>
      </c>
      <c r="F123">
        <v>1</v>
      </c>
      <c r="G123" t="s">
        <v>57</v>
      </c>
      <c r="K123" t="s">
        <v>63</v>
      </c>
      <c r="L123">
        <v>1</v>
      </c>
      <c r="N123">
        <v>1</v>
      </c>
      <c r="O123" t="s">
        <v>145</v>
      </c>
      <c r="P123" t="s">
        <v>95</v>
      </c>
      <c r="S123" t="s">
        <v>33</v>
      </c>
      <c r="T123">
        <v>3</v>
      </c>
      <c r="V123">
        <v>1</v>
      </c>
      <c r="W123" t="s">
        <v>34</v>
      </c>
      <c r="X123" t="s">
        <v>35</v>
      </c>
      <c r="AA123" t="s">
        <v>38</v>
      </c>
      <c r="AB123">
        <v>2</v>
      </c>
      <c r="AC123">
        <v>1</v>
      </c>
      <c r="AD123">
        <v>1</v>
      </c>
      <c r="AE123" t="s">
        <v>39</v>
      </c>
      <c r="AF123" t="s">
        <v>96</v>
      </c>
      <c r="AI123">
        <v>0</v>
      </c>
      <c r="AJ123">
        <v>13</v>
      </c>
    </row>
    <row r="124" spans="1:36" x14ac:dyDescent="0.25">
      <c r="A124" t="s">
        <v>937</v>
      </c>
      <c r="B124">
        <v>152</v>
      </c>
      <c r="C124" t="s">
        <v>56</v>
      </c>
      <c r="D124">
        <v>2</v>
      </c>
      <c r="F124">
        <v>3</v>
      </c>
      <c r="G124" t="s">
        <v>120</v>
      </c>
      <c r="H124" t="s">
        <v>69</v>
      </c>
      <c r="I124" t="s">
        <v>87</v>
      </c>
      <c r="J124" t="s">
        <v>125</v>
      </c>
      <c r="K124" t="s">
        <v>63</v>
      </c>
      <c r="L124">
        <v>2</v>
      </c>
      <c r="N124">
        <v>2</v>
      </c>
      <c r="O124" t="s">
        <v>145</v>
      </c>
      <c r="P124" t="s">
        <v>146</v>
      </c>
      <c r="Q124" t="s">
        <v>104</v>
      </c>
      <c r="R124" t="s">
        <v>150</v>
      </c>
      <c r="S124" t="s">
        <v>43</v>
      </c>
      <c r="T124">
        <v>3</v>
      </c>
      <c r="V124">
        <v>2</v>
      </c>
      <c r="W124" t="s">
        <v>44</v>
      </c>
      <c r="X124" t="s">
        <v>99</v>
      </c>
      <c r="Y124" t="s">
        <v>137</v>
      </c>
      <c r="Z124" t="s">
        <v>139</v>
      </c>
      <c r="AA124" t="s">
        <v>45</v>
      </c>
      <c r="AB124">
        <v>3</v>
      </c>
      <c r="AD124">
        <v>1</v>
      </c>
      <c r="AE124" t="s">
        <v>86</v>
      </c>
      <c r="AF124" t="s">
        <v>141</v>
      </c>
      <c r="AG124" t="s">
        <v>93</v>
      </c>
      <c r="AH124" t="s">
        <v>94</v>
      </c>
      <c r="AI124">
        <v>0</v>
      </c>
      <c r="AJ124">
        <v>27</v>
      </c>
    </row>
    <row r="125" spans="1:36" x14ac:dyDescent="0.25">
      <c r="A125" t="s">
        <v>938</v>
      </c>
      <c r="B125">
        <v>153</v>
      </c>
      <c r="C125" t="s">
        <v>43</v>
      </c>
      <c r="D125">
        <v>3</v>
      </c>
      <c r="F125">
        <v>3</v>
      </c>
      <c r="G125" t="s">
        <v>44</v>
      </c>
      <c r="H125" t="s">
        <v>99</v>
      </c>
      <c r="I125" t="s">
        <v>75</v>
      </c>
      <c r="J125" t="s">
        <v>139</v>
      </c>
      <c r="K125" t="s">
        <v>38</v>
      </c>
      <c r="L125">
        <v>3</v>
      </c>
      <c r="M125">
        <v>3</v>
      </c>
      <c r="N125">
        <v>3</v>
      </c>
      <c r="O125" t="s">
        <v>39</v>
      </c>
      <c r="P125" t="s">
        <v>40</v>
      </c>
      <c r="Q125" t="s">
        <v>153</v>
      </c>
      <c r="R125" t="s">
        <v>156</v>
      </c>
      <c r="S125" t="s">
        <v>56</v>
      </c>
      <c r="T125">
        <v>3</v>
      </c>
      <c r="V125">
        <v>3</v>
      </c>
      <c r="W125" t="s">
        <v>120</v>
      </c>
      <c r="X125" t="s">
        <v>69</v>
      </c>
      <c r="Y125" t="s">
        <v>87</v>
      </c>
      <c r="Z125" t="s">
        <v>88</v>
      </c>
      <c r="AA125" t="s">
        <v>63</v>
      </c>
      <c r="AB125">
        <v>1</v>
      </c>
      <c r="AD125">
        <v>2</v>
      </c>
      <c r="AE125" t="s">
        <v>72</v>
      </c>
      <c r="AF125" t="s">
        <v>146</v>
      </c>
      <c r="AG125" t="s">
        <v>148</v>
      </c>
      <c r="AH125" t="s">
        <v>151</v>
      </c>
      <c r="AI125">
        <v>0</v>
      </c>
      <c r="AJ125">
        <v>34</v>
      </c>
    </row>
    <row r="126" spans="1:36" x14ac:dyDescent="0.25">
      <c r="A126" t="s">
        <v>939</v>
      </c>
      <c r="B126">
        <v>154</v>
      </c>
      <c r="C126" t="s">
        <v>56</v>
      </c>
      <c r="D126">
        <v>2</v>
      </c>
      <c r="F126">
        <v>3</v>
      </c>
      <c r="G126" t="s">
        <v>57</v>
      </c>
      <c r="H126" t="s">
        <v>122</v>
      </c>
      <c r="I126" t="s">
        <v>85</v>
      </c>
      <c r="J126" t="s">
        <v>88</v>
      </c>
      <c r="K126" t="s">
        <v>63</v>
      </c>
      <c r="L126">
        <v>2</v>
      </c>
      <c r="N126">
        <v>3</v>
      </c>
      <c r="O126" t="s">
        <v>145</v>
      </c>
      <c r="P126" t="s">
        <v>146</v>
      </c>
      <c r="Q126" t="s">
        <v>104</v>
      </c>
      <c r="R126" t="s">
        <v>149</v>
      </c>
      <c r="S126" t="s">
        <v>45</v>
      </c>
      <c r="T126">
        <v>3</v>
      </c>
      <c r="V126">
        <v>3</v>
      </c>
      <c r="W126" t="s">
        <v>86</v>
      </c>
      <c r="X126" t="s">
        <v>141</v>
      </c>
      <c r="Y126" t="s">
        <v>93</v>
      </c>
      <c r="AA126" t="s">
        <v>38</v>
      </c>
      <c r="AB126">
        <v>1</v>
      </c>
      <c r="AC126">
        <v>1</v>
      </c>
      <c r="AD126">
        <v>1</v>
      </c>
      <c r="AE126" t="s">
        <v>39</v>
      </c>
      <c r="AF126" t="s">
        <v>96</v>
      </c>
      <c r="AG126" t="s">
        <v>153</v>
      </c>
      <c r="AI126">
        <v>0</v>
      </c>
      <c r="AJ126">
        <v>24</v>
      </c>
    </row>
    <row r="127" spans="1:36" x14ac:dyDescent="0.25">
      <c r="A127" t="s">
        <v>940</v>
      </c>
      <c r="B127">
        <v>155</v>
      </c>
      <c r="C127" t="s">
        <v>56</v>
      </c>
      <c r="D127">
        <v>3</v>
      </c>
      <c r="F127">
        <v>2</v>
      </c>
      <c r="G127" t="s">
        <v>120</v>
      </c>
      <c r="H127" t="s">
        <v>121</v>
      </c>
      <c r="I127" t="s">
        <v>123</v>
      </c>
      <c r="K127" t="s">
        <v>38</v>
      </c>
      <c r="L127">
        <v>3</v>
      </c>
      <c r="M127">
        <v>1</v>
      </c>
      <c r="N127">
        <v>1</v>
      </c>
      <c r="O127" t="s">
        <v>67</v>
      </c>
      <c r="S127" t="s">
        <v>48</v>
      </c>
      <c r="T127">
        <v>2</v>
      </c>
      <c r="V127">
        <v>2</v>
      </c>
      <c r="W127" t="s">
        <v>126</v>
      </c>
      <c r="X127" t="s">
        <v>84</v>
      </c>
      <c r="Y127" t="s">
        <v>51</v>
      </c>
      <c r="Z127" t="s">
        <v>128</v>
      </c>
      <c r="AA127" t="s">
        <v>33</v>
      </c>
      <c r="AB127">
        <v>1</v>
      </c>
      <c r="AD127">
        <v>3</v>
      </c>
      <c r="AE127" t="s">
        <v>65</v>
      </c>
      <c r="AI127">
        <v>0</v>
      </c>
      <c r="AJ127">
        <v>18</v>
      </c>
    </row>
    <row r="128" spans="1:36" x14ac:dyDescent="0.25">
      <c r="A128" t="s">
        <v>941</v>
      </c>
      <c r="B128">
        <v>156</v>
      </c>
      <c r="C128" t="s">
        <v>56</v>
      </c>
      <c r="D128">
        <v>3</v>
      </c>
      <c r="F128">
        <v>2</v>
      </c>
      <c r="G128" t="s">
        <v>120</v>
      </c>
      <c r="H128" t="s">
        <v>121</v>
      </c>
      <c r="K128" t="s">
        <v>38</v>
      </c>
      <c r="L128">
        <v>2</v>
      </c>
      <c r="M128">
        <v>1</v>
      </c>
      <c r="N128">
        <v>2</v>
      </c>
      <c r="O128" t="s">
        <v>67</v>
      </c>
      <c r="S128" t="s">
        <v>48</v>
      </c>
      <c r="T128">
        <v>1</v>
      </c>
      <c r="V128">
        <v>1</v>
      </c>
      <c r="W128" t="s">
        <v>49</v>
      </c>
      <c r="X128" t="s">
        <v>50</v>
      </c>
      <c r="Y128" t="s">
        <v>127</v>
      </c>
      <c r="AA128" t="s">
        <v>43</v>
      </c>
      <c r="AB128">
        <v>3</v>
      </c>
      <c r="AD128">
        <v>1</v>
      </c>
      <c r="AE128" t="s">
        <v>135</v>
      </c>
      <c r="AF128" t="s">
        <v>136</v>
      </c>
      <c r="AG128" t="s">
        <v>137</v>
      </c>
      <c r="AI128">
        <v>0</v>
      </c>
      <c r="AJ128">
        <v>17</v>
      </c>
    </row>
    <row r="129" spans="1:36" x14ac:dyDescent="0.25">
      <c r="A129" t="s">
        <v>942</v>
      </c>
      <c r="B129">
        <v>157</v>
      </c>
      <c r="C129" t="s">
        <v>56</v>
      </c>
      <c r="D129">
        <v>2</v>
      </c>
      <c r="F129">
        <v>1</v>
      </c>
      <c r="G129" t="s">
        <v>57</v>
      </c>
      <c r="H129" t="s">
        <v>69</v>
      </c>
      <c r="K129" t="s">
        <v>38</v>
      </c>
      <c r="L129">
        <v>3</v>
      </c>
      <c r="M129">
        <v>1</v>
      </c>
      <c r="N129">
        <v>2</v>
      </c>
      <c r="O129" t="s">
        <v>39</v>
      </c>
      <c r="S129" t="s">
        <v>48</v>
      </c>
      <c r="T129">
        <v>1</v>
      </c>
      <c r="V129">
        <v>1</v>
      </c>
      <c r="W129" t="s">
        <v>49</v>
      </c>
      <c r="X129" t="s">
        <v>84</v>
      </c>
      <c r="Y129" t="s">
        <v>127</v>
      </c>
      <c r="AA129" t="s">
        <v>45</v>
      </c>
      <c r="AB129">
        <v>3</v>
      </c>
      <c r="AD129">
        <v>1</v>
      </c>
      <c r="AE129" t="s">
        <v>140</v>
      </c>
      <c r="AI129">
        <v>0</v>
      </c>
      <c r="AJ129">
        <v>13</v>
      </c>
    </row>
    <row r="130" spans="1:36" x14ac:dyDescent="0.25">
      <c r="A130" t="s">
        <v>943</v>
      </c>
      <c r="B130">
        <v>158</v>
      </c>
      <c r="C130" t="s">
        <v>48</v>
      </c>
      <c r="D130">
        <v>1</v>
      </c>
      <c r="F130">
        <v>1</v>
      </c>
      <c r="G130" t="s">
        <v>49</v>
      </c>
      <c r="H130" t="s">
        <v>50</v>
      </c>
      <c r="K130" t="s">
        <v>63</v>
      </c>
      <c r="L130">
        <v>1</v>
      </c>
      <c r="N130">
        <v>1</v>
      </c>
      <c r="O130" t="s">
        <v>103</v>
      </c>
      <c r="P130" t="s">
        <v>95</v>
      </c>
      <c r="Q130" t="s">
        <v>104</v>
      </c>
      <c r="R130" t="s">
        <v>149</v>
      </c>
      <c r="S130" t="s">
        <v>56</v>
      </c>
      <c r="T130">
        <v>3</v>
      </c>
      <c r="V130">
        <v>1</v>
      </c>
      <c r="W130" t="s">
        <v>68</v>
      </c>
      <c r="AA130" t="s">
        <v>38</v>
      </c>
      <c r="AB130">
        <v>3</v>
      </c>
      <c r="AC130">
        <v>1</v>
      </c>
      <c r="AD130">
        <v>1</v>
      </c>
      <c r="AE130" t="s">
        <v>39</v>
      </c>
      <c r="AF130" t="s">
        <v>40</v>
      </c>
      <c r="AI130">
        <v>0</v>
      </c>
      <c r="AJ130">
        <v>15</v>
      </c>
    </row>
    <row r="131" spans="1:36" x14ac:dyDescent="0.25">
      <c r="A131" t="s">
        <v>944</v>
      </c>
      <c r="B131">
        <v>159</v>
      </c>
      <c r="C131" t="s">
        <v>33</v>
      </c>
      <c r="D131">
        <v>1</v>
      </c>
      <c r="F131">
        <v>2</v>
      </c>
      <c r="G131" t="s">
        <v>65</v>
      </c>
      <c r="H131" t="s">
        <v>66</v>
      </c>
      <c r="K131" t="s">
        <v>43</v>
      </c>
      <c r="L131">
        <v>1</v>
      </c>
      <c r="N131">
        <v>1</v>
      </c>
      <c r="O131" t="s">
        <v>73</v>
      </c>
      <c r="P131" t="s">
        <v>136</v>
      </c>
      <c r="Q131" t="s">
        <v>75</v>
      </c>
      <c r="S131" t="s">
        <v>56</v>
      </c>
      <c r="T131">
        <v>2</v>
      </c>
      <c r="V131">
        <v>1</v>
      </c>
      <c r="W131" t="s">
        <v>57</v>
      </c>
      <c r="AA131" t="s">
        <v>38</v>
      </c>
      <c r="AB131">
        <v>1</v>
      </c>
      <c r="AC131">
        <v>1</v>
      </c>
      <c r="AD131">
        <v>2</v>
      </c>
      <c r="AE131" t="s">
        <v>39</v>
      </c>
      <c r="AF131" t="s">
        <v>96</v>
      </c>
      <c r="AG131" t="s">
        <v>154</v>
      </c>
      <c r="AI131">
        <v>0</v>
      </c>
      <c r="AJ131">
        <v>14</v>
      </c>
    </row>
    <row r="132" spans="1:36" x14ac:dyDescent="0.25">
      <c r="A132" t="s">
        <v>945</v>
      </c>
      <c r="B132">
        <v>160</v>
      </c>
      <c r="C132" t="s">
        <v>56</v>
      </c>
      <c r="D132">
        <v>3</v>
      </c>
      <c r="F132">
        <v>1</v>
      </c>
      <c r="G132" t="s">
        <v>120</v>
      </c>
      <c r="H132" t="s">
        <v>122</v>
      </c>
      <c r="K132" t="s">
        <v>38</v>
      </c>
      <c r="L132">
        <v>1</v>
      </c>
      <c r="M132">
        <v>1</v>
      </c>
      <c r="N132">
        <v>2</v>
      </c>
      <c r="O132" t="s">
        <v>39</v>
      </c>
      <c r="P132" t="s">
        <v>96</v>
      </c>
      <c r="Q132" t="s">
        <v>154</v>
      </c>
      <c r="S132" t="s">
        <v>33</v>
      </c>
      <c r="T132">
        <v>1</v>
      </c>
      <c r="V132">
        <v>2</v>
      </c>
      <c r="W132" t="s">
        <v>65</v>
      </c>
      <c r="X132" t="s">
        <v>66</v>
      </c>
      <c r="Y132" t="s">
        <v>131</v>
      </c>
      <c r="AA132" t="s">
        <v>45</v>
      </c>
      <c r="AB132">
        <v>2</v>
      </c>
      <c r="AD132">
        <v>1</v>
      </c>
      <c r="AE132" t="s">
        <v>140</v>
      </c>
      <c r="AI132">
        <v>0</v>
      </c>
      <c r="AJ132">
        <v>14</v>
      </c>
    </row>
    <row r="133" spans="1:36" x14ac:dyDescent="0.25">
      <c r="A133" t="s">
        <v>946</v>
      </c>
      <c r="B133">
        <v>161</v>
      </c>
      <c r="C133" t="s">
        <v>33</v>
      </c>
      <c r="D133">
        <v>1</v>
      </c>
      <c r="F133">
        <v>2</v>
      </c>
      <c r="G133" t="s">
        <v>65</v>
      </c>
      <c r="K133" t="s">
        <v>63</v>
      </c>
      <c r="L133">
        <v>3</v>
      </c>
      <c r="N133">
        <v>3</v>
      </c>
      <c r="O133" t="s">
        <v>103</v>
      </c>
      <c r="P133" t="s">
        <v>95</v>
      </c>
      <c r="Q133" t="s">
        <v>104</v>
      </c>
      <c r="R133" t="s">
        <v>151</v>
      </c>
      <c r="S133" t="s">
        <v>56</v>
      </c>
      <c r="T133">
        <v>2</v>
      </c>
      <c r="V133">
        <v>1</v>
      </c>
      <c r="W133" t="s">
        <v>120</v>
      </c>
      <c r="X133" t="s">
        <v>122</v>
      </c>
      <c r="AA133" t="s">
        <v>38</v>
      </c>
      <c r="AB133">
        <v>3</v>
      </c>
      <c r="AC133">
        <v>3</v>
      </c>
      <c r="AD133">
        <v>3</v>
      </c>
      <c r="AE133" t="s">
        <v>39</v>
      </c>
      <c r="AF133" t="s">
        <v>40</v>
      </c>
      <c r="AG133" t="s">
        <v>154</v>
      </c>
      <c r="AH133" t="s">
        <v>156</v>
      </c>
      <c r="AI133">
        <v>0</v>
      </c>
      <c r="AJ133">
        <v>25</v>
      </c>
    </row>
    <row r="134" spans="1:36" x14ac:dyDescent="0.25">
      <c r="A134" t="s">
        <v>947</v>
      </c>
      <c r="B134">
        <v>162</v>
      </c>
      <c r="C134" t="s">
        <v>56</v>
      </c>
      <c r="D134">
        <v>2</v>
      </c>
      <c r="F134">
        <v>2</v>
      </c>
      <c r="G134" t="s">
        <v>120</v>
      </c>
      <c r="H134" t="s">
        <v>121</v>
      </c>
      <c r="I134" t="s">
        <v>85</v>
      </c>
      <c r="K134" t="s">
        <v>38</v>
      </c>
      <c r="L134">
        <v>1</v>
      </c>
      <c r="M134">
        <v>1</v>
      </c>
      <c r="N134">
        <v>3</v>
      </c>
      <c r="O134" t="s">
        <v>39</v>
      </c>
      <c r="P134" t="s">
        <v>40</v>
      </c>
      <c r="Q134" t="s">
        <v>154</v>
      </c>
      <c r="S134" t="s">
        <v>43</v>
      </c>
      <c r="T134">
        <v>2</v>
      </c>
      <c r="V134">
        <v>1</v>
      </c>
      <c r="W134" t="s">
        <v>73</v>
      </c>
      <c r="X134" t="s">
        <v>74</v>
      </c>
      <c r="Y134" t="s">
        <v>75</v>
      </c>
      <c r="Z134" t="s">
        <v>101</v>
      </c>
      <c r="AA134" t="s">
        <v>45</v>
      </c>
      <c r="AB134">
        <v>3</v>
      </c>
      <c r="AD134">
        <v>1</v>
      </c>
      <c r="AE134" t="s">
        <v>140</v>
      </c>
      <c r="AI134">
        <v>0</v>
      </c>
      <c r="AJ134">
        <v>18</v>
      </c>
    </row>
    <row r="135" spans="1:36" x14ac:dyDescent="0.25">
      <c r="A135" t="s">
        <v>948</v>
      </c>
      <c r="B135">
        <v>163</v>
      </c>
      <c r="C135" t="s">
        <v>56</v>
      </c>
      <c r="D135">
        <v>3</v>
      </c>
      <c r="F135">
        <v>1</v>
      </c>
      <c r="G135" t="s">
        <v>120</v>
      </c>
      <c r="H135" t="s">
        <v>122</v>
      </c>
      <c r="I135" t="s">
        <v>123</v>
      </c>
      <c r="J135" t="s">
        <v>88</v>
      </c>
      <c r="K135" t="s">
        <v>38</v>
      </c>
      <c r="L135">
        <v>1</v>
      </c>
      <c r="M135">
        <v>1</v>
      </c>
      <c r="N135">
        <v>1</v>
      </c>
      <c r="O135" t="s">
        <v>39</v>
      </c>
      <c r="P135" t="s">
        <v>40</v>
      </c>
      <c r="Q135" t="s">
        <v>154</v>
      </c>
      <c r="S135" t="s">
        <v>43</v>
      </c>
      <c r="T135">
        <v>1</v>
      </c>
      <c r="V135">
        <v>1</v>
      </c>
      <c r="W135" t="s">
        <v>44</v>
      </c>
      <c r="X135" t="s">
        <v>99</v>
      </c>
      <c r="Y135" t="s">
        <v>75</v>
      </c>
      <c r="AA135" t="s">
        <v>63</v>
      </c>
      <c r="AB135">
        <v>3</v>
      </c>
      <c r="AD135">
        <v>1</v>
      </c>
      <c r="AE135" t="s">
        <v>103</v>
      </c>
      <c r="AF135" t="s">
        <v>146</v>
      </c>
      <c r="AG135" t="s">
        <v>148</v>
      </c>
      <c r="AH135" t="s">
        <v>151</v>
      </c>
      <c r="AI135">
        <v>0</v>
      </c>
      <c r="AJ135">
        <v>19</v>
      </c>
    </row>
    <row r="136" spans="1:36" x14ac:dyDescent="0.25">
      <c r="A136" t="s">
        <v>949</v>
      </c>
      <c r="B136">
        <v>164</v>
      </c>
      <c r="C136" t="s">
        <v>45</v>
      </c>
      <c r="D136">
        <v>3</v>
      </c>
      <c r="F136">
        <v>1</v>
      </c>
      <c r="G136" t="s">
        <v>86</v>
      </c>
      <c r="H136" t="s">
        <v>92</v>
      </c>
      <c r="K136" t="s">
        <v>63</v>
      </c>
      <c r="L136">
        <v>3</v>
      </c>
      <c r="N136">
        <v>2</v>
      </c>
      <c r="O136" t="s">
        <v>103</v>
      </c>
      <c r="P136" t="s">
        <v>146</v>
      </c>
      <c r="Q136" t="s">
        <v>147</v>
      </c>
      <c r="R136" t="s">
        <v>150</v>
      </c>
      <c r="S136" t="s">
        <v>56</v>
      </c>
      <c r="T136">
        <v>3</v>
      </c>
      <c r="V136">
        <v>3</v>
      </c>
      <c r="W136" t="s">
        <v>57</v>
      </c>
      <c r="X136" t="s">
        <v>122</v>
      </c>
      <c r="Y136" t="s">
        <v>85</v>
      </c>
      <c r="Z136" t="s">
        <v>124</v>
      </c>
      <c r="AA136" t="s">
        <v>38</v>
      </c>
      <c r="AB136">
        <v>1</v>
      </c>
      <c r="AC136">
        <v>1</v>
      </c>
      <c r="AD136">
        <v>2</v>
      </c>
      <c r="AE136" t="s">
        <v>39</v>
      </c>
      <c r="AF136" t="s">
        <v>40</v>
      </c>
      <c r="AI136">
        <v>0</v>
      </c>
      <c r="AJ136">
        <v>23</v>
      </c>
    </row>
    <row r="137" spans="1:36" x14ac:dyDescent="0.25">
      <c r="A137" t="s">
        <v>950</v>
      </c>
      <c r="B137">
        <v>165</v>
      </c>
      <c r="C137" t="s">
        <v>43</v>
      </c>
      <c r="D137">
        <v>3</v>
      </c>
      <c r="F137">
        <v>2</v>
      </c>
      <c r="G137" t="s">
        <v>44</v>
      </c>
      <c r="K137" t="s">
        <v>45</v>
      </c>
      <c r="L137">
        <v>3</v>
      </c>
      <c r="N137">
        <v>1</v>
      </c>
      <c r="O137" t="s">
        <v>86</v>
      </c>
      <c r="P137" t="s">
        <v>76</v>
      </c>
      <c r="S137" t="s">
        <v>48</v>
      </c>
      <c r="T137">
        <v>1</v>
      </c>
      <c r="V137">
        <v>1</v>
      </c>
      <c r="W137" t="s">
        <v>126</v>
      </c>
      <c r="X137" t="s">
        <v>84</v>
      </c>
      <c r="Y137" t="s">
        <v>127</v>
      </c>
      <c r="AA137" t="s">
        <v>33</v>
      </c>
      <c r="AB137">
        <v>1</v>
      </c>
      <c r="AD137">
        <v>3</v>
      </c>
      <c r="AE137" t="s">
        <v>65</v>
      </c>
      <c r="AI137">
        <v>0</v>
      </c>
      <c r="AJ137">
        <v>14</v>
      </c>
    </row>
    <row r="138" spans="1:36" x14ac:dyDescent="0.25">
      <c r="A138" t="s">
        <v>951</v>
      </c>
      <c r="B138">
        <v>166</v>
      </c>
      <c r="C138" t="s">
        <v>43</v>
      </c>
      <c r="D138">
        <v>3</v>
      </c>
      <c r="F138">
        <v>1</v>
      </c>
      <c r="G138" t="s">
        <v>44</v>
      </c>
      <c r="H138" t="s">
        <v>74</v>
      </c>
      <c r="K138" t="s">
        <v>63</v>
      </c>
      <c r="L138">
        <v>1</v>
      </c>
      <c r="N138">
        <v>1</v>
      </c>
      <c r="O138" t="s">
        <v>145</v>
      </c>
      <c r="P138" t="s">
        <v>95</v>
      </c>
      <c r="S138" t="s">
        <v>48</v>
      </c>
      <c r="T138">
        <v>2</v>
      </c>
      <c r="V138">
        <v>1</v>
      </c>
      <c r="W138" t="s">
        <v>126</v>
      </c>
      <c r="X138" t="s">
        <v>71</v>
      </c>
      <c r="AA138" t="s">
        <v>33</v>
      </c>
      <c r="AB138">
        <v>3</v>
      </c>
      <c r="AD138">
        <v>1</v>
      </c>
      <c r="AE138" t="s">
        <v>34</v>
      </c>
      <c r="AI138">
        <v>0</v>
      </c>
      <c r="AJ138">
        <v>12</v>
      </c>
    </row>
    <row r="139" spans="1:36" x14ac:dyDescent="0.25">
      <c r="A139" t="s">
        <v>952</v>
      </c>
      <c r="B139">
        <v>167</v>
      </c>
      <c r="C139" t="s">
        <v>43</v>
      </c>
      <c r="D139">
        <v>3</v>
      </c>
      <c r="F139">
        <v>1</v>
      </c>
      <c r="G139" t="s">
        <v>44</v>
      </c>
      <c r="H139" t="s">
        <v>136</v>
      </c>
      <c r="I139" t="s">
        <v>137</v>
      </c>
      <c r="K139" t="s">
        <v>38</v>
      </c>
      <c r="L139">
        <v>3</v>
      </c>
      <c r="M139">
        <v>1</v>
      </c>
      <c r="N139">
        <v>3</v>
      </c>
      <c r="O139" t="s">
        <v>67</v>
      </c>
      <c r="P139" t="s">
        <v>70</v>
      </c>
      <c r="S139" t="s">
        <v>48</v>
      </c>
      <c r="T139">
        <v>1</v>
      </c>
      <c r="V139">
        <v>3</v>
      </c>
      <c r="W139" t="s">
        <v>126</v>
      </c>
      <c r="X139" t="s">
        <v>71</v>
      </c>
      <c r="AA139" t="s">
        <v>33</v>
      </c>
      <c r="AB139">
        <v>2</v>
      </c>
      <c r="AD139">
        <v>3</v>
      </c>
      <c r="AE139" t="s">
        <v>65</v>
      </c>
      <c r="AI139">
        <v>0</v>
      </c>
      <c r="AJ139">
        <v>20</v>
      </c>
    </row>
    <row r="140" spans="1:36" x14ac:dyDescent="0.25">
      <c r="A140" t="s">
        <v>953</v>
      </c>
      <c r="B140">
        <v>169</v>
      </c>
      <c r="C140" t="s">
        <v>45</v>
      </c>
      <c r="D140">
        <v>3</v>
      </c>
      <c r="F140">
        <v>1</v>
      </c>
      <c r="G140" t="s">
        <v>47</v>
      </c>
      <c r="H140" t="s">
        <v>92</v>
      </c>
      <c r="I140" t="s">
        <v>93</v>
      </c>
      <c r="J140" t="s">
        <v>94</v>
      </c>
      <c r="K140" t="s">
        <v>38</v>
      </c>
      <c r="L140">
        <v>3</v>
      </c>
      <c r="M140">
        <v>1</v>
      </c>
      <c r="N140">
        <v>1</v>
      </c>
      <c r="O140" t="s">
        <v>39</v>
      </c>
      <c r="P140" t="s">
        <v>96</v>
      </c>
      <c r="S140" t="s">
        <v>48</v>
      </c>
      <c r="T140">
        <v>1</v>
      </c>
      <c r="V140">
        <v>2</v>
      </c>
      <c r="W140" t="s">
        <v>126</v>
      </c>
      <c r="X140" t="s">
        <v>84</v>
      </c>
      <c r="Y140" t="s">
        <v>127</v>
      </c>
      <c r="Z140" t="s">
        <v>128</v>
      </c>
      <c r="AA140" t="s">
        <v>33</v>
      </c>
      <c r="AB140">
        <v>1</v>
      </c>
      <c r="AD140">
        <v>3</v>
      </c>
      <c r="AE140" t="s">
        <v>65</v>
      </c>
      <c r="AF140" t="s">
        <v>66</v>
      </c>
      <c r="AI140">
        <v>0</v>
      </c>
      <c r="AJ140">
        <v>19</v>
      </c>
    </row>
    <row r="141" spans="1:36" x14ac:dyDescent="0.25">
      <c r="A141" t="s">
        <v>954</v>
      </c>
      <c r="B141">
        <v>171</v>
      </c>
      <c r="C141" t="s">
        <v>33</v>
      </c>
      <c r="D141">
        <v>1</v>
      </c>
      <c r="F141">
        <v>2</v>
      </c>
      <c r="G141" t="s">
        <v>34</v>
      </c>
      <c r="K141" t="s">
        <v>45</v>
      </c>
      <c r="L141">
        <v>3</v>
      </c>
      <c r="N141">
        <v>3</v>
      </c>
      <c r="O141" t="s">
        <v>140</v>
      </c>
      <c r="P141" t="s">
        <v>141</v>
      </c>
      <c r="Q141" t="s">
        <v>93</v>
      </c>
      <c r="R141" t="s">
        <v>143</v>
      </c>
      <c r="S141" t="s">
        <v>48</v>
      </c>
      <c r="T141">
        <v>3</v>
      </c>
      <c r="V141">
        <v>3</v>
      </c>
      <c r="W141" t="s">
        <v>89</v>
      </c>
      <c r="X141" t="s">
        <v>84</v>
      </c>
      <c r="Y141" t="s">
        <v>90</v>
      </c>
      <c r="Z141" t="s">
        <v>128</v>
      </c>
      <c r="AA141" t="s">
        <v>43</v>
      </c>
      <c r="AB141">
        <v>2</v>
      </c>
      <c r="AD141">
        <v>1</v>
      </c>
      <c r="AE141" t="s">
        <v>44</v>
      </c>
      <c r="AF141" t="s">
        <v>136</v>
      </c>
      <c r="AI141">
        <v>0</v>
      </c>
      <c r="AJ141">
        <v>22</v>
      </c>
    </row>
    <row r="142" spans="1:36" x14ac:dyDescent="0.25">
      <c r="A142" t="s">
        <v>955</v>
      </c>
      <c r="B142">
        <v>173</v>
      </c>
      <c r="C142" t="s">
        <v>48</v>
      </c>
      <c r="D142">
        <v>1</v>
      </c>
      <c r="F142">
        <v>1</v>
      </c>
      <c r="G142" t="s">
        <v>89</v>
      </c>
      <c r="H142" t="s">
        <v>71</v>
      </c>
      <c r="I142" t="s">
        <v>51</v>
      </c>
      <c r="K142" t="s">
        <v>43</v>
      </c>
      <c r="L142">
        <v>2</v>
      </c>
      <c r="N142">
        <v>1</v>
      </c>
      <c r="O142" t="s">
        <v>44</v>
      </c>
      <c r="P142" t="s">
        <v>136</v>
      </c>
      <c r="Q142" t="s">
        <v>75</v>
      </c>
      <c r="R142" t="s">
        <v>138</v>
      </c>
      <c r="S142" t="s">
        <v>33</v>
      </c>
      <c r="T142">
        <v>2</v>
      </c>
      <c r="V142">
        <v>1</v>
      </c>
      <c r="W142" t="s">
        <v>34</v>
      </c>
      <c r="AA142" t="s">
        <v>38</v>
      </c>
      <c r="AB142">
        <v>2</v>
      </c>
      <c r="AC142">
        <v>1</v>
      </c>
      <c r="AD142">
        <v>2</v>
      </c>
      <c r="AE142" t="s">
        <v>67</v>
      </c>
      <c r="AF142" t="s">
        <v>40</v>
      </c>
      <c r="AI142">
        <v>0</v>
      </c>
      <c r="AJ142">
        <v>14</v>
      </c>
    </row>
    <row r="143" spans="1:36" x14ac:dyDescent="0.25">
      <c r="A143" t="s">
        <v>956</v>
      </c>
      <c r="B143">
        <v>174</v>
      </c>
      <c r="C143" t="s">
        <v>48</v>
      </c>
      <c r="D143">
        <v>2</v>
      </c>
      <c r="F143">
        <v>1</v>
      </c>
      <c r="G143" t="s">
        <v>89</v>
      </c>
      <c r="H143" t="s">
        <v>71</v>
      </c>
      <c r="I143" t="s">
        <v>51</v>
      </c>
      <c r="K143" t="s">
        <v>43</v>
      </c>
      <c r="L143">
        <v>1</v>
      </c>
      <c r="N143">
        <v>1</v>
      </c>
      <c r="O143" t="s">
        <v>44</v>
      </c>
      <c r="P143" t="s">
        <v>136</v>
      </c>
      <c r="Q143" t="s">
        <v>137</v>
      </c>
      <c r="R143" t="s">
        <v>101</v>
      </c>
      <c r="S143" t="s">
        <v>45</v>
      </c>
      <c r="T143">
        <v>2</v>
      </c>
      <c r="V143">
        <v>1</v>
      </c>
      <c r="W143" t="s">
        <v>140</v>
      </c>
      <c r="AA143" t="s">
        <v>63</v>
      </c>
      <c r="AB143">
        <v>1</v>
      </c>
      <c r="AD143">
        <v>1</v>
      </c>
      <c r="AE143" t="s">
        <v>145</v>
      </c>
      <c r="AF143" t="s">
        <v>95</v>
      </c>
      <c r="AI143">
        <v>0</v>
      </c>
      <c r="AJ143">
        <v>13</v>
      </c>
    </row>
    <row r="144" spans="1:36" x14ac:dyDescent="0.25">
      <c r="A144" t="s">
        <v>957</v>
      </c>
      <c r="B144">
        <v>175</v>
      </c>
      <c r="C144" t="s">
        <v>45</v>
      </c>
      <c r="D144">
        <v>3</v>
      </c>
      <c r="F144">
        <v>1</v>
      </c>
      <c r="G144" t="s">
        <v>86</v>
      </c>
      <c r="K144" t="s">
        <v>38</v>
      </c>
      <c r="L144">
        <v>3</v>
      </c>
      <c r="M144">
        <v>3</v>
      </c>
      <c r="N144">
        <v>3</v>
      </c>
      <c r="O144" t="s">
        <v>67</v>
      </c>
      <c r="P144" t="s">
        <v>40</v>
      </c>
      <c r="Q144" t="s">
        <v>41</v>
      </c>
      <c r="R144" t="s">
        <v>156</v>
      </c>
      <c r="S144" t="s">
        <v>48</v>
      </c>
      <c r="T144">
        <v>3</v>
      </c>
      <c r="V144">
        <v>3</v>
      </c>
      <c r="W144" t="s">
        <v>126</v>
      </c>
      <c r="X144" t="s">
        <v>50</v>
      </c>
      <c r="Y144" t="s">
        <v>127</v>
      </c>
      <c r="Z144" t="s">
        <v>52</v>
      </c>
      <c r="AA144" t="s">
        <v>43</v>
      </c>
      <c r="AB144">
        <v>1</v>
      </c>
      <c r="AD144">
        <v>1</v>
      </c>
      <c r="AE144" t="s">
        <v>73</v>
      </c>
      <c r="AF144" t="s">
        <v>136</v>
      </c>
      <c r="AI144">
        <v>0</v>
      </c>
      <c r="AJ144">
        <v>32</v>
      </c>
    </row>
    <row r="145" spans="1:36" x14ac:dyDescent="0.25">
      <c r="A145" t="s">
        <v>958</v>
      </c>
      <c r="B145">
        <v>178</v>
      </c>
      <c r="C145" t="s">
        <v>33</v>
      </c>
      <c r="D145">
        <v>3</v>
      </c>
      <c r="F145">
        <v>3</v>
      </c>
      <c r="G145" t="s">
        <v>65</v>
      </c>
      <c r="H145" t="s">
        <v>66</v>
      </c>
      <c r="I145" t="s">
        <v>36</v>
      </c>
      <c r="K145" t="s">
        <v>63</v>
      </c>
      <c r="L145">
        <v>2</v>
      </c>
      <c r="N145">
        <v>2</v>
      </c>
      <c r="O145" t="s">
        <v>145</v>
      </c>
      <c r="P145" t="s">
        <v>146</v>
      </c>
      <c r="Q145" t="s">
        <v>148</v>
      </c>
      <c r="R145" t="s">
        <v>150</v>
      </c>
      <c r="S145" t="s">
        <v>48</v>
      </c>
      <c r="T145">
        <v>3</v>
      </c>
      <c r="V145">
        <v>2</v>
      </c>
      <c r="W145" t="s">
        <v>89</v>
      </c>
      <c r="AA145" t="s">
        <v>45</v>
      </c>
      <c r="AB145">
        <v>3</v>
      </c>
      <c r="AD145">
        <v>1</v>
      </c>
      <c r="AE145" t="s">
        <v>86</v>
      </c>
      <c r="AF145" t="s">
        <v>141</v>
      </c>
      <c r="AG145" t="s">
        <v>93</v>
      </c>
      <c r="AH145" t="s">
        <v>144</v>
      </c>
      <c r="AI145">
        <v>0</v>
      </c>
      <c r="AJ145">
        <v>23</v>
      </c>
    </row>
    <row r="146" spans="1:36" x14ac:dyDescent="0.25">
      <c r="A146" t="s">
        <v>959</v>
      </c>
      <c r="B146">
        <v>179</v>
      </c>
      <c r="C146" t="s">
        <v>48</v>
      </c>
      <c r="D146">
        <v>2</v>
      </c>
      <c r="F146">
        <v>1</v>
      </c>
      <c r="G146" t="s">
        <v>89</v>
      </c>
      <c r="H146" t="s">
        <v>50</v>
      </c>
      <c r="I146" t="s">
        <v>51</v>
      </c>
      <c r="K146" t="s">
        <v>45</v>
      </c>
      <c r="L146">
        <v>3</v>
      </c>
      <c r="N146">
        <v>1</v>
      </c>
      <c r="O146" t="s">
        <v>140</v>
      </c>
      <c r="S146" t="s">
        <v>33</v>
      </c>
      <c r="T146">
        <v>2</v>
      </c>
      <c r="V146">
        <v>2</v>
      </c>
      <c r="W146" t="s">
        <v>65</v>
      </c>
      <c r="X146" t="s">
        <v>130</v>
      </c>
      <c r="Y146" t="s">
        <v>36</v>
      </c>
      <c r="AA146" t="s">
        <v>38</v>
      </c>
      <c r="AB146">
        <v>2</v>
      </c>
      <c r="AC146">
        <v>1</v>
      </c>
      <c r="AD146">
        <v>2</v>
      </c>
      <c r="AE146" t="s">
        <v>39</v>
      </c>
      <c r="AI146">
        <v>0</v>
      </c>
      <c r="AJ146">
        <v>17</v>
      </c>
    </row>
    <row r="147" spans="1:36" x14ac:dyDescent="0.25">
      <c r="A147" t="s">
        <v>960</v>
      </c>
      <c r="B147">
        <v>185</v>
      </c>
      <c r="C147" t="s">
        <v>48</v>
      </c>
      <c r="D147">
        <v>3</v>
      </c>
      <c r="F147">
        <v>1</v>
      </c>
      <c r="G147" t="s">
        <v>89</v>
      </c>
      <c r="H147" t="s">
        <v>50</v>
      </c>
      <c r="I147" t="s">
        <v>51</v>
      </c>
      <c r="J147" t="s">
        <v>128</v>
      </c>
      <c r="K147" t="s">
        <v>63</v>
      </c>
      <c r="L147">
        <v>2</v>
      </c>
      <c r="N147">
        <v>1</v>
      </c>
      <c r="O147" t="s">
        <v>145</v>
      </c>
      <c r="P147" t="s">
        <v>146</v>
      </c>
      <c r="Q147" t="s">
        <v>104</v>
      </c>
      <c r="R147" t="s">
        <v>149</v>
      </c>
      <c r="S147" t="s">
        <v>33</v>
      </c>
      <c r="T147">
        <v>3</v>
      </c>
      <c r="V147">
        <v>1</v>
      </c>
      <c r="W147" t="s">
        <v>34</v>
      </c>
      <c r="AA147" t="s">
        <v>38</v>
      </c>
      <c r="AB147">
        <v>3</v>
      </c>
      <c r="AC147">
        <v>1</v>
      </c>
      <c r="AD147">
        <v>1</v>
      </c>
      <c r="AE147" t="s">
        <v>67</v>
      </c>
      <c r="AF147" t="s">
        <v>96</v>
      </c>
      <c r="AG147" t="s">
        <v>41</v>
      </c>
      <c r="AI147">
        <v>0</v>
      </c>
      <c r="AJ147">
        <v>21</v>
      </c>
    </row>
    <row r="148" spans="1:36" x14ac:dyDescent="0.25">
      <c r="A148" t="s">
        <v>961</v>
      </c>
      <c r="B148">
        <v>186</v>
      </c>
      <c r="C148" t="s">
        <v>48</v>
      </c>
      <c r="D148">
        <v>2</v>
      </c>
      <c r="F148">
        <v>1</v>
      </c>
      <c r="G148" t="s">
        <v>89</v>
      </c>
      <c r="K148" t="s">
        <v>63</v>
      </c>
      <c r="L148">
        <v>1</v>
      </c>
      <c r="N148">
        <v>1</v>
      </c>
      <c r="O148" t="s">
        <v>145</v>
      </c>
      <c r="P148" t="s">
        <v>146</v>
      </c>
      <c r="Q148" t="s">
        <v>104</v>
      </c>
      <c r="R148" t="s">
        <v>149</v>
      </c>
      <c r="S148" t="s">
        <v>43</v>
      </c>
      <c r="T148">
        <v>3</v>
      </c>
      <c r="V148">
        <v>1</v>
      </c>
      <c r="W148" t="s">
        <v>44</v>
      </c>
      <c r="X148" t="s">
        <v>136</v>
      </c>
      <c r="AA148" t="s">
        <v>45</v>
      </c>
      <c r="AB148">
        <v>3</v>
      </c>
      <c r="AD148">
        <v>1</v>
      </c>
      <c r="AE148" t="s">
        <v>86</v>
      </c>
      <c r="AF148" t="s">
        <v>141</v>
      </c>
      <c r="AI148">
        <v>0</v>
      </c>
      <c r="AJ148">
        <v>16</v>
      </c>
    </row>
    <row r="149" spans="1:36" x14ac:dyDescent="0.25">
      <c r="A149" t="s">
        <v>962</v>
      </c>
      <c r="B149">
        <v>187</v>
      </c>
      <c r="C149" t="s">
        <v>43</v>
      </c>
      <c r="D149">
        <v>3</v>
      </c>
      <c r="F149">
        <v>3</v>
      </c>
      <c r="G149" t="s">
        <v>44</v>
      </c>
      <c r="H149" t="s">
        <v>136</v>
      </c>
      <c r="I149" t="s">
        <v>137</v>
      </c>
      <c r="J149" t="s">
        <v>138</v>
      </c>
      <c r="K149" t="s">
        <v>38</v>
      </c>
      <c r="L149">
        <v>3</v>
      </c>
      <c r="M149">
        <v>2</v>
      </c>
      <c r="N149">
        <v>2</v>
      </c>
      <c r="O149" t="s">
        <v>152</v>
      </c>
      <c r="P149" t="s">
        <v>40</v>
      </c>
      <c r="Q149" t="s">
        <v>153</v>
      </c>
      <c r="R149" t="s">
        <v>155</v>
      </c>
      <c r="S149" t="s">
        <v>48</v>
      </c>
      <c r="T149">
        <v>3</v>
      </c>
      <c r="V149">
        <v>3</v>
      </c>
      <c r="W149" t="s">
        <v>126</v>
      </c>
      <c r="X149" t="s">
        <v>71</v>
      </c>
      <c r="Y149" t="s">
        <v>127</v>
      </c>
      <c r="Z149" t="s">
        <v>129</v>
      </c>
      <c r="AA149" t="s">
        <v>63</v>
      </c>
      <c r="AB149">
        <v>2</v>
      </c>
      <c r="AD149">
        <v>3</v>
      </c>
      <c r="AE149" t="s">
        <v>72</v>
      </c>
      <c r="AF149" t="s">
        <v>146</v>
      </c>
      <c r="AG149" t="s">
        <v>104</v>
      </c>
      <c r="AH149" t="s">
        <v>150</v>
      </c>
      <c r="AI149">
        <v>0</v>
      </c>
      <c r="AJ149">
        <v>42</v>
      </c>
    </row>
    <row r="150" spans="1:36" x14ac:dyDescent="0.25">
      <c r="A150" t="s">
        <v>963</v>
      </c>
      <c r="B150">
        <v>188</v>
      </c>
      <c r="C150" t="s">
        <v>45</v>
      </c>
      <c r="D150">
        <v>3</v>
      </c>
      <c r="F150">
        <v>1</v>
      </c>
      <c r="G150" t="s">
        <v>86</v>
      </c>
      <c r="H150" t="s">
        <v>141</v>
      </c>
      <c r="I150" t="s">
        <v>102</v>
      </c>
      <c r="J150" t="s">
        <v>143</v>
      </c>
      <c r="K150" t="s">
        <v>38</v>
      </c>
      <c r="L150">
        <v>3</v>
      </c>
      <c r="M150">
        <v>1</v>
      </c>
      <c r="N150">
        <v>2</v>
      </c>
      <c r="O150" t="s">
        <v>152</v>
      </c>
      <c r="P150" t="s">
        <v>96</v>
      </c>
      <c r="Q150" t="s">
        <v>41</v>
      </c>
      <c r="S150" t="s">
        <v>48</v>
      </c>
      <c r="T150">
        <v>1</v>
      </c>
      <c r="V150">
        <v>2</v>
      </c>
      <c r="W150" t="s">
        <v>126</v>
      </c>
      <c r="X150" t="s">
        <v>71</v>
      </c>
      <c r="Y150" t="s">
        <v>90</v>
      </c>
      <c r="Z150" t="s">
        <v>128</v>
      </c>
      <c r="AA150" t="s">
        <v>63</v>
      </c>
      <c r="AB150">
        <v>1</v>
      </c>
      <c r="AD150">
        <v>1</v>
      </c>
      <c r="AE150" t="s">
        <v>72</v>
      </c>
      <c r="AF150" t="s">
        <v>146</v>
      </c>
      <c r="AG150" t="s">
        <v>104</v>
      </c>
      <c r="AI150">
        <v>0</v>
      </c>
      <c r="AJ150">
        <v>20</v>
      </c>
    </row>
    <row r="151" spans="1:36" x14ac:dyDescent="0.25">
      <c r="A151" t="s">
        <v>964</v>
      </c>
      <c r="B151">
        <v>189</v>
      </c>
      <c r="C151" t="s">
        <v>48</v>
      </c>
      <c r="D151">
        <v>2</v>
      </c>
      <c r="F151">
        <v>1</v>
      </c>
      <c r="G151" t="s">
        <v>89</v>
      </c>
      <c r="H151" t="s">
        <v>71</v>
      </c>
      <c r="I151" t="s">
        <v>51</v>
      </c>
      <c r="K151" t="s">
        <v>38</v>
      </c>
      <c r="L151">
        <v>3</v>
      </c>
      <c r="M151">
        <v>1</v>
      </c>
      <c r="N151">
        <v>2</v>
      </c>
      <c r="O151" t="s">
        <v>67</v>
      </c>
      <c r="S151" t="s">
        <v>33</v>
      </c>
      <c r="T151">
        <v>2</v>
      </c>
      <c r="V151">
        <v>3</v>
      </c>
      <c r="W151" t="s">
        <v>65</v>
      </c>
      <c r="AA151" t="s">
        <v>43</v>
      </c>
      <c r="AB151">
        <v>1</v>
      </c>
      <c r="AD151">
        <v>1</v>
      </c>
      <c r="AE151" t="s">
        <v>44</v>
      </c>
      <c r="AF151" t="s">
        <v>136</v>
      </c>
      <c r="AG151" t="s">
        <v>75</v>
      </c>
      <c r="AI151">
        <v>0</v>
      </c>
      <c r="AJ151">
        <v>15</v>
      </c>
    </row>
    <row r="152" spans="1:36" x14ac:dyDescent="0.25">
      <c r="A152" t="s">
        <v>965</v>
      </c>
      <c r="B152">
        <v>190</v>
      </c>
      <c r="C152" t="s">
        <v>48</v>
      </c>
      <c r="D152">
        <v>1</v>
      </c>
      <c r="F152">
        <v>1</v>
      </c>
      <c r="G152" t="s">
        <v>126</v>
      </c>
      <c r="H152" t="s">
        <v>50</v>
      </c>
      <c r="I152" t="s">
        <v>90</v>
      </c>
      <c r="J152" t="s">
        <v>128</v>
      </c>
      <c r="K152" t="s">
        <v>38</v>
      </c>
      <c r="L152">
        <v>1</v>
      </c>
      <c r="M152">
        <v>1</v>
      </c>
      <c r="N152">
        <v>3</v>
      </c>
      <c r="O152" t="s">
        <v>39</v>
      </c>
      <c r="P152" t="s">
        <v>40</v>
      </c>
      <c r="Q152" t="s">
        <v>153</v>
      </c>
      <c r="S152" t="s">
        <v>33</v>
      </c>
      <c r="T152">
        <v>1</v>
      </c>
      <c r="V152">
        <v>1</v>
      </c>
      <c r="W152" t="s">
        <v>65</v>
      </c>
      <c r="X152" t="s">
        <v>130</v>
      </c>
      <c r="AA152" t="s">
        <v>45</v>
      </c>
      <c r="AB152">
        <v>3</v>
      </c>
      <c r="AD152">
        <v>1</v>
      </c>
      <c r="AE152" t="s">
        <v>140</v>
      </c>
      <c r="AF152" t="s">
        <v>92</v>
      </c>
      <c r="AG152" t="s">
        <v>102</v>
      </c>
      <c r="AI152">
        <v>0</v>
      </c>
      <c r="AJ152">
        <v>17</v>
      </c>
    </row>
    <row r="153" spans="1:36" x14ac:dyDescent="0.25">
      <c r="A153" t="s">
        <v>966</v>
      </c>
      <c r="B153">
        <v>191</v>
      </c>
      <c r="C153" t="s">
        <v>33</v>
      </c>
      <c r="D153">
        <v>2</v>
      </c>
      <c r="F153">
        <v>3</v>
      </c>
      <c r="G153" t="s">
        <v>65</v>
      </c>
      <c r="K153" t="s">
        <v>63</v>
      </c>
      <c r="L153">
        <v>1</v>
      </c>
      <c r="N153">
        <v>2</v>
      </c>
      <c r="O153" t="s">
        <v>145</v>
      </c>
      <c r="P153" t="s">
        <v>95</v>
      </c>
      <c r="Q153" t="s">
        <v>148</v>
      </c>
      <c r="S153" t="s">
        <v>48</v>
      </c>
      <c r="T153">
        <v>3</v>
      </c>
      <c r="V153">
        <v>1</v>
      </c>
      <c r="W153" t="s">
        <v>89</v>
      </c>
      <c r="X153" t="s">
        <v>71</v>
      </c>
      <c r="AA153" t="s">
        <v>38</v>
      </c>
      <c r="AB153">
        <v>2</v>
      </c>
      <c r="AC153">
        <v>1</v>
      </c>
      <c r="AD153">
        <v>2</v>
      </c>
      <c r="AE153" t="s">
        <v>67</v>
      </c>
      <c r="AI153">
        <v>0</v>
      </c>
      <c r="AJ153">
        <v>16</v>
      </c>
    </row>
    <row r="154" spans="1:36" x14ac:dyDescent="0.25">
      <c r="A154" t="s">
        <v>967</v>
      </c>
      <c r="B154">
        <v>192</v>
      </c>
      <c r="C154" t="s">
        <v>43</v>
      </c>
      <c r="D154">
        <v>3</v>
      </c>
      <c r="F154">
        <v>2</v>
      </c>
      <c r="G154" t="s">
        <v>44</v>
      </c>
      <c r="H154" t="s">
        <v>74</v>
      </c>
      <c r="I154" t="s">
        <v>137</v>
      </c>
      <c r="K154" t="s">
        <v>45</v>
      </c>
      <c r="L154">
        <v>3</v>
      </c>
      <c r="N154">
        <v>2</v>
      </c>
      <c r="O154" t="s">
        <v>86</v>
      </c>
      <c r="P154" t="s">
        <v>141</v>
      </c>
      <c r="Q154" t="s">
        <v>93</v>
      </c>
      <c r="R154" t="s">
        <v>94</v>
      </c>
      <c r="S154" t="s">
        <v>48</v>
      </c>
      <c r="T154">
        <v>1</v>
      </c>
      <c r="V154">
        <v>2</v>
      </c>
      <c r="W154" t="s">
        <v>126</v>
      </c>
      <c r="X154" t="s">
        <v>50</v>
      </c>
      <c r="Y154" t="s">
        <v>90</v>
      </c>
      <c r="Z154" t="s">
        <v>128</v>
      </c>
      <c r="AA154" t="s">
        <v>38</v>
      </c>
      <c r="AB154">
        <v>2</v>
      </c>
      <c r="AC154">
        <v>1</v>
      </c>
      <c r="AD154">
        <v>2</v>
      </c>
      <c r="AE154" t="s">
        <v>39</v>
      </c>
      <c r="AF154" t="s">
        <v>96</v>
      </c>
      <c r="AI154">
        <v>0</v>
      </c>
      <c r="AJ154">
        <v>23</v>
      </c>
    </row>
    <row r="155" spans="1:36" x14ac:dyDescent="0.25">
      <c r="A155" t="s">
        <v>968</v>
      </c>
      <c r="B155">
        <v>193</v>
      </c>
      <c r="C155" t="s">
        <v>48</v>
      </c>
      <c r="D155">
        <v>3</v>
      </c>
      <c r="F155">
        <v>1</v>
      </c>
      <c r="G155" t="s">
        <v>89</v>
      </c>
      <c r="H155" t="s">
        <v>71</v>
      </c>
      <c r="I155" t="s">
        <v>51</v>
      </c>
      <c r="J155" t="s">
        <v>52</v>
      </c>
      <c r="K155" t="s">
        <v>38</v>
      </c>
      <c r="L155">
        <v>1</v>
      </c>
      <c r="M155">
        <v>1</v>
      </c>
      <c r="N155">
        <v>3</v>
      </c>
      <c r="O155" t="s">
        <v>67</v>
      </c>
      <c r="P155" t="s">
        <v>40</v>
      </c>
      <c r="Q155" t="s">
        <v>154</v>
      </c>
      <c r="R155" t="s">
        <v>42</v>
      </c>
      <c r="S155" t="s">
        <v>43</v>
      </c>
      <c r="T155">
        <v>1</v>
      </c>
      <c r="V155">
        <v>1</v>
      </c>
      <c r="W155" t="s">
        <v>44</v>
      </c>
      <c r="X155" t="s">
        <v>136</v>
      </c>
      <c r="AA155" t="s">
        <v>63</v>
      </c>
      <c r="AB155">
        <v>2</v>
      </c>
      <c r="AD155">
        <v>1</v>
      </c>
      <c r="AE155" t="s">
        <v>145</v>
      </c>
      <c r="AF155" t="s">
        <v>95</v>
      </c>
      <c r="AG155" t="s">
        <v>104</v>
      </c>
      <c r="AH155" t="s">
        <v>149</v>
      </c>
      <c r="AI155">
        <v>0</v>
      </c>
      <c r="AJ155">
        <v>19</v>
      </c>
    </row>
    <row r="156" spans="1:36" x14ac:dyDescent="0.25">
      <c r="A156" t="s">
        <v>969</v>
      </c>
      <c r="B156">
        <v>194</v>
      </c>
      <c r="C156" t="s">
        <v>48</v>
      </c>
      <c r="D156">
        <v>2</v>
      </c>
      <c r="F156">
        <v>2</v>
      </c>
      <c r="G156" t="s">
        <v>89</v>
      </c>
      <c r="H156" t="s">
        <v>50</v>
      </c>
      <c r="I156" t="s">
        <v>51</v>
      </c>
      <c r="J156" t="s">
        <v>129</v>
      </c>
      <c r="K156" t="s">
        <v>38</v>
      </c>
      <c r="L156">
        <v>2</v>
      </c>
      <c r="M156">
        <v>1</v>
      </c>
      <c r="N156">
        <v>2</v>
      </c>
      <c r="O156" t="s">
        <v>67</v>
      </c>
      <c r="P156" t="s">
        <v>70</v>
      </c>
      <c r="Q156" t="s">
        <v>154</v>
      </c>
      <c r="R156" t="s">
        <v>155</v>
      </c>
      <c r="S156" t="s">
        <v>45</v>
      </c>
      <c r="T156">
        <v>2</v>
      </c>
      <c r="V156">
        <v>2</v>
      </c>
      <c r="W156" t="s">
        <v>140</v>
      </c>
      <c r="AA156" t="s">
        <v>63</v>
      </c>
      <c r="AB156">
        <v>2</v>
      </c>
      <c r="AD156">
        <v>1</v>
      </c>
      <c r="AE156" t="s">
        <v>103</v>
      </c>
      <c r="AF156" t="s">
        <v>95</v>
      </c>
      <c r="AG156" t="s">
        <v>147</v>
      </c>
      <c r="AH156" t="s">
        <v>151</v>
      </c>
      <c r="AI156">
        <v>0</v>
      </c>
      <c r="AJ156">
        <v>20</v>
      </c>
    </row>
    <row r="157" spans="1:36" x14ac:dyDescent="0.25">
      <c r="A157" t="s">
        <v>970</v>
      </c>
      <c r="B157">
        <v>195</v>
      </c>
      <c r="C157" t="s">
        <v>45</v>
      </c>
      <c r="D157">
        <v>3</v>
      </c>
      <c r="F157">
        <v>1</v>
      </c>
      <c r="G157" t="s">
        <v>140</v>
      </c>
      <c r="K157" t="s">
        <v>63</v>
      </c>
      <c r="L157">
        <v>2</v>
      </c>
      <c r="N157">
        <v>1</v>
      </c>
      <c r="O157" t="s">
        <v>72</v>
      </c>
      <c r="P157" t="s">
        <v>146</v>
      </c>
      <c r="S157" t="s">
        <v>33</v>
      </c>
      <c r="T157">
        <v>1</v>
      </c>
      <c r="V157">
        <v>2</v>
      </c>
      <c r="W157" t="s">
        <v>34</v>
      </c>
      <c r="AA157" t="s">
        <v>43</v>
      </c>
      <c r="AB157">
        <v>3</v>
      </c>
      <c r="AD157">
        <v>1</v>
      </c>
      <c r="AE157" t="s">
        <v>135</v>
      </c>
      <c r="AI157">
        <v>0</v>
      </c>
      <c r="AJ157">
        <v>12</v>
      </c>
    </row>
    <row r="158" spans="1:36" x14ac:dyDescent="0.25">
      <c r="A158" t="s">
        <v>971</v>
      </c>
      <c r="B158">
        <v>196</v>
      </c>
      <c r="C158" t="s">
        <v>45</v>
      </c>
      <c r="D158">
        <v>3</v>
      </c>
      <c r="F158">
        <v>1</v>
      </c>
      <c r="G158" t="s">
        <v>140</v>
      </c>
      <c r="K158" t="s">
        <v>38</v>
      </c>
      <c r="L158">
        <v>3</v>
      </c>
      <c r="M158">
        <v>1</v>
      </c>
      <c r="N158">
        <v>2</v>
      </c>
      <c r="O158" t="s">
        <v>67</v>
      </c>
      <c r="S158" t="s">
        <v>33</v>
      </c>
      <c r="T158">
        <v>1</v>
      </c>
      <c r="V158">
        <v>2</v>
      </c>
      <c r="W158" t="s">
        <v>65</v>
      </c>
      <c r="AA158" t="s">
        <v>43</v>
      </c>
      <c r="AB158">
        <v>2</v>
      </c>
      <c r="AD158">
        <v>2</v>
      </c>
      <c r="AE158" t="s">
        <v>44</v>
      </c>
      <c r="AI158">
        <v>0</v>
      </c>
      <c r="AJ158">
        <v>12</v>
      </c>
    </row>
    <row r="159" spans="1:36" x14ac:dyDescent="0.25">
      <c r="A159" t="s">
        <v>972</v>
      </c>
      <c r="B159">
        <v>197</v>
      </c>
      <c r="C159" t="s">
        <v>63</v>
      </c>
      <c r="D159">
        <v>1</v>
      </c>
      <c r="F159">
        <v>2</v>
      </c>
      <c r="G159" t="s">
        <v>145</v>
      </c>
      <c r="H159" t="s">
        <v>146</v>
      </c>
      <c r="I159" t="s">
        <v>104</v>
      </c>
      <c r="J159" t="s">
        <v>151</v>
      </c>
      <c r="K159" t="s">
        <v>38</v>
      </c>
      <c r="L159">
        <v>3</v>
      </c>
      <c r="M159">
        <v>1</v>
      </c>
      <c r="N159">
        <v>3</v>
      </c>
      <c r="O159" t="s">
        <v>67</v>
      </c>
      <c r="S159" t="s">
        <v>33</v>
      </c>
      <c r="T159">
        <v>2</v>
      </c>
      <c r="V159">
        <v>2</v>
      </c>
      <c r="W159" t="s">
        <v>65</v>
      </c>
      <c r="AA159" t="s">
        <v>43</v>
      </c>
      <c r="AB159">
        <v>2</v>
      </c>
      <c r="AD159">
        <v>1</v>
      </c>
      <c r="AE159" t="s">
        <v>44</v>
      </c>
      <c r="AF159" t="s">
        <v>136</v>
      </c>
      <c r="AG159" t="s">
        <v>75</v>
      </c>
      <c r="AH159" t="s">
        <v>139</v>
      </c>
      <c r="AI159">
        <v>0</v>
      </c>
      <c r="AJ159">
        <v>19</v>
      </c>
    </row>
    <row r="160" spans="1:36" x14ac:dyDescent="0.25">
      <c r="A160" t="s">
        <v>973</v>
      </c>
      <c r="B160">
        <v>198</v>
      </c>
      <c r="C160" t="s">
        <v>33</v>
      </c>
      <c r="D160">
        <v>2</v>
      </c>
      <c r="F160">
        <v>2</v>
      </c>
      <c r="G160" t="s">
        <v>34</v>
      </c>
      <c r="K160" t="s">
        <v>45</v>
      </c>
      <c r="L160">
        <v>3</v>
      </c>
      <c r="N160">
        <v>2</v>
      </c>
      <c r="O160" t="s">
        <v>140</v>
      </c>
      <c r="P160" t="s">
        <v>141</v>
      </c>
      <c r="Q160" t="s">
        <v>102</v>
      </c>
      <c r="R160" t="s">
        <v>94</v>
      </c>
      <c r="S160" t="s">
        <v>43</v>
      </c>
      <c r="T160">
        <v>2</v>
      </c>
      <c r="V160">
        <v>1</v>
      </c>
      <c r="W160" t="s">
        <v>44</v>
      </c>
      <c r="AA160" t="s">
        <v>63</v>
      </c>
      <c r="AB160">
        <v>2</v>
      </c>
      <c r="AD160">
        <v>3</v>
      </c>
      <c r="AE160" t="s">
        <v>145</v>
      </c>
      <c r="AF160" t="s">
        <v>146</v>
      </c>
      <c r="AG160" t="s">
        <v>104</v>
      </c>
      <c r="AH160" t="s">
        <v>149</v>
      </c>
      <c r="AI160">
        <v>0</v>
      </c>
      <c r="AJ160">
        <v>20</v>
      </c>
    </row>
    <row r="161" spans="1:36" x14ac:dyDescent="0.25">
      <c r="A161" t="s">
        <v>974</v>
      </c>
      <c r="B161">
        <v>199</v>
      </c>
      <c r="C161" t="s">
        <v>33</v>
      </c>
      <c r="D161">
        <v>2</v>
      </c>
      <c r="F161">
        <v>2</v>
      </c>
      <c r="G161" t="s">
        <v>65</v>
      </c>
      <c r="K161" t="s">
        <v>45</v>
      </c>
      <c r="L161">
        <v>3</v>
      </c>
      <c r="N161">
        <v>2</v>
      </c>
      <c r="O161" t="s">
        <v>140</v>
      </c>
      <c r="P161" t="s">
        <v>92</v>
      </c>
      <c r="Q161" t="s">
        <v>102</v>
      </c>
      <c r="S161" t="s">
        <v>43</v>
      </c>
      <c r="T161">
        <v>3</v>
      </c>
      <c r="V161">
        <v>1</v>
      </c>
      <c r="W161" t="s">
        <v>44</v>
      </c>
      <c r="X161" t="s">
        <v>136</v>
      </c>
      <c r="Y161" t="s">
        <v>100</v>
      </c>
      <c r="AA161" t="s">
        <v>38</v>
      </c>
      <c r="AB161">
        <v>2</v>
      </c>
      <c r="AC161">
        <v>1</v>
      </c>
      <c r="AD161">
        <v>2</v>
      </c>
      <c r="AE161" t="s">
        <v>39</v>
      </c>
      <c r="AF161" t="s">
        <v>96</v>
      </c>
      <c r="AG161" t="s">
        <v>153</v>
      </c>
      <c r="AH161" t="s">
        <v>156</v>
      </c>
      <c r="AI161">
        <v>0</v>
      </c>
      <c r="AJ161">
        <v>20</v>
      </c>
    </row>
    <row r="162" spans="1:36" x14ac:dyDescent="0.25">
      <c r="A162" t="s">
        <v>975</v>
      </c>
      <c r="B162">
        <v>200</v>
      </c>
      <c r="C162" t="s">
        <v>63</v>
      </c>
      <c r="D162">
        <v>3</v>
      </c>
      <c r="F162">
        <v>1</v>
      </c>
      <c r="G162" t="s">
        <v>145</v>
      </c>
      <c r="H162" t="s">
        <v>146</v>
      </c>
      <c r="I162" t="s">
        <v>147</v>
      </c>
      <c r="J162" t="s">
        <v>150</v>
      </c>
      <c r="K162" t="s">
        <v>38</v>
      </c>
      <c r="L162">
        <v>3</v>
      </c>
      <c r="M162">
        <v>1</v>
      </c>
      <c r="N162">
        <v>2</v>
      </c>
      <c r="O162" t="s">
        <v>39</v>
      </c>
      <c r="P162" t="s">
        <v>40</v>
      </c>
      <c r="Q162" t="s">
        <v>41</v>
      </c>
      <c r="R162" t="s">
        <v>156</v>
      </c>
      <c r="S162" t="s">
        <v>33</v>
      </c>
      <c r="T162">
        <v>2</v>
      </c>
      <c r="V162">
        <v>2</v>
      </c>
      <c r="W162" t="s">
        <v>65</v>
      </c>
      <c r="X162" t="s">
        <v>66</v>
      </c>
      <c r="Y162" t="s">
        <v>36</v>
      </c>
      <c r="Z162" t="s">
        <v>134</v>
      </c>
      <c r="AA162" t="s">
        <v>45</v>
      </c>
      <c r="AB162">
        <v>3</v>
      </c>
      <c r="AD162">
        <v>1</v>
      </c>
      <c r="AE162" t="s">
        <v>140</v>
      </c>
      <c r="AI162">
        <v>0</v>
      </c>
      <c r="AJ162">
        <v>22</v>
      </c>
    </row>
    <row r="163" spans="1:36" x14ac:dyDescent="0.25">
      <c r="A163" t="s">
        <v>976</v>
      </c>
      <c r="B163">
        <v>201</v>
      </c>
      <c r="C163" t="s">
        <v>43</v>
      </c>
      <c r="D163">
        <v>3</v>
      </c>
      <c r="F163">
        <v>1</v>
      </c>
      <c r="G163" t="s">
        <v>44</v>
      </c>
      <c r="K163" t="s">
        <v>45</v>
      </c>
      <c r="L163">
        <v>3</v>
      </c>
      <c r="N163">
        <v>1</v>
      </c>
      <c r="O163" t="s">
        <v>86</v>
      </c>
      <c r="P163" t="s">
        <v>141</v>
      </c>
      <c r="S163" t="s">
        <v>33</v>
      </c>
      <c r="T163">
        <v>1</v>
      </c>
      <c r="V163">
        <v>3</v>
      </c>
      <c r="W163" t="s">
        <v>65</v>
      </c>
      <c r="X163" t="s">
        <v>35</v>
      </c>
      <c r="Y163" t="s">
        <v>131</v>
      </c>
      <c r="AA163" t="s">
        <v>63</v>
      </c>
      <c r="AB163">
        <v>1</v>
      </c>
      <c r="AD163">
        <v>1</v>
      </c>
      <c r="AE163" t="s">
        <v>145</v>
      </c>
      <c r="AF163" t="s">
        <v>146</v>
      </c>
      <c r="AI163">
        <v>0</v>
      </c>
      <c r="AJ163">
        <v>15</v>
      </c>
    </row>
    <row r="164" spans="1:36" x14ac:dyDescent="0.25">
      <c r="A164" t="s">
        <v>977</v>
      </c>
      <c r="B164">
        <v>202</v>
      </c>
      <c r="C164" t="s">
        <v>33</v>
      </c>
      <c r="D164">
        <v>2</v>
      </c>
      <c r="F164">
        <v>3</v>
      </c>
      <c r="G164" t="s">
        <v>65</v>
      </c>
      <c r="H164" t="s">
        <v>66</v>
      </c>
      <c r="I164" t="s">
        <v>131</v>
      </c>
      <c r="K164" t="s">
        <v>63</v>
      </c>
      <c r="L164">
        <v>2</v>
      </c>
      <c r="N164">
        <v>2</v>
      </c>
      <c r="O164" t="s">
        <v>145</v>
      </c>
      <c r="P164" t="s">
        <v>146</v>
      </c>
      <c r="Q164" t="s">
        <v>148</v>
      </c>
      <c r="R164" t="s">
        <v>150</v>
      </c>
      <c r="S164" t="s">
        <v>43</v>
      </c>
      <c r="T164">
        <v>2</v>
      </c>
      <c r="V164">
        <v>3</v>
      </c>
      <c r="W164" t="s">
        <v>44</v>
      </c>
      <c r="X164" t="s">
        <v>136</v>
      </c>
      <c r="Y164" t="s">
        <v>137</v>
      </c>
      <c r="Z164" t="s">
        <v>139</v>
      </c>
      <c r="AA164" t="s">
        <v>38</v>
      </c>
      <c r="AB164">
        <v>3</v>
      </c>
      <c r="AC164">
        <v>2</v>
      </c>
      <c r="AD164">
        <v>2</v>
      </c>
      <c r="AE164" t="s">
        <v>67</v>
      </c>
      <c r="AI164">
        <v>0</v>
      </c>
      <c r="AJ164">
        <v>26</v>
      </c>
    </row>
    <row r="165" spans="1:36" x14ac:dyDescent="0.25">
      <c r="A165" t="s">
        <v>978</v>
      </c>
      <c r="B165">
        <v>203</v>
      </c>
      <c r="C165" t="s">
        <v>33</v>
      </c>
      <c r="D165">
        <v>2</v>
      </c>
      <c r="F165">
        <v>3</v>
      </c>
      <c r="G165" t="s">
        <v>65</v>
      </c>
      <c r="H165" t="s">
        <v>66</v>
      </c>
      <c r="I165" t="s">
        <v>36</v>
      </c>
      <c r="K165" t="s">
        <v>63</v>
      </c>
      <c r="L165">
        <v>2</v>
      </c>
      <c r="N165">
        <v>2</v>
      </c>
      <c r="O165" t="s">
        <v>145</v>
      </c>
      <c r="P165" t="s">
        <v>146</v>
      </c>
      <c r="Q165" t="s">
        <v>104</v>
      </c>
      <c r="R165" t="s">
        <v>150</v>
      </c>
      <c r="S165" t="s">
        <v>45</v>
      </c>
      <c r="T165">
        <v>3</v>
      </c>
      <c r="V165">
        <v>1</v>
      </c>
      <c r="W165" t="s">
        <v>86</v>
      </c>
      <c r="X165" t="s">
        <v>141</v>
      </c>
      <c r="Y165" t="s">
        <v>93</v>
      </c>
      <c r="Z165" t="s">
        <v>143</v>
      </c>
      <c r="AA165" t="s">
        <v>38</v>
      </c>
      <c r="AB165">
        <v>1</v>
      </c>
      <c r="AC165">
        <v>1</v>
      </c>
      <c r="AD165">
        <v>3</v>
      </c>
      <c r="AE165" t="s">
        <v>39</v>
      </c>
      <c r="AF165" t="s">
        <v>40</v>
      </c>
      <c r="AG165" t="s">
        <v>41</v>
      </c>
      <c r="AI165">
        <v>0</v>
      </c>
      <c r="AJ165">
        <v>23</v>
      </c>
    </row>
    <row r="166" spans="1:36" x14ac:dyDescent="0.25">
      <c r="A166" t="s">
        <v>979</v>
      </c>
      <c r="B166">
        <v>204</v>
      </c>
      <c r="C166" t="s">
        <v>43</v>
      </c>
      <c r="D166">
        <v>2</v>
      </c>
      <c r="F166">
        <v>1</v>
      </c>
      <c r="G166" t="s">
        <v>44</v>
      </c>
      <c r="H166" t="s">
        <v>136</v>
      </c>
      <c r="K166" t="s">
        <v>45</v>
      </c>
      <c r="L166">
        <v>3</v>
      </c>
      <c r="N166">
        <v>1</v>
      </c>
      <c r="O166" t="s">
        <v>140</v>
      </c>
      <c r="S166" t="s">
        <v>33</v>
      </c>
      <c r="T166">
        <v>2</v>
      </c>
      <c r="V166">
        <v>1</v>
      </c>
      <c r="W166" t="s">
        <v>65</v>
      </c>
      <c r="X166" t="s">
        <v>66</v>
      </c>
      <c r="AA166" t="s">
        <v>38</v>
      </c>
      <c r="AB166">
        <v>1</v>
      </c>
      <c r="AC166">
        <v>1</v>
      </c>
      <c r="AD166">
        <v>2</v>
      </c>
      <c r="AE166" t="s">
        <v>39</v>
      </c>
      <c r="AF166" t="s">
        <v>96</v>
      </c>
      <c r="AG166" t="s">
        <v>153</v>
      </c>
      <c r="AI166">
        <v>0</v>
      </c>
      <c r="AJ166">
        <v>14</v>
      </c>
    </row>
    <row r="167" spans="1:36" x14ac:dyDescent="0.25">
      <c r="A167" t="s">
        <v>980</v>
      </c>
      <c r="B167">
        <v>205</v>
      </c>
      <c r="C167" t="s">
        <v>43</v>
      </c>
      <c r="D167">
        <v>2</v>
      </c>
      <c r="F167">
        <v>1</v>
      </c>
      <c r="G167" t="s">
        <v>44</v>
      </c>
      <c r="H167" t="s">
        <v>99</v>
      </c>
      <c r="K167" t="s">
        <v>63</v>
      </c>
      <c r="L167">
        <v>1</v>
      </c>
      <c r="N167">
        <v>1</v>
      </c>
      <c r="O167" t="s">
        <v>145</v>
      </c>
      <c r="P167" t="s">
        <v>146</v>
      </c>
      <c r="Q167" t="s">
        <v>147</v>
      </c>
      <c r="S167" t="s">
        <v>33</v>
      </c>
      <c r="T167">
        <v>1</v>
      </c>
      <c r="V167">
        <v>2</v>
      </c>
      <c r="W167" t="s">
        <v>34</v>
      </c>
      <c r="AA167" t="s">
        <v>38</v>
      </c>
      <c r="AB167">
        <v>3</v>
      </c>
      <c r="AC167">
        <v>1</v>
      </c>
      <c r="AD167">
        <v>1</v>
      </c>
      <c r="AE167" t="s">
        <v>67</v>
      </c>
      <c r="AI167">
        <v>0</v>
      </c>
      <c r="AJ167">
        <v>11</v>
      </c>
    </row>
    <row r="168" spans="1:36" x14ac:dyDescent="0.25">
      <c r="A168" t="s">
        <v>981</v>
      </c>
      <c r="B168">
        <v>206</v>
      </c>
      <c r="C168" t="s">
        <v>45</v>
      </c>
      <c r="D168">
        <v>3</v>
      </c>
      <c r="F168">
        <v>1</v>
      </c>
      <c r="G168" t="s">
        <v>140</v>
      </c>
      <c r="K168" t="s">
        <v>63</v>
      </c>
      <c r="L168">
        <v>2</v>
      </c>
      <c r="N168">
        <v>1</v>
      </c>
      <c r="O168" t="s">
        <v>145</v>
      </c>
      <c r="P168" t="s">
        <v>95</v>
      </c>
      <c r="Q168" t="s">
        <v>104</v>
      </c>
      <c r="R168" t="s">
        <v>149</v>
      </c>
      <c r="S168" t="s">
        <v>33</v>
      </c>
      <c r="T168">
        <v>2</v>
      </c>
      <c r="V168">
        <v>3</v>
      </c>
      <c r="W168" t="s">
        <v>34</v>
      </c>
      <c r="X168" t="s">
        <v>66</v>
      </c>
      <c r="AA168" t="s">
        <v>38</v>
      </c>
      <c r="AB168">
        <v>1</v>
      </c>
      <c r="AC168">
        <v>1</v>
      </c>
      <c r="AD168">
        <v>2</v>
      </c>
      <c r="AE168" t="s">
        <v>39</v>
      </c>
      <c r="AF168" t="s">
        <v>96</v>
      </c>
      <c r="AG168" t="s">
        <v>153</v>
      </c>
      <c r="AI168">
        <v>0</v>
      </c>
      <c r="AJ168">
        <v>17</v>
      </c>
    </row>
    <row r="169" spans="1:36" x14ac:dyDescent="0.25">
      <c r="A169" t="s">
        <v>982</v>
      </c>
      <c r="B169">
        <v>207</v>
      </c>
      <c r="C169" t="s">
        <v>63</v>
      </c>
      <c r="D169">
        <v>2</v>
      </c>
      <c r="F169">
        <v>2</v>
      </c>
      <c r="G169" t="s">
        <v>145</v>
      </c>
      <c r="H169" t="s">
        <v>146</v>
      </c>
      <c r="I169" t="s">
        <v>147</v>
      </c>
      <c r="J169" t="s">
        <v>150</v>
      </c>
      <c r="K169" t="s">
        <v>38</v>
      </c>
      <c r="L169">
        <v>2</v>
      </c>
      <c r="M169">
        <v>1</v>
      </c>
      <c r="N169">
        <v>3</v>
      </c>
      <c r="O169" t="s">
        <v>39</v>
      </c>
      <c r="P169" t="s">
        <v>96</v>
      </c>
      <c r="Q169" t="s">
        <v>154</v>
      </c>
      <c r="R169" t="s">
        <v>156</v>
      </c>
      <c r="S169" t="s">
        <v>43</v>
      </c>
      <c r="T169">
        <v>2</v>
      </c>
      <c r="V169">
        <v>1</v>
      </c>
      <c r="W169" t="s">
        <v>44</v>
      </c>
      <c r="AA169" t="s">
        <v>45</v>
      </c>
      <c r="AB169">
        <v>3</v>
      </c>
      <c r="AD169">
        <v>1</v>
      </c>
      <c r="AE169" t="s">
        <v>86</v>
      </c>
      <c r="AF169" t="s">
        <v>141</v>
      </c>
      <c r="AG169" t="s">
        <v>93</v>
      </c>
      <c r="AH169" t="s">
        <v>94</v>
      </c>
      <c r="AI169">
        <v>0</v>
      </c>
      <c r="AJ169">
        <v>21</v>
      </c>
    </row>
    <row r="170" spans="1:36" x14ac:dyDescent="0.25">
      <c r="A170" t="s">
        <v>983</v>
      </c>
      <c r="B170">
        <v>208</v>
      </c>
      <c r="C170" t="s">
        <v>43</v>
      </c>
      <c r="D170">
        <v>2</v>
      </c>
      <c r="F170">
        <v>1</v>
      </c>
      <c r="G170" t="s">
        <v>44</v>
      </c>
      <c r="H170" t="s">
        <v>136</v>
      </c>
      <c r="I170" t="s">
        <v>137</v>
      </c>
      <c r="J170" t="s">
        <v>138</v>
      </c>
      <c r="K170" t="s">
        <v>63</v>
      </c>
      <c r="L170">
        <v>1</v>
      </c>
      <c r="N170">
        <v>1</v>
      </c>
      <c r="O170" t="s">
        <v>145</v>
      </c>
      <c r="P170" t="s">
        <v>146</v>
      </c>
      <c r="Q170" t="s">
        <v>104</v>
      </c>
      <c r="R170" t="s">
        <v>150</v>
      </c>
      <c r="S170" t="s">
        <v>45</v>
      </c>
      <c r="T170">
        <v>3</v>
      </c>
      <c r="V170">
        <v>1</v>
      </c>
      <c r="W170" t="s">
        <v>140</v>
      </c>
      <c r="X170" t="s">
        <v>141</v>
      </c>
      <c r="Y170" t="s">
        <v>102</v>
      </c>
      <c r="AA170" t="s">
        <v>38</v>
      </c>
      <c r="AB170">
        <v>1</v>
      </c>
      <c r="AC170">
        <v>1</v>
      </c>
      <c r="AD170">
        <v>1</v>
      </c>
      <c r="AE170" t="s">
        <v>39</v>
      </c>
      <c r="AF170" t="s">
        <v>40</v>
      </c>
      <c r="AG170" t="s">
        <v>41</v>
      </c>
      <c r="AI170">
        <v>0</v>
      </c>
      <c r="AJ170">
        <v>17</v>
      </c>
    </row>
    <row r="171" spans="1:36" x14ac:dyDescent="0.25">
      <c r="A171" t="s">
        <v>984</v>
      </c>
      <c r="B171">
        <v>209</v>
      </c>
      <c r="C171" t="s">
        <v>43</v>
      </c>
      <c r="D171">
        <v>3</v>
      </c>
      <c r="F171">
        <v>2</v>
      </c>
      <c r="G171" t="s">
        <v>44</v>
      </c>
      <c r="H171" t="s">
        <v>136</v>
      </c>
      <c r="I171" t="s">
        <v>137</v>
      </c>
      <c r="K171" t="s">
        <v>38</v>
      </c>
      <c r="L171">
        <v>2</v>
      </c>
      <c r="M171">
        <v>1</v>
      </c>
      <c r="N171">
        <v>2</v>
      </c>
      <c r="O171" t="s">
        <v>39</v>
      </c>
      <c r="P171" t="s">
        <v>96</v>
      </c>
      <c r="Q171" t="s">
        <v>153</v>
      </c>
      <c r="R171" t="s">
        <v>155</v>
      </c>
      <c r="S171" t="s">
        <v>45</v>
      </c>
      <c r="T171">
        <v>2</v>
      </c>
      <c r="V171">
        <v>1</v>
      </c>
      <c r="W171" t="s">
        <v>140</v>
      </c>
      <c r="X171" t="s">
        <v>76</v>
      </c>
      <c r="AA171" t="s">
        <v>63</v>
      </c>
      <c r="AB171">
        <v>3</v>
      </c>
      <c r="AD171">
        <v>1</v>
      </c>
      <c r="AE171" t="s">
        <v>72</v>
      </c>
      <c r="AF171" t="s">
        <v>146</v>
      </c>
      <c r="AG171" t="s">
        <v>104</v>
      </c>
      <c r="AI171">
        <v>0</v>
      </c>
      <c r="AJ171">
        <v>20</v>
      </c>
    </row>
    <row r="172" spans="1:36" x14ac:dyDescent="0.25">
      <c r="A172" t="s">
        <v>985</v>
      </c>
      <c r="B172">
        <v>168</v>
      </c>
      <c r="C172" t="s">
        <v>45</v>
      </c>
      <c r="D172">
        <v>3</v>
      </c>
      <c r="F172">
        <v>1</v>
      </c>
      <c r="G172" t="s">
        <v>140</v>
      </c>
      <c r="K172" t="s">
        <v>63</v>
      </c>
      <c r="L172">
        <v>1</v>
      </c>
      <c r="N172">
        <v>1</v>
      </c>
      <c r="O172" t="s">
        <v>72</v>
      </c>
      <c r="P172" t="s">
        <v>95</v>
      </c>
      <c r="Q172" t="s">
        <v>148</v>
      </c>
      <c r="S172" t="s">
        <v>48</v>
      </c>
      <c r="T172">
        <v>2</v>
      </c>
      <c r="V172">
        <v>1</v>
      </c>
      <c r="W172" t="s">
        <v>89</v>
      </c>
      <c r="X172" t="s">
        <v>50</v>
      </c>
      <c r="AA172" t="s">
        <v>33</v>
      </c>
      <c r="AB172">
        <v>1</v>
      </c>
      <c r="AD172">
        <v>2</v>
      </c>
      <c r="AE172" t="s">
        <v>34</v>
      </c>
      <c r="AI172">
        <v>0</v>
      </c>
      <c r="AJ172">
        <v>12</v>
      </c>
    </row>
    <row r="173" spans="1:36" x14ac:dyDescent="0.25">
      <c r="A173" t="s">
        <v>986</v>
      </c>
      <c r="B173">
        <v>170</v>
      </c>
      <c r="C173" t="s">
        <v>63</v>
      </c>
      <c r="D173">
        <v>3</v>
      </c>
      <c r="F173">
        <v>1</v>
      </c>
      <c r="G173" t="s">
        <v>145</v>
      </c>
      <c r="H173" t="s">
        <v>146</v>
      </c>
      <c r="K173" t="s">
        <v>38</v>
      </c>
      <c r="L173">
        <v>2</v>
      </c>
      <c r="M173">
        <v>1</v>
      </c>
      <c r="N173">
        <v>2</v>
      </c>
      <c r="O173" t="s">
        <v>67</v>
      </c>
      <c r="P173" t="s">
        <v>40</v>
      </c>
      <c r="S173" t="s">
        <v>48</v>
      </c>
      <c r="T173">
        <v>1</v>
      </c>
      <c r="V173">
        <v>1</v>
      </c>
      <c r="W173" t="s">
        <v>49</v>
      </c>
      <c r="X173" t="s">
        <v>84</v>
      </c>
      <c r="Y173" t="s">
        <v>127</v>
      </c>
      <c r="Z173" t="s">
        <v>52</v>
      </c>
      <c r="AA173" t="s">
        <v>33</v>
      </c>
      <c r="AB173">
        <v>1</v>
      </c>
      <c r="AD173">
        <v>2</v>
      </c>
      <c r="AE173" t="s">
        <v>65</v>
      </c>
      <c r="AI173">
        <v>0</v>
      </c>
      <c r="AJ173">
        <v>15</v>
      </c>
    </row>
    <row r="174" spans="1:36" x14ac:dyDescent="0.25">
      <c r="A174" t="s">
        <v>987</v>
      </c>
      <c r="B174">
        <v>172</v>
      </c>
      <c r="C174" t="s">
        <v>48</v>
      </c>
      <c r="D174">
        <v>2</v>
      </c>
      <c r="F174">
        <v>1</v>
      </c>
      <c r="G174" t="s">
        <v>89</v>
      </c>
      <c r="H174" t="s">
        <v>71</v>
      </c>
      <c r="K174" t="s">
        <v>43</v>
      </c>
      <c r="L174">
        <v>2</v>
      </c>
      <c r="N174">
        <v>1</v>
      </c>
      <c r="O174" t="s">
        <v>44</v>
      </c>
      <c r="P174" t="s">
        <v>136</v>
      </c>
      <c r="Q174" t="s">
        <v>75</v>
      </c>
      <c r="S174" t="s">
        <v>33</v>
      </c>
      <c r="T174">
        <v>1</v>
      </c>
      <c r="V174">
        <v>2</v>
      </c>
      <c r="W174" t="s">
        <v>65</v>
      </c>
      <c r="AA174" t="s">
        <v>63</v>
      </c>
      <c r="AB174">
        <v>2</v>
      </c>
      <c r="AD174">
        <v>1</v>
      </c>
      <c r="AE174" t="s">
        <v>145</v>
      </c>
      <c r="AF174" t="s">
        <v>95</v>
      </c>
      <c r="AI174">
        <v>0</v>
      </c>
      <c r="AJ174">
        <v>13</v>
      </c>
    </row>
    <row r="175" spans="1:36" x14ac:dyDescent="0.25">
      <c r="A175" t="s">
        <v>988</v>
      </c>
      <c r="B175">
        <v>176</v>
      </c>
      <c r="C175" t="s">
        <v>48</v>
      </c>
      <c r="D175">
        <v>2</v>
      </c>
      <c r="F175">
        <v>1</v>
      </c>
      <c r="G175" t="s">
        <v>49</v>
      </c>
      <c r="H175" t="s">
        <v>71</v>
      </c>
      <c r="I175" t="s">
        <v>127</v>
      </c>
      <c r="K175" t="s">
        <v>43</v>
      </c>
      <c r="L175">
        <v>3</v>
      </c>
      <c r="N175">
        <v>1</v>
      </c>
      <c r="O175" t="s">
        <v>44</v>
      </c>
      <c r="P175" t="s">
        <v>74</v>
      </c>
      <c r="Q175" t="s">
        <v>75</v>
      </c>
      <c r="S175" t="s">
        <v>63</v>
      </c>
      <c r="T175">
        <v>1</v>
      </c>
      <c r="V175">
        <v>1</v>
      </c>
      <c r="W175" t="s">
        <v>145</v>
      </c>
      <c r="X175" t="s">
        <v>146</v>
      </c>
      <c r="Y175" t="s">
        <v>147</v>
      </c>
      <c r="AA175" t="s">
        <v>38</v>
      </c>
      <c r="AB175">
        <v>3</v>
      </c>
      <c r="AC175">
        <v>2</v>
      </c>
      <c r="AD175">
        <v>2</v>
      </c>
      <c r="AE175" t="s">
        <v>67</v>
      </c>
      <c r="AI175">
        <v>0</v>
      </c>
      <c r="AJ175">
        <v>17</v>
      </c>
    </row>
    <row r="176" spans="1:36" x14ac:dyDescent="0.25">
      <c r="A176" t="s">
        <v>989</v>
      </c>
      <c r="B176">
        <v>177</v>
      </c>
      <c r="C176" t="s">
        <v>48</v>
      </c>
      <c r="D176">
        <v>2</v>
      </c>
      <c r="F176">
        <v>1</v>
      </c>
      <c r="G176" t="s">
        <v>89</v>
      </c>
      <c r="K176" t="s">
        <v>45</v>
      </c>
      <c r="L176">
        <v>3</v>
      </c>
      <c r="N176">
        <v>1</v>
      </c>
      <c r="O176" t="s">
        <v>140</v>
      </c>
      <c r="P176" t="s">
        <v>92</v>
      </c>
      <c r="Q176" t="s">
        <v>93</v>
      </c>
      <c r="S176" t="s">
        <v>33</v>
      </c>
      <c r="T176">
        <v>2</v>
      </c>
      <c r="V176">
        <v>3</v>
      </c>
      <c r="W176" t="s">
        <v>65</v>
      </c>
      <c r="X176" t="s">
        <v>66</v>
      </c>
      <c r="AA176" t="s">
        <v>43</v>
      </c>
      <c r="AB176">
        <v>1</v>
      </c>
      <c r="AD176">
        <v>1</v>
      </c>
      <c r="AE176" t="s">
        <v>73</v>
      </c>
      <c r="AI176">
        <v>0</v>
      </c>
      <c r="AJ176">
        <v>13</v>
      </c>
    </row>
    <row r="177" spans="1:36" x14ac:dyDescent="0.25">
      <c r="A177" t="s">
        <v>990</v>
      </c>
      <c r="B177">
        <v>180</v>
      </c>
      <c r="C177" t="s">
        <v>48</v>
      </c>
      <c r="D177">
        <v>2</v>
      </c>
      <c r="F177">
        <v>1</v>
      </c>
      <c r="G177" t="s">
        <v>89</v>
      </c>
      <c r="H177" t="s">
        <v>71</v>
      </c>
      <c r="I177" t="s">
        <v>51</v>
      </c>
      <c r="J177" t="s">
        <v>52</v>
      </c>
      <c r="K177" t="s">
        <v>45</v>
      </c>
      <c r="L177">
        <v>3</v>
      </c>
      <c r="N177">
        <v>1</v>
      </c>
      <c r="O177" t="s">
        <v>140</v>
      </c>
      <c r="P177" t="s">
        <v>141</v>
      </c>
      <c r="Q177" t="s">
        <v>93</v>
      </c>
      <c r="S177" t="s">
        <v>43</v>
      </c>
      <c r="T177">
        <v>2</v>
      </c>
      <c r="V177">
        <v>1</v>
      </c>
      <c r="W177" t="s">
        <v>44</v>
      </c>
      <c r="AA177" t="s">
        <v>63</v>
      </c>
      <c r="AB177">
        <v>1</v>
      </c>
      <c r="AD177">
        <v>2</v>
      </c>
      <c r="AE177" t="s">
        <v>145</v>
      </c>
      <c r="AF177" t="s">
        <v>146</v>
      </c>
      <c r="AG177" t="s">
        <v>104</v>
      </c>
      <c r="AI177">
        <v>0</v>
      </c>
      <c r="AJ177">
        <v>16</v>
      </c>
    </row>
    <row r="178" spans="1:36" x14ac:dyDescent="0.25">
      <c r="A178" t="s">
        <v>991</v>
      </c>
      <c r="B178">
        <v>181</v>
      </c>
      <c r="C178" t="s">
        <v>43</v>
      </c>
      <c r="D178">
        <v>2</v>
      </c>
      <c r="F178">
        <v>1</v>
      </c>
      <c r="G178" t="s">
        <v>44</v>
      </c>
      <c r="H178" t="s">
        <v>136</v>
      </c>
      <c r="I178" t="s">
        <v>75</v>
      </c>
      <c r="K178" t="s">
        <v>38</v>
      </c>
      <c r="L178">
        <v>2</v>
      </c>
      <c r="M178">
        <v>1</v>
      </c>
      <c r="N178">
        <v>2</v>
      </c>
      <c r="O178" t="s">
        <v>39</v>
      </c>
      <c r="P178" t="s">
        <v>96</v>
      </c>
      <c r="S178" t="s">
        <v>48</v>
      </c>
      <c r="T178">
        <v>1</v>
      </c>
      <c r="V178">
        <v>1</v>
      </c>
      <c r="W178" t="s">
        <v>89</v>
      </c>
      <c r="X178" t="s">
        <v>84</v>
      </c>
      <c r="Y178" t="s">
        <v>127</v>
      </c>
      <c r="AA178" t="s">
        <v>45</v>
      </c>
      <c r="AB178">
        <v>2</v>
      </c>
      <c r="AD178">
        <v>1</v>
      </c>
      <c r="AE178" t="s">
        <v>140</v>
      </c>
      <c r="AI178">
        <v>0</v>
      </c>
      <c r="AJ178">
        <v>13</v>
      </c>
    </row>
    <row r="179" spans="1:36" x14ac:dyDescent="0.25">
      <c r="A179" t="s">
        <v>992</v>
      </c>
      <c r="B179">
        <v>182</v>
      </c>
      <c r="C179" t="s">
        <v>48</v>
      </c>
      <c r="D179">
        <v>3</v>
      </c>
      <c r="F179">
        <v>3</v>
      </c>
      <c r="G179" t="s">
        <v>49</v>
      </c>
      <c r="H179" t="s">
        <v>71</v>
      </c>
      <c r="I179" t="s">
        <v>127</v>
      </c>
      <c r="J179" t="s">
        <v>129</v>
      </c>
      <c r="K179" t="s">
        <v>45</v>
      </c>
      <c r="L179">
        <v>3</v>
      </c>
      <c r="N179">
        <v>3</v>
      </c>
      <c r="O179" t="s">
        <v>86</v>
      </c>
      <c r="P179" t="s">
        <v>141</v>
      </c>
      <c r="Q179" t="s">
        <v>93</v>
      </c>
      <c r="R179" t="s">
        <v>94</v>
      </c>
      <c r="S179" t="s">
        <v>63</v>
      </c>
      <c r="T179">
        <v>3</v>
      </c>
      <c r="V179">
        <v>3</v>
      </c>
      <c r="W179" t="s">
        <v>145</v>
      </c>
      <c r="X179" t="s">
        <v>146</v>
      </c>
      <c r="Y179" t="s">
        <v>147</v>
      </c>
      <c r="Z179" t="s">
        <v>150</v>
      </c>
      <c r="AA179" t="s">
        <v>38</v>
      </c>
      <c r="AB179">
        <v>3</v>
      </c>
      <c r="AC179">
        <v>1</v>
      </c>
      <c r="AD179">
        <v>1</v>
      </c>
      <c r="AE179" t="s">
        <v>39</v>
      </c>
      <c r="AI179">
        <v>0</v>
      </c>
      <c r="AJ179">
        <v>32</v>
      </c>
    </row>
    <row r="180" spans="1:36" x14ac:dyDescent="0.25">
      <c r="A180" t="s">
        <v>993</v>
      </c>
      <c r="B180">
        <v>183</v>
      </c>
      <c r="C180" t="s">
        <v>48</v>
      </c>
      <c r="D180">
        <v>3</v>
      </c>
      <c r="F180">
        <v>2</v>
      </c>
      <c r="G180" t="s">
        <v>126</v>
      </c>
      <c r="H180" t="s">
        <v>50</v>
      </c>
      <c r="I180" t="s">
        <v>127</v>
      </c>
      <c r="J180" t="s">
        <v>129</v>
      </c>
      <c r="K180" t="s">
        <v>63</v>
      </c>
      <c r="L180">
        <v>1</v>
      </c>
      <c r="N180">
        <v>3</v>
      </c>
      <c r="O180" t="s">
        <v>145</v>
      </c>
      <c r="P180" t="s">
        <v>146</v>
      </c>
      <c r="Q180" t="s">
        <v>104</v>
      </c>
      <c r="R180" t="s">
        <v>150</v>
      </c>
      <c r="S180" t="s">
        <v>33</v>
      </c>
      <c r="T180">
        <v>3</v>
      </c>
      <c r="V180">
        <v>2</v>
      </c>
      <c r="W180" t="s">
        <v>34</v>
      </c>
      <c r="X180" t="s">
        <v>130</v>
      </c>
      <c r="Y180" t="s">
        <v>132</v>
      </c>
      <c r="Z180" t="s">
        <v>133</v>
      </c>
      <c r="AA180" t="s">
        <v>43</v>
      </c>
      <c r="AB180">
        <v>1</v>
      </c>
      <c r="AD180">
        <v>1</v>
      </c>
      <c r="AE180" t="s">
        <v>135</v>
      </c>
      <c r="AF180" t="s">
        <v>74</v>
      </c>
      <c r="AG180" t="s">
        <v>137</v>
      </c>
      <c r="AH180" t="s">
        <v>101</v>
      </c>
      <c r="AI180">
        <v>0</v>
      </c>
      <c r="AJ180">
        <v>25</v>
      </c>
    </row>
    <row r="181" spans="1:36" x14ac:dyDescent="0.25">
      <c r="A181" s="36" t="s">
        <v>994</v>
      </c>
      <c r="B181">
        <v>184</v>
      </c>
      <c r="C181" t="s">
        <v>33</v>
      </c>
      <c r="D181">
        <v>2</v>
      </c>
      <c r="F181">
        <v>2</v>
      </c>
      <c r="G181" t="s">
        <v>34</v>
      </c>
      <c r="H181" t="s">
        <v>130</v>
      </c>
      <c r="I181" t="s">
        <v>132</v>
      </c>
      <c r="J181" t="s">
        <v>134</v>
      </c>
      <c r="K181" t="s">
        <v>45</v>
      </c>
      <c r="L181">
        <v>3</v>
      </c>
      <c r="N181">
        <v>1</v>
      </c>
      <c r="O181" t="s">
        <v>86</v>
      </c>
      <c r="P181" t="s">
        <v>141</v>
      </c>
      <c r="Q181" t="s">
        <v>142</v>
      </c>
      <c r="R181" t="s">
        <v>94</v>
      </c>
      <c r="S181" t="s">
        <v>48</v>
      </c>
      <c r="T181">
        <v>1</v>
      </c>
      <c r="V181">
        <v>1</v>
      </c>
      <c r="W181" t="s">
        <v>126</v>
      </c>
      <c r="X181" t="s">
        <v>50</v>
      </c>
      <c r="AA181" t="s">
        <v>63</v>
      </c>
      <c r="AB181">
        <v>3</v>
      </c>
      <c r="AD181">
        <v>1</v>
      </c>
      <c r="AE181" t="s">
        <v>72</v>
      </c>
      <c r="AF181" t="s">
        <v>146</v>
      </c>
      <c r="AG181" t="s">
        <v>104</v>
      </c>
      <c r="AI181">
        <v>0</v>
      </c>
      <c r="AJ181">
        <v>21</v>
      </c>
    </row>
    <row r="182" spans="1:36" x14ac:dyDescent="0.25">
      <c r="A182" s="36" t="s">
        <v>1002</v>
      </c>
      <c r="B182">
        <v>39</v>
      </c>
      <c r="C182" t="s">
        <v>43</v>
      </c>
      <c r="D182">
        <v>2</v>
      </c>
      <c r="F182">
        <v>2</v>
      </c>
      <c r="G182" t="s">
        <v>44</v>
      </c>
      <c r="K182" t="s">
        <v>45</v>
      </c>
      <c r="L182">
        <v>3</v>
      </c>
      <c r="N182">
        <v>1</v>
      </c>
      <c r="O182" t="s">
        <v>140</v>
      </c>
      <c r="P182" t="s">
        <v>141</v>
      </c>
      <c r="S182" t="s">
        <v>53</v>
      </c>
      <c r="T182">
        <v>1</v>
      </c>
      <c r="U182">
        <v>1</v>
      </c>
      <c r="V182">
        <v>2</v>
      </c>
      <c r="W182" t="s">
        <v>112</v>
      </c>
      <c r="AA182" t="s">
        <v>33</v>
      </c>
      <c r="AB182">
        <v>2</v>
      </c>
      <c r="AD182">
        <v>3</v>
      </c>
      <c r="AE182" t="s">
        <v>65</v>
      </c>
      <c r="AF182" t="s">
        <v>66</v>
      </c>
      <c r="AI182">
        <v>0</v>
      </c>
      <c r="AJ182">
        <v>15</v>
      </c>
    </row>
    <row r="183" spans="1:36" x14ac:dyDescent="0.25">
      <c r="A183" s="36" t="s">
        <v>1003</v>
      </c>
      <c r="B183">
        <v>40</v>
      </c>
      <c r="C183" t="s">
        <v>53</v>
      </c>
      <c r="D183">
        <v>3</v>
      </c>
      <c r="E183">
        <v>1</v>
      </c>
      <c r="F183">
        <v>1</v>
      </c>
      <c r="G183" t="s">
        <v>112</v>
      </c>
      <c r="H183" t="s">
        <v>113</v>
      </c>
      <c r="I183" t="s">
        <v>114</v>
      </c>
      <c r="J183" t="s">
        <v>116</v>
      </c>
      <c r="K183" t="s">
        <v>33</v>
      </c>
      <c r="L183">
        <v>3</v>
      </c>
      <c r="N183">
        <v>3</v>
      </c>
      <c r="O183" t="s">
        <v>34</v>
      </c>
      <c r="P183" t="s">
        <v>66</v>
      </c>
      <c r="S183" t="s">
        <v>43</v>
      </c>
      <c r="T183">
        <v>3</v>
      </c>
      <c r="V183">
        <v>1</v>
      </c>
      <c r="W183" t="s">
        <v>44</v>
      </c>
      <c r="AA183" t="s">
        <v>63</v>
      </c>
      <c r="AB183">
        <v>2</v>
      </c>
      <c r="AD183">
        <v>1</v>
      </c>
      <c r="AE183" t="s">
        <v>103</v>
      </c>
      <c r="AF183" t="s">
        <v>95</v>
      </c>
      <c r="AG183" t="s">
        <v>104</v>
      </c>
      <c r="AH183" t="s">
        <v>151</v>
      </c>
      <c r="AI183">
        <v>0</v>
      </c>
      <c r="AJ183">
        <v>20</v>
      </c>
    </row>
    <row r="184" spans="1:36" x14ac:dyDescent="0.25">
      <c r="A184" s="36" t="s">
        <v>1004</v>
      </c>
      <c r="B184">
        <v>41</v>
      </c>
      <c r="C184" t="s">
        <v>43</v>
      </c>
      <c r="D184">
        <v>3</v>
      </c>
      <c r="F184">
        <v>1</v>
      </c>
      <c r="G184" t="s">
        <v>135</v>
      </c>
      <c r="H184" t="s">
        <v>136</v>
      </c>
      <c r="I184" t="s">
        <v>137</v>
      </c>
      <c r="K184" t="s">
        <v>38</v>
      </c>
      <c r="L184">
        <v>3</v>
      </c>
      <c r="M184">
        <v>3</v>
      </c>
      <c r="N184">
        <v>3</v>
      </c>
      <c r="O184" t="s">
        <v>67</v>
      </c>
      <c r="P184" t="s">
        <v>40</v>
      </c>
      <c r="Q184" t="s">
        <v>153</v>
      </c>
      <c r="R184" t="s">
        <v>156</v>
      </c>
      <c r="S184" t="s">
        <v>53</v>
      </c>
      <c r="T184">
        <v>1</v>
      </c>
      <c r="U184">
        <v>2</v>
      </c>
      <c r="V184">
        <v>1</v>
      </c>
      <c r="W184" t="s">
        <v>112</v>
      </c>
      <c r="X184" t="s">
        <v>113</v>
      </c>
      <c r="Y184" t="s">
        <v>97</v>
      </c>
      <c r="AA184" t="s">
        <v>33</v>
      </c>
      <c r="AB184">
        <v>3</v>
      </c>
      <c r="AD184">
        <v>3</v>
      </c>
      <c r="AE184" t="s">
        <v>65</v>
      </c>
      <c r="AF184" t="s">
        <v>35</v>
      </c>
      <c r="AG184" t="s">
        <v>36</v>
      </c>
      <c r="AH184" t="s">
        <v>133</v>
      </c>
      <c r="AI184">
        <v>0</v>
      </c>
      <c r="AJ184">
        <v>30</v>
      </c>
    </row>
    <row r="185" spans="1:36" x14ac:dyDescent="0.25">
      <c r="A185" s="36" t="s">
        <v>1005</v>
      </c>
      <c r="B185">
        <v>42</v>
      </c>
      <c r="C185" t="s">
        <v>53</v>
      </c>
      <c r="D185">
        <v>1</v>
      </c>
      <c r="E185">
        <v>2</v>
      </c>
      <c r="F185">
        <v>1</v>
      </c>
      <c r="G185" t="s">
        <v>112</v>
      </c>
      <c r="H185" t="s">
        <v>113</v>
      </c>
      <c r="I185" t="s">
        <v>97</v>
      </c>
      <c r="J185" t="s">
        <v>116</v>
      </c>
      <c r="K185" t="s">
        <v>33</v>
      </c>
      <c r="L185">
        <v>2</v>
      </c>
      <c r="N185">
        <v>3</v>
      </c>
      <c r="O185" t="s">
        <v>65</v>
      </c>
      <c r="P185" t="s">
        <v>66</v>
      </c>
      <c r="Q185" t="s">
        <v>36</v>
      </c>
      <c r="S185" t="s">
        <v>45</v>
      </c>
      <c r="T185">
        <v>3</v>
      </c>
      <c r="V185">
        <v>1</v>
      </c>
      <c r="W185" t="s">
        <v>86</v>
      </c>
      <c r="X185" t="s">
        <v>141</v>
      </c>
      <c r="AA185" t="s">
        <v>63</v>
      </c>
      <c r="AB185">
        <v>2</v>
      </c>
      <c r="AD185">
        <v>1</v>
      </c>
      <c r="AE185" t="s">
        <v>103</v>
      </c>
      <c r="AF185" t="s">
        <v>95</v>
      </c>
      <c r="AG185" t="s">
        <v>147</v>
      </c>
      <c r="AH185" t="s">
        <v>151</v>
      </c>
      <c r="AI185">
        <v>0</v>
      </c>
      <c r="AJ185">
        <v>20</v>
      </c>
    </row>
    <row r="186" spans="1:36" x14ac:dyDescent="0.25">
      <c r="A186" s="36" t="s">
        <v>1006</v>
      </c>
      <c r="B186">
        <v>43</v>
      </c>
      <c r="C186" t="s">
        <v>45</v>
      </c>
      <c r="D186">
        <v>3</v>
      </c>
      <c r="F186">
        <v>1</v>
      </c>
      <c r="G186" t="s">
        <v>140</v>
      </c>
      <c r="H186" t="s">
        <v>141</v>
      </c>
      <c r="I186" t="s">
        <v>102</v>
      </c>
      <c r="K186" t="s">
        <v>38</v>
      </c>
      <c r="L186">
        <v>3</v>
      </c>
      <c r="M186">
        <v>1</v>
      </c>
      <c r="N186">
        <v>2</v>
      </c>
      <c r="O186" t="s">
        <v>152</v>
      </c>
      <c r="P186" t="s">
        <v>40</v>
      </c>
      <c r="Q186" t="s">
        <v>41</v>
      </c>
      <c r="S186" t="s">
        <v>53</v>
      </c>
      <c r="T186">
        <v>1</v>
      </c>
      <c r="U186">
        <v>1</v>
      </c>
      <c r="V186">
        <v>3</v>
      </c>
      <c r="W186" t="s">
        <v>112</v>
      </c>
      <c r="X186" t="s">
        <v>55</v>
      </c>
      <c r="Y186" t="s">
        <v>97</v>
      </c>
      <c r="AA186" t="s">
        <v>33</v>
      </c>
      <c r="AB186">
        <v>1</v>
      </c>
      <c r="AD186">
        <v>3</v>
      </c>
      <c r="AE186" t="s">
        <v>65</v>
      </c>
      <c r="AI186">
        <v>0</v>
      </c>
      <c r="AJ186">
        <v>19</v>
      </c>
    </row>
    <row r="187" spans="1:36" x14ac:dyDescent="0.25">
      <c r="A187" s="36" t="s">
        <v>1007</v>
      </c>
      <c r="B187">
        <v>45</v>
      </c>
      <c r="C187" t="s">
        <v>53</v>
      </c>
      <c r="D187">
        <v>3</v>
      </c>
      <c r="E187">
        <v>1</v>
      </c>
      <c r="F187">
        <v>1</v>
      </c>
      <c r="G187" t="s">
        <v>112</v>
      </c>
      <c r="H187" t="s">
        <v>83</v>
      </c>
      <c r="K187" t="s">
        <v>43</v>
      </c>
      <c r="L187">
        <v>3</v>
      </c>
      <c r="N187">
        <v>1</v>
      </c>
      <c r="O187" t="s">
        <v>44</v>
      </c>
      <c r="P187" t="s">
        <v>99</v>
      </c>
      <c r="Q187" t="s">
        <v>75</v>
      </c>
      <c r="S187" t="s">
        <v>56</v>
      </c>
      <c r="T187">
        <v>2</v>
      </c>
      <c r="V187">
        <v>1</v>
      </c>
      <c r="W187" t="s">
        <v>120</v>
      </c>
      <c r="X187" t="s">
        <v>121</v>
      </c>
      <c r="Y187" t="s">
        <v>123</v>
      </c>
      <c r="AA187" t="s">
        <v>48</v>
      </c>
      <c r="AB187">
        <v>1</v>
      </c>
      <c r="AD187">
        <v>1</v>
      </c>
      <c r="AE187" t="s">
        <v>126</v>
      </c>
      <c r="AF187" t="s">
        <v>84</v>
      </c>
      <c r="AI187">
        <v>0</v>
      </c>
      <c r="AJ187">
        <v>15</v>
      </c>
    </row>
    <row r="188" spans="1:36" x14ac:dyDescent="0.25">
      <c r="A188" s="36" t="s">
        <v>1008</v>
      </c>
      <c r="B188">
        <v>46</v>
      </c>
      <c r="C188" t="s">
        <v>53</v>
      </c>
      <c r="D188">
        <v>1</v>
      </c>
      <c r="E188">
        <v>1</v>
      </c>
      <c r="F188">
        <v>2</v>
      </c>
      <c r="G188" t="s">
        <v>112</v>
      </c>
      <c r="H188" t="s">
        <v>113</v>
      </c>
      <c r="I188" t="s">
        <v>114</v>
      </c>
      <c r="J188" t="s">
        <v>116</v>
      </c>
      <c r="K188" t="s">
        <v>43</v>
      </c>
      <c r="L188">
        <v>3</v>
      </c>
      <c r="N188">
        <v>1</v>
      </c>
      <c r="O188" t="s">
        <v>44</v>
      </c>
      <c r="P188" t="s">
        <v>136</v>
      </c>
      <c r="Q188" t="s">
        <v>137</v>
      </c>
      <c r="R188" t="s">
        <v>101</v>
      </c>
      <c r="S188" t="s">
        <v>56</v>
      </c>
      <c r="T188">
        <v>3</v>
      </c>
      <c r="V188">
        <v>2</v>
      </c>
      <c r="W188" t="s">
        <v>57</v>
      </c>
      <c r="X188" t="s">
        <v>121</v>
      </c>
      <c r="AA188" t="s">
        <v>33</v>
      </c>
      <c r="AB188">
        <v>1</v>
      </c>
      <c r="AD188">
        <v>1</v>
      </c>
      <c r="AE188" t="s">
        <v>65</v>
      </c>
      <c r="AF188" t="s">
        <v>130</v>
      </c>
      <c r="AG188" t="s">
        <v>131</v>
      </c>
      <c r="AH188" t="s">
        <v>134</v>
      </c>
      <c r="AI188">
        <v>0</v>
      </c>
      <c r="AJ188">
        <v>21</v>
      </c>
    </row>
    <row r="189" spans="1:36" x14ac:dyDescent="0.25">
      <c r="A189" s="36" t="s">
        <v>1009</v>
      </c>
      <c r="B189">
        <v>47</v>
      </c>
      <c r="C189" t="s">
        <v>56</v>
      </c>
      <c r="D189">
        <v>3</v>
      </c>
      <c r="F189">
        <v>2</v>
      </c>
      <c r="G189" t="s">
        <v>120</v>
      </c>
      <c r="H189" t="s">
        <v>121</v>
      </c>
      <c r="I189" t="s">
        <v>123</v>
      </c>
      <c r="K189" t="s">
        <v>45</v>
      </c>
      <c r="L189">
        <v>3</v>
      </c>
      <c r="N189">
        <v>1</v>
      </c>
      <c r="O189" t="s">
        <v>140</v>
      </c>
      <c r="S189" t="s">
        <v>53</v>
      </c>
      <c r="T189">
        <v>1</v>
      </c>
      <c r="U189">
        <v>3</v>
      </c>
      <c r="V189">
        <v>1</v>
      </c>
      <c r="W189" t="s">
        <v>112</v>
      </c>
      <c r="X189" t="s">
        <v>55</v>
      </c>
      <c r="Y189" t="s">
        <v>97</v>
      </c>
      <c r="Z189" t="s">
        <v>115</v>
      </c>
      <c r="AA189" t="s">
        <v>43</v>
      </c>
      <c r="AB189">
        <v>2</v>
      </c>
      <c r="AD189">
        <v>1</v>
      </c>
      <c r="AE189" t="s">
        <v>44</v>
      </c>
      <c r="AF189" t="s">
        <v>136</v>
      </c>
      <c r="AG189" t="s">
        <v>75</v>
      </c>
      <c r="AI189">
        <v>0</v>
      </c>
      <c r="AJ189">
        <v>19</v>
      </c>
    </row>
    <row r="190" spans="1:36" x14ac:dyDescent="0.25">
      <c r="A190" s="36" t="s">
        <v>1010</v>
      </c>
      <c r="B190">
        <v>48</v>
      </c>
      <c r="C190" t="s">
        <v>53</v>
      </c>
      <c r="D190">
        <v>3</v>
      </c>
      <c r="E190">
        <v>3</v>
      </c>
      <c r="F190">
        <v>3</v>
      </c>
      <c r="G190" t="s">
        <v>112</v>
      </c>
      <c r="H190" t="s">
        <v>113</v>
      </c>
      <c r="I190" t="s">
        <v>114</v>
      </c>
      <c r="J190" t="s">
        <v>116</v>
      </c>
      <c r="K190" t="s">
        <v>43</v>
      </c>
      <c r="L190">
        <v>3</v>
      </c>
      <c r="N190">
        <v>3</v>
      </c>
      <c r="O190" t="s">
        <v>44</v>
      </c>
      <c r="P190" t="s">
        <v>99</v>
      </c>
      <c r="Q190" t="s">
        <v>75</v>
      </c>
      <c r="R190" t="s">
        <v>139</v>
      </c>
      <c r="S190" t="s">
        <v>56</v>
      </c>
      <c r="T190">
        <v>3</v>
      </c>
      <c r="V190">
        <v>3</v>
      </c>
      <c r="W190" t="s">
        <v>120</v>
      </c>
      <c r="X190" t="s">
        <v>121</v>
      </c>
      <c r="Y190" t="s">
        <v>123</v>
      </c>
      <c r="Z190" t="s">
        <v>124</v>
      </c>
      <c r="AA190" t="s">
        <v>63</v>
      </c>
      <c r="AB190">
        <v>1</v>
      </c>
      <c r="AD190">
        <v>1</v>
      </c>
      <c r="AE190" t="s">
        <v>72</v>
      </c>
      <c r="AF190" t="s">
        <v>146</v>
      </c>
      <c r="AG190" t="s">
        <v>148</v>
      </c>
      <c r="AI190">
        <v>0</v>
      </c>
      <c r="AJ190">
        <v>38</v>
      </c>
    </row>
    <row r="191" spans="1:36" x14ac:dyDescent="0.25">
      <c r="A191" s="36" t="s">
        <v>1011</v>
      </c>
      <c r="B191">
        <v>50</v>
      </c>
      <c r="C191" t="s">
        <v>48</v>
      </c>
      <c r="D191">
        <v>1</v>
      </c>
      <c r="F191">
        <v>2</v>
      </c>
      <c r="G191" t="s">
        <v>126</v>
      </c>
      <c r="H191" t="s">
        <v>84</v>
      </c>
      <c r="I191" t="s">
        <v>127</v>
      </c>
      <c r="J191" t="s">
        <v>129</v>
      </c>
      <c r="K191" t="s">
        <v>33</v>
      </c>
      <c r="L191">
        <v>3</v>
      </c>
      <c r="N191">
        <v>3</v>
      </c>
      <c r="O191" t="s">
        <v>65</v>
      </c>
      <c r="P191" t="s">
        <v>130</v>
      </c>
      <c r="Q191" t="s">
        <v>36</v>
      </c>
      <c r="R191" t="s">
        <v>133</v>
      </c>
      <c r="S191" t="s">
        <v>53</v>
      </c>
      <c r="T191">
        <v>1</v>
      </c>
      <c r="U191">
        <v>1</v>
      </c>
      <c r="V191">
        <v>2</v>
      </c>
      <c r="W191" t="s">
        <v>112</v>
      </c>
      <c r="X191" t="s">
        <v>113</v>
      </c>
      <c r="AA191" t="s">
        <v>43</v>
      </c>
      <c r="AB191">
        <v>3</v>
      </c>
      <c r="AD191">
        <v>3</v>
      </c>
      <c r="AE191" t="s">
        <v>44</v>
      </c>
      <c r="AF191" t="s">
        <v>136</v>
      </c>
      <c r="AG191" t="s">
        <v>137</v>
      </c>
      <c r="AI191">
        <v>0</v>
      </c>
      <c r="AJ191">
        <v>23</v>
      </c>
    </row>
    <row r="192" spans="1:36" x14ac:dyDescent="0.25">
      <c r="A192" s="36" t="s">
        <v>1012</v>
      </c>
      <c r="B192">
        <v>51</v>
      </c>
      <c r="C192" t="s">
        <v>53</v>
      </c>
      <c r="D192">
        <v>1</v>
      </c>
      <c r="E192">
        <v>3</v>
      </c>
      <c r="F192">
        <v>3</v>
      </c>
      <c r="G192" t="s">
        <v>112</v>
      </c>
      <c r="K192" t="s">
        <v>43</v>
      </c>
      <c r="L192">
        <v>3</v>
      </c>
      <c r="N192">
        <v>3</v>
      </c>
      <c r="O192" t="s">
        <v>44</v>
      </c>
      <c r="P192" t="s">
        <v>136</v>
      </c>
      <c r="Q192" t="s">
        <v>100</v>
      </c>
      <c r="R192" t="s">
        <v>138</v>
      </c>
      <c r="S192" t="s">
        <v>48</v>
      </c>
      <c r="T192">
        <v>1</v>
      </c>
      <c r="V192">
        <v>2</v>
      </c>
      <c r="W192" t="s">
        <v>49</v>
      </c>
      <c r="AA192" t="s">
        <v>45</v>
      </c>
      <c r="AB192">
        <v>3</v>
      </c>
      <c r="AD192">
        <v>3</v>
      </c>
      <c r="AE192" t="s">
        <v>86</v>
      </c>
      <c r="AF192" t="s">
        <v>76</v>
      </c>
      <c r="AG192" t="s">
        <v>102</v>
      </c>
      <c r="AH192" t="s">
        <v>143</v>
      </c>
      <c r="AI192">
        <v>0</v>
      </c>
      <c r="AJ192">
        <v>27</v>
      </c>
    </row>
    <row r="193" spans="1:36" x14ac:dyDescent="0.25">
      <c r="A193" s="36" t="s">
        <v>1013</v>
      </c>
      <c r="B193">
        <v>2</v>
      </c>
      <c r="C193" t="s">
        <v>53</v>
      </c>
      <c r="D193">
        <v>2</v>
      </c>
      <c r="E193">
        <v>1</v>
      </c>
      <c r="F193">
        <v>2</v>
      </c>
      <c r="G193" t="s">
        <v>112</v>
      </c>
      <c r="H193" t="s">
        <v>55</v>
      </c>
      <c r="I193" t="s">
        <v>105</v>
      </c>
      <c r="K193" t="s">
        <v>56</v>
      </c>
      <c r="L193">
        <v>3</v>
      </c>
      <c r="N193">
        <v>2</v>
      </c>
      <c r="O193" t="s">
        <v>120</v>
      </c>
      <c r="S193" t="s">
        <v>48</v>
      </c>
      <c r="T193">
        <v>2</v>
      </c>
      <c r="V193">
        <v>1</v>
      </c>
      <c r="W193" t="s">
        <v>49</v>
      </c>
      <c r="X193" t="s">
        <v>84</v>
      </c>
      <c r="Y193" t="s">
        <v>127</v>
      </c>
      <c r="AA193" t="s">
        <v>45</v>
      </c>
      <c r="AB193">
        <v>3</v>
      </c>
      <c r="AD193">
        <v>1</v>
      </c>
      <c r="AE193" t="s">
        <v>140</v>
      </c>
      <c r="AF193" t="s">
        <v>92</v>
      </c>
      <c r="AG193" t="s">
        <v>102</v>
      </c>
      <c r="AI193">
        <v>0</v>
      </c>
      <c r="AJ193">
        <v>18</v>
      </c>
    </row>
    <row r="194" spans="1:36" x14ac:dyDescent="0.25">
      <c r="A194" s="36" t="s">
        <v>1014</v>
      </c>
      <c r="B194">
        <v>3</v>
      </c>
      <c r="C194" t="s">
        <v>48</v>
      </c>
      <c r="D194">
        <v>1</v>
      </c>
      <c r="F194">
        <v>1</v>
      </c>
      <c r="G194" t="s">
        <v>49</v>
      </c>
      <c r="H194" t="s">
        <v>50</v>
      </c>
      <c r="I194" t="s">
        <v>127</v>
      </c>
      <c r="J194" t="s">
        <v>129</v>
      </c>
      <c r="K194" t="s">
        <v>63</v>
      </c>
      <c r="L194">
        <v>2</v>
      </c>
      <c r="N194">
        <v>2</v>
      </c>
      <c r="O194" t="s">
        <v>103</v>
      </c>
      <c r="P194" t="s">
        <v>95</v>
      </c>
      <c r="Q194" t="s">
        <v>104</v>
      </c>
      <c r="R194" t="s">
        <v>151</v>
      </c>
      <c r="S194" t="s">
        <v>53</v>
      </c>
      <c r="T194">
        <v>1</v>
      </c>
      <c r="U194">
        <v>1</v>
      </c>
      <c r="V194">
        <v>1</v>
      </c>
      <c r="W194" t="s">
        <v>111</v>
      </c>
      <c r="X194" t="s">
        <v>83</v>
      </c>
      <c r="Y194" t="s">
        <v>97</v>
      </c>
      <c r="AA194" t="s">
        <v>56</v>
      </c>
      <c r="AB194">
        <v>3</v>
      </c>
      <c r="AD194">
        <v>2</v>
      </c>
      <c r="AE194" t="s">
        <v>57</v>
      </c>
      <c r="AF194" t="s">
        <v>69</v>
      </c>
      <c r="AG194" t="s">
        <v>85</v>
      </c>
      <c r="AH194" t="s">
        <v>124</v>
      </c>
      <c r="AI194">
        <v>0</v>
      </c>
      <c r="AJ194">
        <v>21</v>
      </c>
    </row>
    <row r="195" spans="1:36" x14ac:dyDescent="0.25">
      <c r="A195" s="36" t="s">
        <v>1015</v>
      </c>
      <c r="B195">
        <v>4</v>
      </c>
      <c r="C195" t="s">
        <v>53</v>
      </c>
      <c r="D195">
        <v>2</v>
      </c>
      <c r="E195">
        <v>1</v>
      </c>
      <c r="F195">
        <v>2</v>
      </c>
      <c r="G195" t="s">
        <v>112</v>
      </c>
      <c r="H195" t="s">
        <v>55</v>
      </c>
      <c r="I195" t="s">
        <v>114</v>
      </c>
      <c r="J195" t="s">
        <v>115</v>
      </c>
      <c r="K195" t="s">
        <v>56</v>
      </c>
      <c r="L195">
        <v>3</v>
      </c>
      <c r="N195">
        <v>2</v>
      </c>
      <c r="O195" t="s">
        <v>120</v>
      </c>
      <c r="P195" t="s">
        <v>69</v>
      </c>
      <c r="S195" t="s">
        <v>48</v>
      </c>
      <c r="T195">
        <v>1</v>
      </c>
      <c r="V195">
        <v>1</v>
      </c>
      <c r="W195" t="s">
        <v>49</v>
      </c>
      <c r="X195" t="s">
        <v>71</v>
      </c>
      <c r="Y195" t="s">
        <v>127</v>
      </c>
      <c r="Z195" t="s">
        <v>129</v>
      </c>
      <c r="AA195" t="s">
        <v>38</v>
      </c>
      <c r="AB195">
        <v>3</v>
      </c>
      <c r="AC195">
        <v>1</v>
      </c>
      <c r="AD195">
        <v>2</v>
      </c>
      <c r="AE195" t="s">
        <v>152</v>
      </c>
      <c r="AF195" t="s">
        <v>40</v>
      </c>
      <c r="AI195">
        <v>0</v>
      </c>
      <c r="AJ195">
        <v>22</v>
      </c>
    </row>
    <row r="196" spans="1:36" x14ac:dyDescent="0.25">
      <c r="A196" s="36" t="s">
        <v>1016</v>
      </c>
      <c r="B196">
        <v>7</v>
      </c>
      <c r="C196" t="s">
        <v>33</v>
      </c>
      <c r="D196">
        <v>1</v>
      </c>
      <c r="F196">
        <v>2</v>
      </c>
      <c r="G196" t="s">
        <v>65</v>
      </c>
      <c r="H196" t="s">
        <v>130</v>
      </c>
      <c r="I196" t="s">
        <v>36</v>
      </c>
      <c r="J196" t="s">
        <v>134</v>
      </c>
      <c r="K196" t="s">
        <v>63</v>
      </c>
      <c r="L196">
        <v>1</v>
      </c>
      <c r="N196">
        <v>1</v>
      </c>
      <c r="O196" t="s">
        <v>103</v>
      </c>
      <c r="P196" t="s">
        <v>95</v>
      </c>
      <c r="Q196" t="s">
        <v>148</v>
      </c>
      <c r="S196" t="s">
        <v>53</v>
      </c>
      <c r="T196">
        <v>2</v>
      </c>
      <c r="U196">
        <v>1</v>
      </c>
      <c r="V196">
        <v>2</v>
      </c>
      <c r="W196" t="s">
        <v>112</v>
      </c>
      <c r="X196" t="s">
        <v>113</v>
      </c>
      <c r="AA196" t="s">
        <v>56</v>
      </c>
      <c r="AB196">
        <v>3</v>
      </c>
      <c r="AD196">
        <v>1</v>
      </c>
      <c r="AE196" t="s">
        <v>120</v>
      </c>
      <c r="AF196" t="s">
        <v>69</v>
      </c>
      <c r="AG196" t="s">
        <v>87</v>
      </c>
      <c r="AI196">
        <v>0</v>
      </c>
      <c r="AJ196">
        <v>18</v>
      </c>
    </row>
    <row r="197" spans="1:36" x14ac:dyDescent="0.25">
      <c r="A197" s="36" t="s">
        <v>1017</v>
      </c>
      <c r="B197">
        <v>8</v>
      </c>
      <c r="C197" t="s">
        <v>33</v>
      </c>
      <c r="D197">
        <v>2</v>
      </c>
      <c r="F197">
        <v>1</v>
      </c>
      <c r="G197" t="s">
        <v>65</v>
      </c>
      <c r="H197" t="s">
        <v>130</v>
      </c>
      <c r="I197" t="s">
        <v>36</v>
      </c>
      <c r="J197" t="s">
        <v>134</v>
      </c>
      <c r="K197" t="s">
        <v>38</v>
      </c>
      <c r="L197">
        <v>3</v>
      </c>
      <c r="M197">
        <v>1</v>
      </c>
      <c r="N197">
        <v>2</v>
      </c>
      <c r="O197" t="s">
        <v>152</v>
      </c>
      <c r="P197" t="s">
        <v>40</v>
      </c>
      <c r="S197" t="s">
        <v>53</v>
      </c>
      <c r="T197">
        <v>2</v>
      </c>
      <c r="U197">
        <v>1</v>
      </c>
      <c r="V197">
        <v>1</v>
      </c>
      <c r="W197" t="s">
        <v>112</v>
      </c>
      <c r="X197" t="s">
        <v>83</v>
      </c>
      <c r="Y197" t="s">
        <v>105</v>
      </c>
      <c r="AA197" t="s">
        <v>56</v>
      </c>
      <c r="AB197">
        <v>3</v>
      </c>
      <c r="AD197">
        <v>1</v>
      </c>
      <c r="AE197" t="s">
        <v>120</v>
      </c>
      <c r="AI197">
        <v>0</v>
      </c>
      <c r="AJ197">
        <v>17</v>
      </c>
    </row>
    <row r="198" spans="1:36" x14ac:dyDescent="0.25">
      <c r="A198" s="36" t="s">
        <v>1018</v>
      </c>
      <c r="B198">
        <v>9</v>
      </c>
      <c r="C198" t="s">
        <v>43</v>
      </c>
      <c r="D198">
        <v>2</v>
      </c>
      <c r="F198">
        <v>1</v>
      </c>
      <c r="G198" t="s">
        <v>73</v>
      </c>
      <c r="H198" t="s">
        <v>99</v>
      </c>
      <c r="I198" t="s">
        <v>75</v>
      </c>
      <c r="K198" t="s">
        <v>45</v>
      </c>
      <c r="L198">
        <v>3</v>
      </c>
      <c r="N198">
        <v>2</v>
      </c>
      <c r="O198" t="s">
        <v>140</v>
      </c>
      <c r="P198" t="s">
        <v>76</v>
      </c>
      <c r="Q198" t="s">
        <v>102</v>
      </c>
      <c r="R198" t="s">
        <v>94</v>
      </c>
      <c r="S198" t="s">
        <v>53</v>
      </c>
      <c r="T198">
        <v>2</v>
      </c>
      <c r="U198">
        <v>3</v>
      </c>
      <c r="V198">
        <v>1</v>
      </c>
      <c r="W198" t="s">
        <v>112</v>
      </c>
      <c r="X198" t="s">
        <v>55</v>
      </c>
      <c r="Y198" t="s">
        <v>97</v>
      </c>
      <c r="AA198" t="s">
        <v>56</v>
      </c>
      <c r="AB198">
        <v>2</v>
      </c>
      <c r="AD198">
        <v>2</v>
      </c>
      <c r="AE198" t="s">
        <v>120</v>
      </c>
      <c r="AF198" t="s">
        <v>121</v>
      </c>
      <c r="AG198" t="s">
        <v>87</v>
      </c>
      <c r="AI198">
        <v>0</v>
      </c>
      <c r="AJ198">
        <v>22</v>
      </c>
    </row>
    <row r="199" spans="1:36" x14ac:dyDescent="0.25">
      <c r="A199" s="36" t="s">
        <v>1019</v>
      </c>
      <c r="B199">
        <v>12</v>
      </c>
      <c r="C199" t="s">
        <v>53</v>
      </c>
      <c r="D199">
        <v>3</v>
      </c>
      <c r="E199">
        <v>3</v>
      </c>
      <c r="F199">
        <v>3</v>
      </c>
      <c r="G199" t="s">
        <v>112</v>
      </c>
      <c r="H199" t="s">
        <v>55</v>
      </c>
      <c r="I199" t="s">
        <v>114</v>
      </c>
      <c r="J199" t="s">
        <v>116</v>
      </c>
      <c r="K199" t="s">
        <v>56</v>
      </c>
      <c r="L199">
        <v>3</v>
      </c>
      <c r="N199">
        <v>2</v>
      </c>
      <c r="O199" t="s">
        <v>68</v>
      </c>
      <c r="P199" t="s">
        <v>121</v>
      </c>
      <c r="S199" t="s">
        <v>45</v>
      </c>
      <c r="T199">
        <v>3</v>
      </c>
      <c r="V199">
        <v>3</v>
      </c>
      <c r="W199" t="s">
        <v>86</v>
      </c>
      <c r="X199" t="s">
        <v>76</v>
      </c>
      <c r="Y199" t="s">
        <v>93</v>
      </c>
      <c r="Z199" t="s">
        <v>143</v>
      </c>
      <c r="AA199" t="s">
        <v>63</v>
      </c>
      <c r="AB199">
        <v>1</v>
      </c>
      <c r="AD199">
        <v>1</v>
      </c>
      <c r="AE199" t="s">
        <v>103</v>
      </c>
      <c r="AF199" t="s">
        <v>95</v>
      </c>
      <c r="AI199">
        <v>0</v>
      </c>
      <c r="AJ199">
        <v>27</v>
      </c>
    </row>
    <row r="200" spans="1:36" x14ac:dyDescent="0.25">
      <c r="A200" s="36" t="s">
        <v>1020</v>
      </c>
      <c r="B200">
        <v>13</v>
      </c>
      <c r="C200" t="s">
        <v>53</v>
      </c>
      <c r="D200">
        <v>2</v>
      </c>
      <c r="E200">
        <v>3</v>
      </c>
      <c r="F200">
        <v>3</v>
      </c>
      <c r="G200" t="s">
        <v>112</v>
      </c>
      <c r="H200" t="s">
        <v>55</v>
      </c>
      <c r="I200" t="s">
        <v>97</v>
      </c>
      <c r="J200" t="s">
        <v>116</v>
      </c>
      <c r="K200" t="s">
        <v>56</v>
      </c>
      <c r="L200">
        <v>2</v>
      </c>
      <c r="N200">
        <v>3</v>
      </c>
      <c r="O200" t="s">
        <v>68</v>
      </c>
      <c r="P200" t="s">
        <v>122</v>
      </c>
      <c r="Q200" t="s">
        <v>87</v>
      </c>
      <c r="R200" t="s">
        <v>125</v>
      </c>
      <c r="S200" t="s">
        <v>45</v>
      </c>
      <c r="T200">
        <v>3</v>
      </c>
      <c r="V200">
        <v>3</v>
      </c>
      <c r="W200" t="s">
        <v>86</v>
      </c>
      <c r="X200" t="s">
        <v>92</v>
      </c>
      <c r="Y200" t="s">
        <v>93</v>
      </c>
      <c r="Z200" t="s">
        <v>94</v>
      </c>
      <c r="AA200" t="s">
        <v>38</v>
      </c>
      <c r="AB200">
        <v>3</v>
      </c>
      <c r="AC200">
        <v>3</v>
      </c>
      <c r="AD200">
        <v>1</v>
      </c>
      <c r="AE200" t="s">
        <v>152</v>
      </c>
      <c r="AI200">
        <v>0</v>
      </c>
      <c r="AJ200">
        <v>30</v>
      </c>
    </row>
    <row r="201" spans="1:36" x14ac:dyDescent="0.25">
      <c r="A201" s="36" t="s">
        <v>1021</v>
      </c>
      <c r="B201">
        <v>14</v>
      </c>
      <c r="C201" t="s">
        <v>53</v>
      </c>
      <c r="D201">
        <v>2</v>
      </c>
      <c r="E201">
        <v>1</v>
      </c>
      <c r="F201">
        <v>1</v>
      </c>
      <c r="G201" t="s">
        <v>111</v>
      </c>
      <c r="H201" t="s">
        <v>83</v>
      </c>
      <c r="I201" t="s">
        <v>105</v>
      </c>
      <c r="J201" t="s">
        <v>116</v>
      </c>
      <c r="K201" t="s">
        <v>56</v>
      </c>
      <c r="L201">
        <v>2</v>
      </c>
      <c r="N201">
        <v>2</v>
      </c>
      <c r="O201" t="s">
        <v>57</v>
      </c>
      <c r="P201" t="s">
        <v>122</v>
      </c>
      <c r="S201" t="s">
        <v>63</v>
      </c>
      <c r="T201">
        <v>1</v>
      </c>
      <c r="V201">
        <v>1</v>
      </c>
      <c r="W201" t="s">
        <v>103</v>
      </c>
      <c r="X201" t="s">
        <v>95</v>
      </c>
      <c r="Y201" t="s">
        <v>147</v>
      </c>
      <c r="AA201" t="s">
        <v>38</v>
      </c>
      <c r="AB201">
        <v>2</v>
      </c>
      <c r="AC201">
        <v>1</v>
      </c>
      <c r="AD201">
        <v>1</v>
      </c>
      <c r="AE201" t="s">
        <v>152</v>
      </c>
      <c r="AF201" t="s">
        <v>96</v>
      </c>
      <c r="AG201" t="s">
        <v>154</v>
      </c>
      <c r="AH201" t="s">
        <v>155</v>
      </c>
      <c r="AI201">
        <v>0</v>
      </c>
      <c r="AJ201">
        <v>18</v>
      </c>
    </row>
    <row r="202" spans="1:36" x14ac:dyDescent="0.25">
      <c r="A202" s="36" t="s">
        <v>1022</v>
      </c>
      <c r="B202">
        <v>15</v>
      </c>
      <c r="C202" t="s">
        <v>56</v>
      </c>
      <c r="D202">
        <v>2</v>
      </c>
      <c r="F202">
        <v>1</v>
      </c>
      <c r="G202" t="s">
        <v>120</v>
      </c>
      <c r="H202" t="s">
        <v>122</v>
      </c>
      <c r="I202" t="s">
        <v>87</v>
      </c>
      <c r="J202" t="s">
        <v>124</v>
      </c>
      <c r="K202" t="s">
        <v>33</v>
      </c>
      <c r="L202">
        <v>1</v>
      </c>
      <c r="N202">
        <v>2</v>
      </c>
      <c r="O202" t="s">
        <v>65</v>
      </c>
      <c r="P202" t="s">
        <v>130</v>
      </c>
      <c r="Q202" t="s">
        <v>36</v>
      </c>
      <c r="R202" t="s">
        <v>134</v>
      </c>
      <c r="S202" t="s">
        <v>53</v>
      </c>
      <c r="T202">
        <v>3</v>
      </c>
      <c r="U202">
        <v>1</v>
      </c>
      <c r="V202">
        <v>1</v>
      </c>
      <c r="W202" t="s">
        <v>112</v>
      </c>
      <c r="X202" t="s">
        <v>83</v>
      </c>
      <c r="Y202" t="s">
        <v>97</v>
      </c>
      <c r="AA202" t="s">
        <v>48</v>
      </c>
      <c r="AB202">
        <v>1</v>
      </c>
      <c r="AD202">
        <v>1</v>
      </c>
      <c r="AE202" t="s">
        <v>126</v>
      </c>
      <c r="AF202" t="s">
        <v>50</v>
      </c>
      <c r="AG202" t="s">
        <v>51</v>
      </c>
      <c r="AI202">
        <v>0</v>
      </c>
      <c r="AJ202">
        <v>19</v>
      </c>
    </row>
    <row r="203" spans="1:36" x14ac:dyDescent="0.25">
      <c r="A203" s="36" t="s">
        <v>1023</v>
      </c>
      <c r="B203">
        <v>20</v>
      </c>
      <c r="C203" t="s">
        <v>33</v>
      </c>
      <c r="D203">
        <v>2</v>
      </c>
      <c r="F203">
        <v>1</v>
      </c>
      <c r="G203" t="s">
        <v>65</v>
      </c>
      <c r="H203" t="s">
        <v>130</v>
      </c>
      <c r="I203" t="s">
        <v>36</v>
      </c>
      <c r="J203" t="s">
        <v>133</v>
      </c>
      <c r="K203" t="s">
        <v>43</v>
      </c>
      <c r="L203">
        <v>2</v>
      </c>
      <c r="N203">
        <v>1</v>
      </c>
      <c r="O203" t="s">
        <v>135</v>
      </c>
      <c r="P203" t="s">
        <v>74</v>
      </c>
      <c r="Q203" t="s">
        <v>137</v>
      </c>
      <c r="R203" t="s">
        <v>101</v>
      </c>
      <c r="S203" t="s">
        <v>53</v>
      </c>
      <c r="T203">
        <v>1</v>
      </c>
      <c r="U203">
        <v>1</v>
      </c>
      <c r="V203">
        <v>1</v>
      </c>
      <c r="W203" t="s">
        <v>112</v>
      </c>
      <c r="X203" t="s">
        <v>83</v>
      </c>
      <c r="Y203" t="s">
        <v>114</v>
      </c>
      <c r="AA203" t="s">
        <v>48</v>
      </c>
      <c r="AB203">
        <v>2</v>
      </c>
      <c r="AD203">
        <v>1</v>
      </c>
      <c r="AE203" t="s">
        <v>126</v>
      </c>
      <c r="AF203" t="s">
        <v>50</v>
      </c>
      <c r="AG203" t="s">
        <v>127</v>
      </c>
      <c r="AH203" t="s">
        <v>129</v>
      </c>
      <c r="AI203">
        <v>0</v>
      </c>
      <c r="AJ203">
        <v>20</v>
      </c>
    </row>
    <row r="204" spans="1:36" x14ac:dyDescent="0.25">
      <c r="A204" s="36" t="s">
        <v>1024</v>
      </c>
      <c r="B204">
        <v>21</v>
      </c>
      <c r="C204" t="s">
        <v>33</v>
      </c>
      <c r="D204">
        <v>3</v>
      </c>
      <c r="F204">
        <v>1</v>
      </c>
      <c r="G204" t="s">
        <v>65</v>
      </c>
      <c r="H204" t="s">
        <v>130</v>
      </c>
      <c r="I204" t="s">
        <v>36</v>
      </c>
      <c r="J204" t="s">
        <v>134</v>
      </c>
      <c r="K204" t="s">
        <v>45</v>
      </c>
      <c r="L204">
        <v>3</v>
      </c>
      <c r="N204">
        <v>1</v>
      </c>
      <c r="O204" t="s">
        <v>140</v>
      </c>
      <c r="P204" t="s">
        <v>76</v>
      </c>
      <c r="Q204" t="s">
        <v>102</v>
      </c>
      <c r="R204" t="s">
        <v>143</v>
      </c>
      <c r="S204" t="s">
        <v>53</v>
      </c>
      <c r="T204">
        <v>1</v>
      </c>
      <c r="U204">
        <v>1</v>
      </c>
      <c r="V204">
        <v>3</v>
      </c>
      <c r="W204" t="s">
        <v>112</v>
      </c>
      <c r="X204" t="s">
        <v>83</v>
      </c>
      <c r="Y204" t="s">
        <v>97</v>
      </c>
      <c r="AA204" t="s">
        <v>48</v>
      </c>
      <c r="AB204">
        <v>1</v>
      </c>
      <c r="AD204">
        <v>2</v>
      </c>
      <c r="AE204" t="s">
        <v>126</v>
      </c>
      <c r="AF204" t="s">
        <v>84</v>
      </c>
      <c r="AI204">
        <v>0</v>
      </c>
      <c r="AJ204">
        <v>20</v>
      </c>
    </row>
    <row r="205" spans="1:36" x14ac:dyDescent="0.25">
      <c r="A205" s="36" t="s">
        <v>1025</v>
      </c>
      <c r="B205">
        <v>28</v>
      </c>
      <c r="C205" t="s">
        <v>53</v>
      </c>
      <c r="D205">
        <v>2</v>
      </c>
      <c r="E205">
        <v>2</v>
      </c>
      <c r="F205">
        <v>1</v>
      </c>
      <c r="G205" t="s">
        <v>111</v>
      </c>
      <c r="H205" t="s">
        <v>83</v>
      </c>
      <c r="I205" t="s">
        <v>97</v>
      </c>
      <c r="J205" t="s">
        <v>116</v>
      </c>
      <c r="K205" t="s">
        <v>48</v>
      </c>
      <c r="L205">
        <v>2</v>
      </c>
      <c r="N205">
        <v>1</v>
      </c>
      <c r="O205" t="s">
        <v>89</v>
      </c>
      <c r="P205" t="s">
        <v>50</v>
      </c>
      <c r="Q205" t="s">
        <v>127</v>
      </c>
      <c r="R205" t="s">
        <v>128</v>
      </c>
      <c r="S205" t="s">
        <v>45</v>
      </c>
      <c r="T205">
        <v>3</v>
      </c>
      <c r="V205">
        <v>2</v>
      </c>
      <c r="W205" t="s">
        <v>86</v>
      </c>
      <c r="X205" t="s">
        <v>92</v>
      </c>
      <c r="AA205" t="s">
        <v>38</v>
      </c>
      <c r="AB205">
        <v>3</v>
      </c>
      <c r="AC205">
        <v>1</v>
      </c>
      <c r="AD205">
        <v>2</v>
      </c>
      <c r="AE205" t="s">
        <v>39</v>
      </c>
      <c r="AF205" t="s">
        <v>96</v>
      </c>
      <c r="AG205" t="s">
        <v>41</v>
      </c>
      <c r="AI205">
        <v>0</v>
      </c>
      <c r="AJ205">
        <v>23</v>
      </c>
    </row>
    <row r="206" spans="1:36" x14ac:dyDescent="0.25">
      <c r="A206" s="36" t="s">
        <v>1026</v>
      </c>
      <c r="B206">
        <v>29</v>
      </c>
      <c r="C206" t="s">
        <v>63</v>
      </c>
      <c r="D206">
        <v>3</v>
      </c>
      <c r="F206">
        <v>3</v>
      </c>
      <c r="G206" t="s">
        <v>103</v>
      </c>
      <c r="H206" t="s">
        <v>95</v>
      </c>
      <c r="I206" t="s">
        <v>104</v>
      </c>
      <c r="J206" t="s">
        <v>151</v>
      </c>
      <c r="K206" t="s">
        <v>38</v>
      </c>
      <c r="L206">
        <v>3</v>
      </c>
      <c r="M206">
        <v>3</v>
      </c>
      <c r="N206">
        <v>2</v>
      </c>
      <c r="O206" t="s">
        <v>39</v>
      </c>
      <c r="P206" t="s">
        <v>40</v>
      </c>
      <c r="Q206" t="s">
        <v>153</v>
      </c>
      <c r="R206" t="s">
        <v>156</v>
      </c>
      <c r="S206" t="s">
        <v>53</v>
      </c>
      <c r="T206">
        <v>1</v>
      </c>
      <c r="U206">
        <v>1</v>
      </c>
      <c r="V206">
        <v>1</v>
      </c>
      <c r="W206" t="s">
        <v>111</v>
      </c>
      <c r="X206" t="s">
        <v>83</v>
      </c>
      <c r="Y206" t="s">
        <v>105</v>
      </c>
      <c r="AA206" t="s">
        <v>48</v>
      </c>
      <c r="AB206">
        <v>3</v>
      </c>
      <c r="AD206">
        <v>3</v>
      </c>
      <c r="AE206" t="s">
        <v>89</v>
      </c>
      <c r="AF206" t="s">
        <v>50</v>
      </c>
      <c r="AG206" t="s">
        <v>127</v>
      </c>
      <c r="AH206" t="s">
        <v>52</v>
      </c>
      <c r="AI206">
        <v>0</v>
      </c>
      <c r="AJ206">
        <v>31</v>
      </c>
    </row>
    <row r="207" spans="1:36" x14ac:dyDescent="0.25">
      <c r="A207" s="36" t="s">
        <v>1027</v>
      </c>
      <c r="B207">
        <v>30</v>
      </c>
      <c r="C207" t="s">
        <v>53</v>
      </c>
      <c r="D207">
        <v>2</v>
      </c>
      <c r="E207">
        <v>1</v>
      </c>
      <c r="F207">
        <v>1</v>
      </c>
      <c r="G207" t="s">
        <v>112</v>
      </c>
      <c r="H207" t="s">
        <v>55</v>
      </c>
      <c r="I207" t="s">
        <v>97</v>
      </c>
      <c r="K207" t="s">
        <v>33</v>
      </c>
      <c r="L207">
        <v>2</v>
      </c>
      <c r="N207">
        <v>3</v>
      </c>
      <c r="O207" t="s">
        <v>65</v>
      </c>
      <c r="P207" t="s">
        <v>130</v>
      </c>
      <c r="Q207" t="s">
        <v>36</v>
      </c>
      <c r="R207" t="s">
        <v>133</v>
      </c>
      <c r="S207" t="s">
        <v>56</v>
      </c>
      <c r="T207">
        <v>3</v>
      </c>
      <c r="V207">
        <v>2</v>
      </c>
      <c r="W207" t="s">
        <v>120</v>
      </c>
      <c r="X207" t="s">
        <v>69</v>
      </c>
      <c r="Y207" t="s">
        <v>87</v>
      </c>
      <c r="Z207" t="s">
        <v>124</v>
      </c>
      <c r="AA207" t="s">
        <v>48</v>
      </c>
      <c r="AB207">
        <v>1</v>
      </c>
      <c r="AD207">
        <v>1</v>
      </c>
      <c r="AE207" t="s">
        <v>126</v>
      </c>
      <c r="AF207" t="s">
        <v>71</v>
      </c>
      <c r="AG207" t="s">
        <v>127</v>
      </c>
      <c r="AI207">
        <v>0</v>
      </c>
      <c r="AJ207">
        <v>22</v>
      </c>
    </row>
    <row r="208" spans="1:36" x14ac:dyDescent="0.25">
      <c r="A208" s="36" t="s">
        <v>1028</v>
      </c>
      <c r="B208">
        <v>32</v>
      </c>
      <c r="C208" t="s">
        <v>56</v>
      </c>
      <c r="D208">
        <v>1</v>
      </c>
      <c r="F208">
        <v>1</v>
      </c>
      <c r="G208" t="s">
        <v>120</v>
      </c>
      <c r="H208" t="s">
        <v>121</v>
      </c>
      <c r="I208" t="s">
        <v>123</v>
      </c>
      <c r="J208" t="s">
        <v>124</v>
      </c>
      <c r="K208" t="s">
        <v>45</v>
      </c>
      <c r="L208">
        <v>3</v>
      </c>
      <c r="N208">
        <v>1</v>
      </c>
      <c r="O208" t="s">
        <v>86</v>
      </c>
      <c r="P208" t="s">
        <v>141</v>
      </c>
      <c r="Q208" t="s">
        <v>93</v>
      </c>
      <c r="S208" t="s">
        <v>53</v>
      </c>
      <c r="T208">
        <v>1</v>
      </c>
      <c r="U208">
        <v>1</v>
      </c>
      <c r="V208">
        <v>3</v>
      </c>
      <c r="W208" t="s">
        <v>112</v>
      </c>
      <c r="X208" t="s">
        <v>55</v>
      </c>
      <c r="AA208" t="s">
        <v>33</v>
      </c>
      <c r="AB208">
        <v>1</v>
      </c>
      <c r="AD208">
        <v>3</v>
      </c>
      <c r="AE208" t="s">
        <v>65</v>
      </c>
      <c r="AI208">
        <v>0</v>
      </c>
      <c r="AJ208">
        <v>16</v>
      </c>
    </row>
    <row r="209" spans="1:36" x14ac:dyDescent="0.25">
      <c r="A209" s="36" t="s">
        <v>1029</v>
      </c>
      <c r="B209">
        <v>34</v>
      </c>
      <c r="C209" t="s">
        <v>56</v>
      </c>
      <c r="D209">
        <v>3</v>
      </c>
      <c r="F209">
        <v>1</v>
      </c>
      <c r="G209" t="s">
        <v>120</v>
      </c>
      <c r="H209" t="s">
        <v>121</v>
      </c>
      <c r="I209" t="s">
        <v>123</v>
      </c>
      <c r="K209" t="s">
        <v>38</v>
      </c>
      <c r="L209">
        <v>3</v>
      </c>
      <c r="M209">
        <v>1</v>
      </c>
      <c r="N209">
        <v>2</v>
      </c>
      <c r="O209" t="s">
        <v>67</v>
      </c>
      <c r="P209" t="s">
        <v>96</v>
      </c>
      <c r="Q209" t="s">
        <v>41</v>
      </c>
      <c r="R209" t="s">
        <v>42</v>
      </c>
      <c r="S209" t="s">
        <v>53</v>
      </c>
      <c r="T209">
        <v>3</v>
      </c>
      <c r="U209">
        <v>2</v>
      </c>
      <c r="V209">
        <v>1</v>
      </c>
      <c r="W209" t="s">
        <v>112</v>
      </c>
      <c r="X209" t="s">
        <v>83</v>
      </c>
      <c r="Y209" t="s">
        <v>105</v>
      </c>
      <c r="AA209" t="s">
        <v>33</v>
      </c>
      <c r="AB209">
        <v>1</v>
      </c>
      <c r="AD209">
        <v>2</v>
      </c>
      <c r="AE209" t="s">
        <v>65</v>
      </c>
      <c r="AI209">
        <v>0</v>
      </c>
      <c r="AJ209">
        <v>20</v>
      </c>
    </row>
    <row r="210" spans="1:36" x14ac:dyDescent="0.25">
      <c r="A210" s="36" t="s">
        <v>1030</v>
      </c>
      <c r="B210">
        <v>35</v>
      </c>
      <c r="C210" t="s">
        <v>53</v>
      </c>
      <c r="D210">
        <v>1</v>
      </c>
      <c r="E210">
        <v>1</v>
      </c>
      <c r="F210">
        <v>2</v>
      </c>
      <c r="G210" t="s">
        <v>112</v>
      </c>
      <c r="H210" t="s">
        <v>113</v>
      </c>
      <c r="I210" t="s">
        <v>114</v>
      </c>
      <c r="J210" t="s">
        <v>115</v>
      </c>
      <c r="K210" t="s">
        <v>33</v>
      </c>
      <c r="L210">
        <v>3</v>
      </c>
      <c r="N210">
        <v>3</v>
      </c>
      <c r="O210" t="s">
        <v>34</v>
      </c>
      <c r="S210" t="s">
        <v>48</v>
      </c>
      <c r="T210">
        <v>2</v>
      </c>
      <c r="V210">
        <v>1</v>
      </c>
      <c r="W210" t="s">
        <v>49</v>
      </c>
      <c r="X210" t="s">
        <v>50</v>
      </c>
      <c r="Y210" t="s">
        <v>127</v>
      </c>
      <c r="AA210" t="s">
        <v>43</v>
      </c>
      <c r="AB210">
        <v>2</v>
      </c>
      <c r="AD210">
        <v>1</v>
      </c>
      <c r="AE210" t="s">
        <v>44</v>
      </c>
      <c r="AF210" t="s">
        <v>136</v>
      </c>
      <c r="AI210">
        <v>0</v>
      </c>
      <c r="AJ210">
        <v>17</v>
      </c>
    </row>
    <row r="211" spans="1:36" x14ac:dyDescent="0.25">
      <c r="A211" s="36" t="s">
        <v>1031</v>
      </c>
      <c r="B211">
        <v>36</v>
      </c>
      <c r="C211" t="s">
        <v>48</v>
      </c>
      <c r="D211">
        <v>3</v>
      </c>
      <c r="F211">
        <v>2</v>
      </c>
      <c r="G211" t="s">
        <v>49</v>
      </c>
      <c r="H211" t="s">
        <v>71</v>
      </c>
      <c r="I211" t="s">
        <v>51</v>
      </c>
      <c r="J211" t="s">
        <v>129</v>
      </c>
      <c r="K211" t="s">
        <v>45</v>
      </c>
      <c r="L211">
        <v>3</v>
      </c>
      <c r="N211">
        <v>2</v>
      </c>
      <c r="O211" t="s">
        <v>140</v>
      </c>
      <c r="P211" t="s">
        <v>76</v>
      </c>
      <c r="Q211" t="s">
        <v>93</v>
      </c>
      <c r="R211" t="s">
        <v>94</v>
      </c>
      <c r="S211" t="s">
        <v>53</v>
      </c>
      <c r="T211">
        <v>2</v>
      </c>
      <c r="U211">
        <v>1</v>
      </c>
      <c r="V211">
        <v>3</v>
      </c>
      <c r="W211" t="s">
        <v>112</v>
      </c>
      <c r="X211" t="s">
        <v>55</v>
      </c>
      <c r="Y211" t="s">
        <v>97</v>
      </c>
      <c r="Z211" t="s">
        <v>98</v>
      </c>
      <c r="AA211" t="s">
        <v>33</v>
      </c>
      <c r="AB211">
        <v>2</v>
      </c>
      <c r="AD211">
        <v>1</v>
      </c>
      <c r="AE211" t="s">
        <v>65</v>
      </c>
      <c r="AI211">
        <v>0</v>
      </c>
      <c r="AJ211">
        <v>23</v>
      </c>
    </row>
  </sheetData>
  <conditionalFormatting sqref="B1:B1048576">
    <cfRule type="duplicateValues" dxfId="1" priority="1"/>
  </conditionalFormatting>
  <conditionalFormatting sqref="A2:B211">
    <cfRule type="duplicateValues" dxfId="0" priority="1007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O26" sqref="O2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3" s="3">
        <f>IF(ScenarioTeams5[[#This Row],[battles]],ScenarioTeams5[[#This Row],[wins]]/ScenarioTeams5[[#This Row],[battles]],0)</f>
        <v>0.4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4" s="3">
        <f>IF(ScenarioTeams5[[#This Row],[battles]],ScenarioTeams5[[#This Row],[wins]]/ScenarioTeams5[[#This Row],[battles]],0)</f>
        <v>0.53333333333333333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5" s="3">
        <f>IF(ScenarioTeams5[[#This Row],[battles]],ScenarioTeams5[[#This Row],[wins]]/ScenarioTeams5[[#This Row],[battles]],0)</f>
        <v>0.46666666666666667</v>
      </c>
      <c r="O5" s="4" t="s">
        <v>158</v>
      </c>
      <c r="P5" s="30">
        <f>MIN(Scenario5[turns])</f>
        <v>10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6" s="3">
        <f>IF(ScenarioTeams5[[#This Row],[battles]],ScenarioTeams5[[#This Row],[wins]]/ScenarioTeams5[[#This Row],[battles]],0)</f>
        <v>0.8</v>
      </c>
      <c r="O6" s="5" t="s">
        <v>108</v>
      </c>
      <c r="P6" s="31">
        <f>AVERAGE(Scenario5[turns])</f>
        <v>20.228571428571428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7" s="3">
        <f>IF(ScenarioTeams5[[#This Row],[battles]],ScenarioTeams5[[#This Row],[wins]]/ScenarioTeams5[[#This Row],[battles]],0)</f>
        <v>0.8</v>
      </c>
      <c r="O7" s="5" t="s">
        <v>160</v>
      </c>
      <c r="P7" s="31">
        <f>MAX(Scenario5[turns])</f>
        <v>58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8" s="3">
        <f>IF(ScenarioTeams5[[#This Row],[battles]],ScenarioTeams5[[#This Row],[wins]]/ScenarioTeams5[[#This Row],[battles]],0)</f>
        <v>0.6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9" s="3">
        <f>IF(ScenarioTeams5[[#This Row],[battles]],ScenarioTeams5[[#This Row],[wins]]/ScenarioTeams5[[#This Row],[battles]],0)</f>
        <v>0.53333333333333333</v>
      </c>
      <c r="O9" s="4" t="s">
        <v>185</v>
      </c>
      <c r="P9" s="30">
        <f>120000*$P$6/1000/60</f>
        <v>40.457142857142863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10" s="3">
        <f>IF(ScenarioTeams5[[#This Row],[battles]],ScenarioTeams5[[#This Row],[wins]]/ScenarioTeams5[[#This Row],[battles]],0)</f>
        <v>0.4</v>
      </c>
      <c r="O10" s="5" t="s">
        <v>186</v>
      </c>
      <c r="P10" s="31">
        <f>P9*COUNTA(ScenarioStat5[hero-1])/60/24</f>
        <v>5.9000000000000012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1" s="3">
        <f>IF(ScenarioTeams5[[#This Row],[battles]],ScenarioTeams5[[#This Row],[wins]]/ScenarioTeams5[[#This Row],[battles]],0)</f>
        <v>0.53333333333333333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12" s="3">
        <f>IF(ScenarioTeams5[[#This Row],[battles]],ScenarioTeams5[[#This Row],[wins]]/ScenarioTeams5[[#This Row],[battles]],0)</f>
        <v>0.46666666666666667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3" s="3">
        <f>IF(ScenarioTeams5[[#This Row],[battles]],ScenarioTeams5[[#This Row],[wins]]/ScenarioTeams5[[#This Row],[battles]],0)</f>
        <v>0.6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4" s="3">
        <f>IF(ScenarioTeams5[[#This Row],[battles]],ScenarioTeams5[[#This Row],[wins]]/ScenarioTeams5[[#This Row],[battles]],0)</f>
        <v>0.53333333333333333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5" s="3">
        <f>IF(ScenarioTeams5[[#This Row],[battles]],ScenarioTeams5[[#This Row],[wins]]/ScenarioTeams5[[#This Row],[battles]],0)</f>
        <v>0.53333333333333333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6" s="3">
        <f>IF(ScenarioTeams5[[#This Row],[battles]],ScenarioTeams5[[#This Row],[wins]]/ScenarioTeams5[[#This Row],[battles]],0)</f>
        <v>0.26666666666666666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17" s="3">
        <f>IF(ScenarioTeams5[[#This Row],[battles]],ScenarioTeams5[[#This Row],[wins]]/ScenarioTeams5[[#This Row],[battles]],0)</f>
        <v>0.4</v>
      </c>
    </row>
    <row r="18" spans="1:13" x14ac:dyDescent="0.25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18" s="3">
        <f>IF(ScenarioTeams5[[#This Row],[battles]],ScenarioTeams5[[#This Row],[wins]]/ScenarioTeams5[[#This Row],[battles]],0)</f>
        <v>0.46666666666666667</v>
      </c>
    </row>
    <row r="19" spans="1:13" x14ac:dyDescent="0.25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9" s="3">
        <f>IF(ScenarioTeams5[[#This Row],[battles]],ScenarioTeams5[[#This Row],[wins]]/ScenarioTeams5[[#This Row],[battles]],0)</f>
        <v>0.53333333333333333</v>
      </c>
    </row>
    <row r="20" spans="1:13" x14ac:dyDescent="0.25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0" s="3">
        <f>IF(ScenarioTeams5[[#This Row],[battles]],ScenarioTeams5[[#This Row],[wins]]/ScenarioTeams5[[#This Row],[battles]],0)</f>
        <v>0.46666666666666667</v>
      </c>
    </row>
    <row r="21" spans="1:13" x14ac:dyDescent="0.25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1" s="3">
        <f>IF(ScenarioTeams5[[#This Row],[battles]],ScenarioTeams5[[#This Row],[wins]]/ScenarioTeams5[[#This Row],[battles]],0)</f>
        <v>0.33333333333333331</v>
      </c>
    </row>
    <row r="22" spans="1:13" x14ac:dyDescent="0.25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2" s="3">
        <f>IF(ScenarioTeams5[[#This Row],[battles]],ScenarioTeams5[[#This Row],[wins]]/ScenarioTeams5[[#This Row],[battles]],0)</f>
        <v>0.6</v>
      </c>
    </row>
    <row r="23" spans="1:13" x14ac:dyDescent="0.25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3" s="3">
        <f>IF(ScenarioTeams5[[#This Row],[battles]],ScenarioTeams5[[#This Row],[wins]]/ScenarioTeams5[[#This Row],[battles]],0)</f>
        <v>0.6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24" s="3">
        <f>IF(ScenarioTeams5[[#This Row],[battles]],ScenarioTeams5[[#This Row],[wins]]/ScenarioTeams5[[#This Row],[battles]],0)</f>
        <v>0.26666666666666666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5" s="3">
        <f>IF(ScenarioTeams5[[#This Row],[battles]],ScenarioTeams5[[#This Row],[wins]]/ScenarioTeams5[[#This Row],[battles]],0)</f>
        <v>0.53333333333333333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6" s="3">
        <f>IF(ScenarioTeams5[[#This Row],[battles]],ScenarioTeams5[[#This Row],[wins]]/ScenarioTeams5[[#This Row],[battles]],0)</f>
        <v>0.4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7" s="3">
        <f>IF(ScenarioTeams5[[#This Row],[battles]],ScenarioTeams5[[#This Row],[wins]]/ScenarioTeams5[[#This Row],[battles]],0)</f>
        <v>0.53333333333333333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8" s="3">
        <f>IF(ScenarioTeams5[[#This Row],[battles]],ScenarioTeams5[[#This Row],[wins]]/ScenarioTeams5[[#This Row],[battles]],0)</f>
        <v>0.4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9" s="3">
        <f>IF(ScenarioTeams5[[#This Row],[battles]],ScenarioTeams5[[#This Row],[wins]]/ScenarioTeams5[[#This Row],[battles]],0)</f>
        <v>0.4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30" s="3">
        <f>IF(ScenarioTeams5[[#This Row],[battles]],ScenarioTeams5[[#This Row],[wins]]/ScenarioTeams5[[#This Row],[battles]],0)</f>
        <v>0.6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">
        <f>ScenarioStat5[[#This Row],[team-1-win]]+ScenarioStat5[[#This Row],[team-2-win]]</f>
        <v>1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2">
        <f>ScenarioStat5[[#This Row],[team-1-win]]+ScenarioStat5[[#This Row],[team-2-win]]</f>
        <v>1</v>
      </c>
    </row>
    <row r="33" spans="1:7" x14ac:dyDescent="0.25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1</v>
      </c>
    </row>
    <row r="34" spans="1:7" x14ac:dyDescent="0.25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">
        <f>ScenarioStat5[[#This Row],[team-1-win]]+ScenarioStat5[[#This Row],[team-2-win]]</f>
        <v>1</v>
      </c>
    </row>
    <row r="35" spans="1:7" x14ac:dyDescent="0.25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">
        <f>ScenarioStat5[[#This Row],[team-1-win]]+ScenarioStat5[[#This Row],[team-2-win]]</f>
        <v>1</v>
      </c>
    </row>
    <row r="36" spans="1:7" x14ac:dyDescent="0.25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">
        <f>ScenarioStat5[[#This Row],[team-1-win]]+ScenarioStat5[[#This Row],[team-2-win]]</f>
        <v>1</v>
      </c>
    </row>
    <row r="37" spans="1:7" x14ac:dyDescent="0.25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7">
        <f>ScenarioStat5[[#This Row],[team-1-win]]+ScenarioStat5[[#This Row],[team-2-win]]</f>
        <v>1</v>
      </c>
    </row>
    <row r="38" spans="1:7" x14ac:dyDescent="0.25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1</v>
      </c>
    </row>
    <row r="39" spans="1:7" x14ac:dyDescent="0.25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9">
        <f>ScenarioStat5[[#This Row],[team-1-win]]+ScenarioStat5[[#This Row],[team-2-win]]</f>
        <v>1</v>
      </c>
    </row>
    <row r="40" spans="1:7" x14ac:dyDescent="0.25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0">
        <f>ScenarioStat5[[#This Row],[team-1-win]]+ScenarioStat5[[#This Row],[team-2-win]]</f>
        <v>1</v>
      </c>
    </row>
    <row r="41" spans="1:7" x14ac:dyDescent="0.25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1</v>
      </c>
    </row>
    <row r="42" spans="1:7" x14ac:dyDescent="0.25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2">
        <f>ScenarioStat5[[#This Row],[team-1-win]]+ScenarioStat5[[#This Row],[team-2-win]]</f>
        <v>1</v>
      </c>
    </row>
    <row r="43" spans="1:7" x14ac:dyDescent="0.25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3">
        <f>ScenarioStat5[[#This Row],[team-1-win]]+ScenarioStat5[[#This Row],[team-2-win]]</f>
        <v>1</v>
      </c>
    </row>
    <row r="44" spans="1:7" x14ac:dyDescent="0.25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4">
        <f>ScenarioStat5[[#This Row],[team-1-win]]+ScenarioStat5[[#This Row],[team-2-win]]</f>
        <v>1</v>
      </c>
    </row>
    <row r="45" spans="1:7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5">
        <f>ScenarioStat5[[#This Row],[team-1-win]]+ScenarioStat5[[#This Row],[team-2-win]]</f>
        <v>1</v>
      </c>
    </row>
    <row r="46" spans="1:7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6">
        <f>ScenarioStat5[[#This Row],[team-1-win]]+ScenarioStat5[[#This Row],[team-2-win]]</f>
        <v>1</v>
      </c>
    </row>
    <row r="47" spans="1:7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7">
        <f>ScenarioStat5[[#This Row],[team-1-win]]+ScenarioStat5[[#This Row],[team-2-win]]</f>
        <v>1</v>
      </c>
    </row>
    <row r="48" spans="1:7" x14ac:dyDescent="0.25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8">
        <f>ScenarioStat5[[#This Row],[team-1-win]]+ScenarioStat5[[#This Row],[team-2-win]]</f>
        <v>1</v>
      </c>
    </row>
    <row r="49" spans="1:7" x14ac:dyDescent="0.25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9">
        <f>ScenarioStat5[[#This Row],[team-1-win]]+ScenarioStat5[[#This Row],[team-2-win]]</f>
        <v>1</v>
      </c>
    </row>
    <row r="50" spans="1:7" x14ac:dyDescent="0.25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0">
        <f>ScenarioStat5[[#This Row],[team-1-win]]+ScenarioStat5[[#This Row],[team-2-win]]</f>
        <v>1</v>
      </c>
    </row>
    <row r="51" spans="1:7" x14ac:dyDescent="0.25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1</v>
      </c>
    </row>
    <row r="52" spans="1:7" x14ac:dyDescent="0.25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2">
        <f>ScenarioStat5[[#This Row],[team-1-win]]+ScenarioStat5[[#This Row],[team-2-win]]</f>
        <v>1</v>
      </c>
    </row>
    <row r="53" spans="1:7" x14ac:dyDescent="0.25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3">
        <f>ScenarioStat5[[#This Row],[team-1-win]]+ScenarioStat5[[#This Row],[team-2-win]]</f>
        <v>1</v>
      </c>
    </row>
    <row r="54" spans="1:7" x14ac:dyDescent="0.25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1</v>
      </c>
    </row>
    <row r="55" spans="1:7" x14ac:dyDescent="0.25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5">
        <f>ScenarioStat5[[#This Row],[team-1-win]]+ScenarioStat5[[#This Row],[team-2-win]]</f>
        <v>1</v>
      </c>
    </row>
    <row r="56" spans="1:7" x14ac:dyDescent="0.25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6">
        <f>ScenarioStat5[[#This Row],[team-1-win]]+ScenarioStat5[[#This Row],[team-2-win]]</f>
        <v>1</v>
      </c>
    </row>
    <row r="57" spans="1:7" x14ac:dyDescent="0.25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7">
        <f>ScenarioStat5[[#This Row],[team-1-win]]+ScenarioStat5[[#This Row],[team-2-win]]</f>
        <v>1</v>
      </c>
    </row>
    <row r="58" spans="1:7" x14ac:dyDescent="0.25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1</v>
      </c>
    </row>
    <row r="59" spans="1:7" x14ac:dyDescent="0.25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1</v>
      </c>
    </row>
    <row r="60" spans="1:7" x14ac:dyDescent="0.25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0">
        <f>ScenarioStat5[[#This Row],[team-1-win]]+ScenarioStat5[[#This Row],[team-2-win]]</f>
        <v>1</v>
      </c>
    </row>
    <row r="61" spans="1:7" x14ac:dyDescent="0.25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1">
        <f>ScenarioStat5[[#This Row],[team-1-win]]+ScenarioStat5[[#This Row],[team-2-win]]</f>
        <v>1</v>
      </c>
    </row>
    <row r="62" spans="1:7" x14ac:dyDescent="0.25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2">
        <f>ScenarioStat5[[#This Row],[team-1-win]]+ScenarioStat5[[#This Row],[team-2-win]]</f>
        <v>1</v>
      </c>
    </row>
    <row r="63" spans="1:7" x14ac:dyDescent="0.25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3">
        <f>ScenarioStat5[[#This Row],[team-1-win]]+ScenarioStat5[[#This Row],[team-2-win]]</f>
        <v>1</v>
      </c>
    </row>
    <row r="64" spans="1:7" x14ac:dyDescent="0.25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4">
        <f>ScenarioStat5[[#This Row],[team-1-win]]+ScenarioStat5[[#This Row],[team-2-win]]</f>
        <v>1</v>
      </c>
    </row>
    <row r="65" spans="1:7" x14ac:dyDescent="0.25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1</v>
      </c>
    </row>
    <row r="66" spans="1:7" x14ac:dyDescent="0.25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6">
        <f>ScenarioStat5[[#This Row],[team-1-win]]+ScenarioStat5[[#This Row],[team-2-win]]</f>
        <v>1</v>
      </c>
    </row>
    <row r="67" spans="1:7" x14ac:dyDescent="0.25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7">
        <f>ScenarioStat5[[#This Row],[team-1-win]]+ScenarioStat5[[#This Row],[team-2-win]]</f>
        <v>1</v>
      </c>
    </row>
    <row r="68" spans="1:7" x14ac:dyDescent="0.25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1</v>
      </c>
    </row>
    <row r="69" spans="1:7" x14ac:dyDescent="0.25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1</v>
      </c>
    </row>
    <row r="70" spans="1:7" x14ac:dyDescent="0.25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25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1">
        <f>ScenarioStat5[[#This Row],[team-1-win]]+ScenarioStat5[[#This Row],[team-2-win]]</f>
        <v>1</v>
      </c>
    </row>
    <row r="72" spans="1:7" x14ac:dyDescent="0.25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1</v>
      </c>
    </row>
    <row r="73" spans="1:7" x14ac:dyDescent="0.25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3">
        <f>ScenarioStat5[[#This Row],[team-1-win]]+ScenarioStat5[[#This Row],[team-2-win]]</f>
        <v>1</v>
      </c>
    </row>
    <row r="74" spans="1:7" x14ac:dyDescent="0.25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1</v>
      </c>
    </row>
    <row r="75" spans="1:7" x14ac:dyDescent="0.25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1</v>
      </c>
    </row>
    <row r="76" spans="1:7" x14ac:dyDescent="0.25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6">
        <f>ScenarioStat5[[#This Row],[team-1-win]]+ScenarioStat5[[#This Row],[team-2-win]]</f>
        <v>1</v>
      </c>
    </row>
    <row r="77" spans="1:7" x14ac:dyDescent="0.25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7">
        <f>ScenarioStat5[[#This Row],[team-1-win]]+ScenarioStat5[[#This Row],[team-2-win]]</f>
        <v>1</v>
      </c>
    </row>
    <row r="78" spans="1:7" x14ac:dyDescent="0.25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8">
        <f>ScenarioStat5[[#This Row],[team-1-win]]+ScenarioStat5[[#This Row],[team-2-win]]</f>
        <v>1</v>
      </c>
    </row>
    <row r="79" spans="1:7" x14ac:dyDescent="0.25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9">
        <f>ScenarioStat5[[#This Row],[team-1-win]]+ScenarioStat5[[#This Row],[team-2-win]]</f>
        <v>1</v>
      </c>
    </row>
    <row r="80" spans="1:7" x14ac:dyDescent="0.25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0">
        <f>ScenarioStat5[[#This Row],[team-1-win]]+ScenarioStat5[[#This Row],[team-2-win]]</f>
        <v>1</v>
      </c>
    </row>
    <row r="81" spans="1:7" x14ac:dyDescent="0.25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1">
        <f>ScenarioStat5[[#This Row],[team-1-win]]+ScenarioStat5[[#This Row],[team-2-win]]</f>
        <v>1</v>
      </c>
    </row>
    <row r="82" spans="1:7" x14ac:dyDescent="0.25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2">
        <f>ScenarioStat5[[#This Row],[team-1-win]]+ScenarioStat5[[#This Row],[team-2-win]]</f>
        <v>1</v>
      </c>
    </row>
    <row r="83" spans="1:7" x14ac:dyDescent="0.25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3">
        <f>ScenarioStat5[[#This Row],[team-1-win]]+ScenarioStat5[[#This Row],[team-2-win]]</f>
        <v>1</v>
      </c>
    </row>
    <row r="84" spans="1:7" x14ac:dyDescent="0.25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4">
        <f>ScenarioStat5[[#This Row],[team-1-win]]+ScenarioStat5[[#This Row],[team-2-win]]</f>
        <v>1</v>
      </c>
    </row>
    <row r="85" spans="1:7" x14ac:dyDescent="0.25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1</v>
      </c>
    </row>
    <row r="86" spans="1:7" x14ac:dyDescent="0.25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6">
        <f>ScenarioStat5[[#This Row],[team-1-win]]+ScenarioStat5[[#This Row],[team-2-win]]</f>
        <v>1</v>
      </c>
    </row>
    <row r="87" spans="1:7" x14ac:dyDescent="0.25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7">
        <f>ScenarioStat5[[#This Row],[team-1-win]]+ScenarioStat5[[#This Row],[team-2-win]]</f>
        <v>1</v>
      </c>
    </row>
    <row r="88" spans="1:7" x14ac:dyDescent="0.25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8">
        <f>ScenarioStat5[[#This Row],[team-1-win]]+ScenarioStat5[[#This Row],[team-2-win]]</f>
        <v>1</v>
      </c>
    </row>
    <row r="89" spans="1:7" x14ac:dyDescent="0.25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9">
        <f>ScenarioStat5[[#This Row],[team-1-win]]+ScenarioStat5[[#This Row],[team-2-win]]</f>
        <v>1</v>
      </c>
    </row>
    <row r="90" spans="1:7" x14ac:dyDescent="0.25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0">
        <f>ScenarioStat5[[#This Row],[team-1-win]]+ScenarioStat5[[#This Row],[team-2-win]]</f>
        <v>1</v>
      </c>
    </row>
    <row r="91" spans="1:7" x14ac:dyDescent="0.25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1">
        <f>ScenarioStat5[[#This Row],[team-1-win]]+ScenarioStat5[[#This Row],[team-2-win]]</f>
        <v>1</v>
      </c>
    </row>
    <row r="92" spans="1:7" x14ac:dyDescent="0.25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1</v>
      </c>
    </row>
    <row r="93" spans="1:7" x14ac:dyDescent="0.25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3">
        <f>ScenarioStat5[[#This Row],[team-1-win]]+ScenarioStat5[[#This Row],[team-2-win]]</f>
        <v>1</v>
      </c>
    </row>
    <row r="94" spans="1:7" x14ac:dyDescent="0.25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4">
        <f>ScenarioStat5[[#This Row],[team-1-win]]+ScenarioStat5[[#This Row],[team-2-win]]</f>
        <v>1</v>
      </c>
    </row>
    <row r="95" spans="1:7" x14ac:dyDescent="0.25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5">
        <f>ScenarioStat5[[#This Row],[team-1-win]]+ScenarioStat5[[#This Row],[team-2-win]]</f>
        <v>1</v>
      </c>
    </row>
    <row r="96" spans="1:7" x14ac:dyDescent="0.25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6">
        <f>ScenarioStat5[[#This Row],[team-1-win]]+ScenarioStat5[[#This Row],[team-2-win]]</f>
        <v>1</v>
      </c>
    </row>
    <row r="97" spans="1:7" x14ac:dyDescent="0.25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7">
        <f>ScenarioStat5[[#This Row],[team-1-win]]+ScenarioStat5[[#This Row],[team-2-win]]</f>
        <v>1</v>
      </c>
    </row>
    <row r="98" spans="1:7" x14ac:dyDescent="0.25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8">
        <f>ScenarioStat5[[#This Row],[team-1-win]]+ScenarioStat5[[#This Row],[team-2-win]]</f>
        <v>1</v>
      </c>
    </row>
    <row r="99" spans="1:7" x14ac:dyDescent="0.25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9">
        <f>ScenarioStat5[[#This Row],[team-1-win]]+ScenarioStat5[[#This Row],[team-2-win]]</f>
        <v>1</v>
      </c>
    </row>
    <row r="100" spans="1:7" x14ac:dyDescent="0.25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1</v>
      </c>
    </row>
    <row r="101" spans="1:7" x14ac:dyDescent="0.25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1">
        <f>ScenarioStat5[[#This Row],[team-1-win]]+ScenarioStat5[[#This Row],[team-2-win]]</f>
        <v>1</v>
      </c>
    </row>
    <row r="102" spans="1:7" x14ac:dyDescent="0.25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2">
        <f>ScenarioStat5[[#This Row],[team-1-win]]+ScenarioStat5[[#This Row],[team-2-win]]</f>
        <v>1</v>
      </c>
    </row>
    <row r="103" spans="1:7" x14ac:dyDescent="0.25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3">
        <f>ScenarioStat5[[#This Row],[team-1-win]]+ScenarioStat5[[#This Row],[team-2-win]]</f>
        <v>1</v>
      </c>
    </row>
    <row r="104" spans="1:7" x14ac:dyDescent="0.25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4">
        <f>ScenarioStat5[[#This Row],[team-1-win]]+ScenarioStat5[[#This Row],[team-2-win]]</f>
        <v>1</v>
      </c>
    </row>
    <row r="105" spans="1:7" x14ac:dyDescent="0.25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5">
        <f>ScenarioStat5[[#This Row],[team-1-win]]+ScenarioStat5[[#This Row],[team-2-win]]</f>
        <v>1</v>
      </c>
    </row>
    <row r="106" spans="1:7" x14ac:dyDescent="0.25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1</v>
      </c>
    </row>
    <row r="107" spans="1:7" x14ac:dyDescent="0.25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7">
        <f>ScenarioStat5[[#This Row],[team-1-win]]+ScenarioStat5[[#This Row],[team-2-win]]</f>
        <v>1</v>
      </c>
    </row>
    <row r="108" spans="1:7" x14ac:dyDescent="0.25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25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9">
        <f>ScenarioStat5[[#This Row],[team-1-win]]+ScenarioStat5[[#This Row],[team-2-win]]</f>
        <v>1</v>
      </c>
    </row>
    <row r="110" spans="1:7" x14ac:dyDescent="0.25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0">
        <f>ScenarioStat5[[#This Row],[team-1-win]]+ScenarioStat5[[#This Row],[team-2-win]]</f>
        <v>1</v>
      </c>
    </row>
    <row r="111" spans="1:7" x14ac:dyDescent="0.25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1">
        <f>ScenarioStat5[[#This Row],[team-1-win]]+ScenarioStat5[[#This Row],[team-2-win]]</f>
        <v>1</v>
      </c>
    </row>
    <row r="112" spans="1:7" x14ac:dyDescent="0.25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2">
        <f>ScenarioStat5[[#This Row],[team-1-win]]+ScenarioStat5[[#This Row],[team-2-win]]</f>
        <v>1</v>
      </c>
    </row>
    <row r="113" spans="1:7" x14ac:dyDescent="0.25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3">
        <f>ScenarioStat5[[#This Row],[team-1-win]]+ScenarioStat5[[#This Row],[team-2-win]]</f>
        <v>1</v>
      </c>
    </row>
    <row r="114" spans="1:7" x14ac:dyDescent="0.25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1</v>
      </c>
    </row>
    <row r="115" spans="1:7" x14ac:dyDescent="0.25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5">
        <f>ScenarioStat5[[#This Row],[team-1-win]]+ScenarioStat5[[#This Row],[team-2-win]]</f>
        <v>1</v>
      </c>
    </row>
    <row r="116" spans="1:7" x14ac:dyDescent="0.25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1</v>
      </c>
    </row>
    <row r="117" spans="1:7" x14ac:dyDescent="0.25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7">
        <f>ScenarioStat5[[#This Row],[team-1-win]]+ScenarioStat5[[#This Row],[team-2-win]]</f>
        <v>1</v>
      </c>
    </row>
    <row r="118" spans="1:7" x14ac:dyDescent="0.25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8">
        <f>ScenarioStat5[[#This Row],[team-1-win]]+ScenarioStat5[[#This Row],[team-2-win]]</f>
        <v>1</v>
      </c>
    </row>
    <row r="119" spans="1:7" x14ac:dyDescent="0.25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9">
        <f>ScenarioStat5[[#This Row],[team-1-win]]+ScenarioStat5[[#This Row],[team-2-win]]</f>
        <v>1</v>
      </c>
    </row>
    <row r="120" spans="1:7" x14ac:dyDescent="0.25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0">
        <f>ScenarioStat5[[#This Row],[team-1-win]]+ScenarioStat5[[#This Row],[team-2-win]]</f>
        <v>1</v>
      </c>
    </row>
    <row r="121" spans="1:7" x14ac:dyDescent="0.25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1">
        <f>ScenarioStat5[[#This Row],[team-1-win]]+ScenarioStat5[[#This Row],[team-2-win]]</f>
        <v>1</v>
      </c>
    </row>
    <row r="122" spans="1:7" x14ac:dyDescent="0.25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2">
        <f>ScenarioStat5[[#This Row],[team-1-win]]+ScenarioStat5[[#This Row],[team-2-win]]</f>
        <v>1</v>
      </c>
    </row>
    <row r="123" spans="1:7" x14ac:dyDescent="0.25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3">
        <f>ScenarioStat5[[#This Row],[team-1-win]]+ScenarioStat5[[#This Row],[team-2-win]]</f>
        <v>1</v>
      </c>
    </row>
    <row r="124" spans="1:7" x14ac:dyDescent="0.25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4">
        <f>ScenarioStat5[[#This Row],[team-1-win]]+ScenarioStat5[[#This Row],[team-2-win]]</f>
        <v>1</v>
      </c>
    </row>
    <row r="125" spans="1:7" x14ac:dyDescent="0.25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5">
        <f>ScenarioStat5[[#This Row],[team-1-win]]+ScenarioStat5[[#This Row],[team-2-win]]</f>
        <v>1</v>
      </c>
    </row>
    <row r="126" spans="1:7" x14ac:dyDescent="0.25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6">
        <f>ScenarioStat5[[#This Row],[team-1-win]]+ScenarioStat5[[#This Row],[team-2-win]]</f>
        <v>1</v>
      </c>
    </row>
    <row r="127" spans="1:7" x14ac:dyDescent="0.25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7">
        <f>ScenarioStat5[[#This Row],[team-1-win]]+ScenarioStat5[[#This Row],[team-2-win]]</f>
        <v>1</v>
      </c>
    </row>
    <row r="128" spans="1:7" x14ac:dyDescent="0.25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1</v>
      </c>
    </row>
    <row r="129" spans="1:7" x14ac:dyDescent="0.25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9">
        <f>ScenarioStat5[[#This Row],[team-1-win]]+ScenarioStat5[[#This Row],[team-2-win]]</f>
        <v>1</v>
      </c>
    </row>
    <row r="130" spans="1:7" x14ac:dyDescent="0.25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0">
        <f>ScenarioStat5[[#This Row],[team-1-win]]+ScenarioStat5[[#This Row],[team-2-win]]</f>
        <v>1</v>
      </c>
    </row>
    <row r="131" spans="1:7" x14ac:dyDescent="0.25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1">
        <f>ScenarioStat5[[#This Row],[team-1-win]]+ScenarioStat5[[#This Row],[team-2-win]]</f>
        <v>1</v>
      </c>
    </row>
    <row r="132" spans="1:7" x14ac:dyDescent="0.25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2">
        <f>ScenarioStat5[[#This Row],[team-1-win]]+ScenarioStat5[[#This Row],[team-2-win]]</f>
        <v>1</v>
      </c>
    </row>
    <row r="133" spans="1:7" x14ac:dyDescent="0.25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3">
        <f>ScenarioStat5[[#This Row],[team-1-win]]+ScenarioStat5[[#This Row],[team-2-win]]</f>
        <v>1</v>
      </c>
    </row>
    <row r="134" spans="1:7" x14ac:dyDescent="0.25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4">
        <f>ScenarioStat5[[#This Row],[team-1-win]]+ScenarioStat5[[#This Row],[team-2-win]]</f>
        <v>1</v>
      </c>
    </row>
    <row r="135" spans="1:7" x14ac:dyDescent="0.25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5">
        <f>ScenarioStat5[[#This Row],[team-1-win]]+ScenarioStat5[[#This Row],[team-2-win]]</f>
        <v>1</v>
      </c>
    </row>
    <row r="136" spans="1:7" x14ac:dyDescent="0.25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25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1</v>
      </c>
    </row>
    <row r="138" spans="1:7" x14ac:dyDescent="0.25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1</v>
      </c>
    </row>
    <row r="139" spans="1:7" x14ac:dyDescent="0.25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1</v>
      </c>
    </row>
    <row r="140" spans="1:7" x14ac:dyDescent="0.25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0">
        <f>ScenarioStat5[[#This Row],[team-1-win]]+ScenarioStat5[[#This Row],[team-2-win]]</f>
        <v>1</v>
      </c>
    </row>
    <row r="141" spans="1:7" x14ac:dyDescent="0.25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1">
        <f>ScenarioStat5[[#This Row],[team-1-win]]+ScenarioStat5[[#This Row],[team-2-win]]</f>
        <v>1</v>
      </c>
    </row>
    <row r="142" spans="1:7" x14ac:dyDescent="0.25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1</v>
      </c>
    </row>
    <row r="143" spans="1:7" x14ac:dyDescent="0.25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1</v>
      </c>
    </row>
    <row r="144" spans="1:7" x14ac:dyDescent="0.25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4">
        <f>ScenarioStat5[[#This Row],[team-1-win]]+ScenarioStat5[[#This Row],[team-2-win]]</f>
        <v>1</v>
      </c>
    </row>
    <row r="145" spans="1:7" x14ac:dyDescent="0.25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5">
        <f>ScenarioStat5[[#This Row],[team-1-win]]+ScenarioStat5[[#This Row],[team-2-win]]</f>
        <v>1</v>
      </c>
    </row>
    <row r="146" spans="1:7" x14ac:dyDescent="0.25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6">
        <f>ScenarioStat5[[#This Row],[team-1-win]]+ScenarioStat5[[#This Row],[team-2-win]]</f>
        <v>1</v>
      </c>
    </row>
    <row r="147" spans="1:7" x14ac:dyDescent="0.25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7">
        <f>ScenarioStat5[[#This Row],[team-1-win]]+ScenarioStat5[[#This Row],[team-2-win]]</f>
        <v>1</v>
      </c>
    </row>
    <row r="148" spans="1:7" x14ac:dyDescent="0.25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8">
        <f>ScenarioStat5[[#This Row],[team-1-win]]+ScenarioStat5[[#This Row],[team-2-win]]</f>
        <v>1</v>
      </c>
    </row>
    <row r="149" spans="1:7" x14ac:dyDescent="0.25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9">
        <f>ScenarioStat5[[#This Row],[team-1-win]]+ScenarioStat5[[#This Row],[team-2-win]]</f>
        <v>1</v>
      </c>
    </row>
    <row r="150" spans="1:7" x14ac:dyDescent="0.25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25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1">
        <f>ScenarioStat5[[#This Row],[team-1-win]]+ScenarioStat5[[#This Row],[team-2-win]]</f>
        <v>1</v>
      </c>
    </row>
    <row r="152" spans="1:7" x14ac:dyDescent="0.25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2">
        <f>ScenarioStat5[[#This Row],[team-1-win]]+ScenarioStat5[[#This Row],[team-2-win]]</f>
        <v>1</v>
      </c>
    </row>
    <row r="153" spans="1:7" x14ac:dyDescent="0.25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3">
        <f>ScenarioStat5[[#This Row],[team-1-win]]+ScenarioStat5[[#This Row],[team-2-win]]</f>
        <v>1</v>
      </c>
    </row>
    <row r="154" spans="1:7" x14ac:dyDescent="0.25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1</v>
      </c>
    </row>
    <row r="155" spans="1:7" x14ac:dyDescent="0.25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5">
        <f>ScenarioStat5[[#This Row],[team-1-win]]+ScenarioStat5[[#This Row],[team-2-win]]</f>
        <v>1</v>
      </c>
    </row>
    <row r="156" spans="1:7" x14ac:dyDescent="0.25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6">
        <f>ScenarioStat5[[#This Row],[team-1-win]]+ScenarioStat5[[#This Row],[team-2-win]]</f>
        <v>1</v>
      </c>
    </row>
    <row r="157" spans="1:7" x14ac:dyDescent="0.25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1</v>
      </c>
    </row>
    <row r="158" spans="1:7" x14ac:dyDescent="0.25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8">
        <f>ScenarioStat5[[#This Row],[team-1-win]]+ScenarioStat5[[#This Row],[team-2-win]]</f>
        <v>1</v>
      </c>
    </row>
    <row r="159" spans="1:7" x14ac:dyDescent="0.25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1</v>
      </c>
    </row>
    <row r="160" spans="1:7" x14ac:dyDescent="0.25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0">
        <f>ScenarioStat5[[#This Row],[team-1-win]]+ScenarioStat5[[#This Row],[team-2-win]]</f>
        <v>1</v>
      </c>
    </row>
    <row r="161" spans="1:7" x14ac:dyDescent="0.25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1">
        <f>ScenarioStat5[[#This Row],[team-1-win]]+ScenarioStat5[[#This Row],[team-2-win]]</f>
        <v>1</v>
      </c>
    </row>
    <row r="162" spans="1:7" x14ac:dyDescent="0.25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2">
        <f>ScenarioStat5[[#This Row],[team-1-win]]+ScenarioStat5[[#This Row],[team-2-win]]</f>
        <v>1</v>
      </c>
    </row>
    <row r="163" spans="1:7" x14ac:dyDescent="0.25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3">
        <f>ScenarioStat5[[#This Row],[team-1-win]]+ScenarioStat5[[#This Row],[team-2-win]]</f>
        <v>1</v>
      </c>
    </row>
    <row r="164" spans="1:7" x14ac:dyDescent="0.25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4">
        <f>ScenarioStat5[[#This Row],[team-1-win]]+ScenarioStat5[[#This Row],[team-2-win]]</f>
        <v>1</v>
      </c>
    </row>
    <row r="165" spans="1:7" x14ac:dyDescent="0.25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5">
        <f>ScenarioStat5[[#This Row],[team-1-win]]+ScenarioStat5[[#This Row],[team-2-win]]</f>
        <v>1</v>
      </c>
    </row>
    <row r="166" spans="1:7" x14ac:dyDescent="0.25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6">
        <f>ScenarioStat5[[#This Row],[team-1-win]]+ScenarioStat5[[#This Row],[team-2-win]]</f>
        <v>1</v>
      </c>
    </row>
    <row r="167" spans="1:7" x14ac:dyDescent="0.25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7">
        <f>ScenarioStat5[[#This Row],[team-1-win]]+ScenarioStat5[[#This Row],[team-2-win]]</f>
        <v>1</v>
      </c>
    </row>
    <row r="168" spans="1:7" x14ac:dyDescent="0.25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8">
        <f>ScenarioStat5[[#This Row],[team-1-win]]+ScenarioStat5[[#This Row],[team-2-win]]</f>
        <v>1</v>
      </c>
    </row>
    <row r="169" spans="1:7" x14ac:dyDescent="0.25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9">
        <f>ScenarioStat5[[#This Row],[team-1-win]]+ScenarioStat5[[#This Row],[team-2-win]]</f>
        <v>1</v>
      </c>
    </row>
    <row r="170" spans="1:7" x14ac:dyDescent="0.25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0">
        <f>ScenarioStat5[[#This Row],[team-1-win]]+ScenarioStat5[[#This Row],[team-2-win]]</f>
        <v>1</v>
      </c>
    </row>
    <row r="171" spans="1:7" x14ac:dyDescent="0.25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25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2">
        <f>ScenarioStat5[[#This Row],[team-1-win]]+ScenarioStat5[[#This Row],[team-2-win]]</f>
        <v>1</v>
      </c>
    </row>
    <row r="173" spans="1:7" x14ac:dyDescent="0.25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3">
        <f>ScenarioStat5[[#This Row],[team-1-win]]+ScenarioStat5[[#This Row],[team-2-win]]</f>
        <v>1</v>
      </c>
    </row>
    <row r="174" spans="1:7" x14ac:dyDescent="0.25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4">
        <f>ScenarioStat5[[#This Row],[team-1-win]]+ScenarioStat5[[#This Row],[team-2-win]]</f>
        <v>1</v>
      </c>
    </row>
    <row r="175" spans="1:7" x14ac:dyDescent="0.25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5">
        <f>ScenarioStat5[[#This Row],[team-1-win]]+ScenarioStat5[[#This Row],[team-2-win]]</f>
        <v>1</v>
      </c>
    </row>
    <row r="176" spans="1:7" x14ac:dyDescent="0.25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6">
        <f>ScenarioStat5[[#This Row],[team-1-win]]+ScenarioStat5[[#This Row],[team-2-win]]</f>
        <v>1</v>
      </c>
    </row>
    <row r="177" spans="1:7" x14ac:dyDescent="0.25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7">
        <f>ScenarioStat5[[#This Row],[team-1-win]]+ScenarioStat5[[#This Row],[team-2-win]]</f>
        <v>1</v>
      </c>
    </row>
    <row r="178" spans="1:7" x14ac:dyDescent="0.25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8">
        <f>ScenarioStat5[[#This Row],[team-1-win]]+ScenarioStat5[[#This Row],[team-2-win]]</f>
        <v>1</v>
      </c>
    </row>
    <row r="179" spans="1:7" x14ac:dyDescent="0.25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9">
        <f>ScenarioStat5[[#This Row],[team-1-win]]+ScenarioStat5[[#This Row],[team-2-win]]</f>
        <v>1</v>
      </c>
    </row>
    <row r="180" spans="1:7" x14ac:dyDescent="0.25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1</v>
      </c>
    </row>
    <row r="181" spans="1:7" x14ac:dyDescent="0.25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1">
        <f>ScenarioStat5[[#This Row],[team-1-win]]+ScenarioStat5[[#This Row],[team-2-win]]</f>
        <v>1</v>
      </c>
    </row>
    <row r="182" spans="1:7" x14ac:dyDescent="0.25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2">
        <f>ScenarioStat5[[#This Row],[team-1-win]]+ScenarioStat5[[#This Row],[team-2-win]]</f>
        <v>1</v>
      </c>
    </row>
    <row r="183" spans="1:7" x14ac:dyDescent="0.25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3">
        <f>ScenarioStat5[[#This Row],[team-1-win]]+ScenarioStat5[[#This Row],[team-2-win]]</f>
        <v>1</v>
      </c>
    </row>
    <row r="184" spans="1:7" x14ac:dyDescent="0.25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4">
        <f>ScenarioStat5[[#This Row],[team-1-win]]+ScenarioStat5[[#This Row],[team-2-win]]</f>
        <v>1</v>
      </c>
    </row>
    <row r="185" spans="1:7" x14ac:dyDescent="0.25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5">
        <f>ScenarioStat5[[#This Row],[team-1-win]]+ScenarioStat5[[#This Row],[team-2-win]]</f>
        <v>1</v>
      </c>
    </row>
    <row r="186" spans="1:7" x14ac:dyDescent="0.25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6">
        <f>ScenarioStat5[[#This Row],[team-1-win]]+ScenarioStat5[[#This Row],[team-2-win]]</f>
        <v>1</v>
      </c>
    </row>
    <row r="187" spans="1:7" x14ac:dyDescent="0.25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7">
        <f>ScenarioStat5[[#This Row],[team-1-win]]+ScenarioStat5[[#This Row],[team-2-win]]</f>
        <v>1</v>
      </c>
    </row>
    <row r="188" spans="1:7" x14ac:dyDescent="0.25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8">
        <f>ScenarioStat5[[#This Row],[team-1-win]]+ScenarioStat5[[#This Row],[team-2-win]]</f>
        <v>1</v>
      </c>
    </row>
    <row r="189" spans="1:7" x14ac:dyDescent="0.25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9">
        <f>ScenarioStat5[[#This Row],[team-1-win]]+ScenarioStat5[[#This Row],[team-2-win]]</f>
        <v>1</v>
      </c>
    </row>
    <row r="190" spans="1:7" x14ac:dyDescent="0.25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0">
        <f>ScenarioStat5[[#This Row],[team-1-win]]+ScenarioStat5[[#This Row],[team-2-win]]</f>
        <v>1</v>
      </c>
    </row>
    <row r="191" spans="1:7" x14ac:dyDescent="0.25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1">
        <f>ScenarioStat5[[#This Row],[team-1-win]]+ScenarioStat5[[#This Row],[team-2-win]]</f>
        <v>1</v>
      </c>
    </row>
    <row r="192" spans="1:7" x14ac:dyDescent="0.25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2">
        <f>ScenarioStat5[[#This Row],[team-1-win]]+ScenarioStat5[[#This Row],[team-2-win]]</f>
        <v>1</v>
      </c>
    </row>
    <row r="193" spans="1:7" x14ac:dyDescent="0.25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3">
        <f>ScenarioStat5[[#This Row],[team-1-win]]+ScenarioStat5[[#This Row],[team-2-win]]</f>
        <v>1</v>
      </c>
    </row>
    <row r="194" spans="1:7" x14ac:dyDescent="0.25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4">
        <f>ScenarioStat5[[#This Row],[team-1-win]]+ScenarioStat5[[#This Row],[team-2-win]]</f>
        <v>1</v>
      </c>
    </row>
    <row r="195" spans="1:7" x14ac:dyDescent="0.25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5">
        <f>ScenarioStat5[[#This Row],[team-1-win]]+ScenarioStat5[[#This Row],[team-2-win]]</f>
        <v>1</v>
      </c>
    </row>
    <row r="196" spans="1:7" x14ac:dyDescent="0.25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6">
        <f>ScenarioStat5[[#This Row],[team-1-win]]+ScenarioStat5[[#This Row],[team-2-win]]</f>
        <v>1</v>
      </c>
    </row>
    <row r="197" spans="1:7" x14ac:dyDescent="0.25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7">
        <f>ScenarioStat5[[#This Row],[team-1-win]]+ScenarioStat5[[#This Row],[team-2-win]]</f>
        <v>1</v>
      </c>
    </row>
    <row r="198" spans="1:7" x14ac:dyDescent="0.25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8">
        <f>ScenarioStat5[[#This Row],[team-1-win]]+ScenarioStat5[[#This Row],[team-2-win]]</f>
        <v>1</v>
      </c>
    </row>
    <row r="199" spans="1:7" x14ac:dyDescent="0.25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9">
        <f>ScenarioStat5[[#This Row],[team-1-win]]+ScenarioStat5[[#This Row],[team-2-win]]</f>
        <v>1</v>
      </c>
    </row>
    <row r="200" spans="1:7" x14ac:dyDescent="0.25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0">
        <f>ScenarioStat5[[#This Row],[team-1-win]]+ScenarioStat5[[#This Row],[team-2-win]]</f>
        <v>1</v>
      </c>
    </row>
    <row r="201" spans="1:7" x14ac:dyDescent="0.25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1">
        <f>ScenarioStat5[[#This Row],[team-1-win]]+ScenarioStat5[[#This Row],[team-2-win]]</f>
        <v>1</v>
      </c>
    </row>
    <row r="202" spans="1:7" x14ac:dyDescent="0.25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2">
        <f>ScenarioStat5[[#This Row],[team-1-win]]+ScenarioStat5[[#This Row],[team-2-win]]</f>
        <v>1</v>
      </c>
    </row>
    <row r="203" spans="1:7" x14ac:dyDescent="0.25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3">
        <f>ScenarioStat5[[#This Row],[team-1-win]]+ScenarioStat5[[#This Row],[team-2-win]]</f>
        <v>1</v>
      </c>
    </row>
    <row r="204" spans="1:7" x14ac:dyDescent="0.25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4">
        <f>ScenarioStat5[[#This Row],[team-1-win]]+ScenarioStat5[[#This Row],[team-2-win]]</f>
        <v>1</v>
      </c>
    </row>
    <row r="205" spans="1:7" x14ac:dyDescent="0.25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1</v>
      </c>
    </row>
    <row r="206" spans="1:7" x14ac:dyDescent="0.25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6">
        <f>ScenarioStat5[[#This Row],[team-1-win]]+ScenarioStat5[[#This Row],[team-2-win]]</f>
        <v>1</v>
      </c>
    </row>
    <row r="207" spans="1:7" x14ac:dyDescent="0.25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7">
        <f>ScenarioStat5[[#This Row],[team-1-win]]+ScenarioStat5[[#This Row],[team-2-win]]</f>
        <v>1</v>
      </c>
    </row>
    <row r="208" spans="1:7" x14ac:dyDescent="0.25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8">
        <f>ScenarioStat5[[#This Row],[team-1-win]]+ScenarioStat5[[#This Row],[team-2-win]]</f>
        <v>1</v>
      </c>
    </row>
    <row r="209" spans="1:7" x14ac:dyDescent="0.25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9">
        <f>ScenarioStat5[[#This Row],[team-1-win]]+ScenarioStat5[[#This Row],[team-2-win]]</f>
        <v>1</v>
      </c>
    </row>
    <row r="210" spans="1:7" x14ac:dyDescent="0.25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0">
        <f>ScenarioStat5[[#This Row],[team-1-win]]+ScenarioStat5[[#This Row],[team-2-win]]</f>
        <v>1</v>
      </c>
    </row>
    <row r="211" spans="1:7" x14ac:dyDescent="0.25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1</v>
      </c>
    </row>
    <row r="212" spans="1:7" x14ac:dyDescent="0.25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M18"/>
  <sheetViews>
    <sheetView workbookViewId="0">
      <selection activeCell="M8" sqref="M8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8.7109375" customWidth="1"/>
    <col min="12" max="12" width="7.85546875" bestFit="1" customWidth="1"/>
    <col min="13" max="13" width="7.7109375" style="3" bestFit="1" customWidth="1"/>
    <col min="14" max="14" width="7.42578125" bestFit="1" customWidth="1"/>
  </cols>
  <sheetData>
    <row r="1" spans="1:13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</row>
    <row r="2" spans="1:13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2">
        <f>COUNTIF(Scenario0[winner1],HeroStatistics[[#This Row],[hero]])+COUNTIF(Scenario0[winner2],HeroStatistics[[#This Row],[hero]])</f>
        <v>47</v>
      </c>
      <c r="D2">
        <f>COUNTIF(Scenario1[winner1],HeroStatistics[[#This Row],[hero]])+COUNTIF(Scenario1[winner2],HeroStatistics[[#This Row],[hero]])</f>
        <v>54</v>
      </c>
      <c r="E2">
        <f>COUNTIF(Scenario2[winner1],HeroStatistics[[#This Row],[hero]])</f>
        <v>9</v>
      </c>
      <c r="F2">
        <f>COUNTIF(Scenario3[winner1],HeroStatistics[[#This Row],[hero]])</f>
        <v>10</v>
      </c>
      <c r="G2">
        <f>COUNTIF(Scenario4[winner1],HeroStatistics[[#This Row],[hero]])</f>
        <v>6</v>
      </c>
      <c r="H2">
        <f>COUNTIF(Scenario5[winner1],HeroStatistics[[#This Row],[hero]])+COUNTIF(Scenario5[winner2],HeroStatistics[[#This Row],[hero]])</f>
        <v>62</v>
      </c>
      <c r="I2">
        <f>SUM(HeroStatistics[[#This Row],[0-wins]:[5-wins]])</f>
        <v>188</v>
      </c>
      <c r="J2" s="35">
        <f>HeroStatistics[[#This Row],[wins]]/HeroStatistics[[#This Row],[battles]]</f>
        <v>0.48831168831168831</v>
      </c>
      <c r="M2"/>
    </row>
    <row r="3" spans="1:13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3">
        <f>COUNTIF(Scenario0[winner1],HeroStatistics[[#This Row],[hero]])+COUNTIF(Scenario0[winner2],HeroStatistics[[#This Row],[hero]])</f>
        <v>49</v>
      </c>
      <c r="D3">
        <f>COUNTIF(Scenario1[winner1],HeroStatistics[[#This Row],[hero]])+COUNTIF(Scenario1[winner2],HeroStatistics[[#This Row],[hero]])</f>
        <v>50</v>
      </c>
      <c r="E3">
        <f>COUNTIF(Scenario2[winner1],HeroStatistics[[#This Row],[hero]])</f>
        <v>8</v>
      </c>
      <c r="F3">
        <f>COUNTIF(Scenario3[winner1],HeroStatistics[[#This Row],[hero]])</f>
        <v>12</v>
      </c>
      <c r="G3">
        <f>COUNTIF(Scenario4[winner1],HeroStatistics[[#This Row],[hero]])</f>
        <v>8</v>
      </c>
      <c r="H3">
        <f>COUNTIF(Scenario5[winner1],HeroStatistics[[#This Row],[hero]])+COUNTIF(Scenario5[winner2],HeroStatistics[[#This Row],[hero]])</f>
        <v>52</v>
      </c>
      <c r="I3">
        <f>SUM(HeroStatistics[[#This Row],[0-wins]:[5-wins]])</f>
        <v>179</v>
      </c>
      <c r="J3" s="35">
        <f>HeroStatistics[[#This Row],[wins]]/HeroStatistics[[#This Row],[battles]]</f>
        <v>0.46493506493506492</v>
      </c>
      <c r="M3"/>
    </row>
    <row r="4" spans="1:13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4">
        <f>COUNTIF(Scenario0[winner1],HeroStatistics[[#This Row],[hero]])+COUNTIF(Scenario0[winner2],HeroStatistics[[#This Row],[hero]])</f>
        <v>55</v>
      </c>
      <c r="D4">
        <f>COUNTIF(Scenario1[winner1],HeroStatistics[[#This Row],[hero]])+COUNTIF(Scenario1[winner2],HeroStatistics[[#This Row],[hero]])</f>
        <v>54</v>
      </c>
      <c r="E4">
        <f>COUNTIF(Scenario2[winner1],HeroStatistics[[#This Row],[hero]])</f>
        <v>8</v>
      </c>
      <c r="F4">
        <f>COUNTIF(Scenario3[winner1],HeroStatistics[[#This Row],[hero]])</f>
        <v>4</v>
      </c>
      <c r="G4">
        <f>COUNTIF(Scenario4[winner1],HeroStatistics[[#This Row],[hero]])</f>
        <v>2</v>
      </c>
      <c r="H4">
        <f>COUNTIF(Scenario5[winner1],HeroStatistics[[#This Row],[hero]])+COUNTIF(Scenario5[winner2],HeroStatistics[[#This Row],[hero]])</f>
        <v>46</v>
      </c>
      <c r="I4">
        <f>SUM(HeroStatistics[[#This Row],[0-wins]:[5-wins]])</f>
        <v>169</v>
      </c>
      <c r="J4" s="35">
        <f>HeroStatistics[[#This Row],[wins]]/HeroStatistics[[#This Row],[battles]]</f>
        <v>0.43896103896103894</v>
      </c>
      <c r="M4"/>
    </row>
    <row r="5" spans="1:13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5">
        <f>COUNTIF(Scenario0[winner1],HeroStatistics[[#This Row],[hero]])+COUNTIF(Scenario0[winner2],HeroStatistics[[#This Row],[hero]])</f>
        <v>61</v>
      </c>
      <c r="D5">
        <f>COUNTIF(Scenario1[winner1],HeroStatistics[[#This Row],[hero]])+COUNTIF(Scenario1[winner2],HeroStatistics[[#This Row],[hero]])</f>
        <v>51</v>
      </c>
      <c r="E5">
        <f>COUNTIF(Scenario2[winner1],HeroStatistics[[#This Row],[hero]])</f>
        <v>6</v>
      </c>
      <c r="F5">
        <f>COUNTIF(Scenario3[winner1],HeroStatistics[[#This Row],[hero]])</f>
        <v>7</v>
      </c>
      <c r="G5">
        <f>COUNTIF(Scenario4[winner1],HeroStatistics[[#This Row],[hero]])</f>
        <v>13</v>
      </c>
      <c r="H5">
        <f>COUNTIF(Scenario5[winner1],HeroStatistics[[#This Row],[hero]])+COUNTIF(Scenario5[winner2],HeroStatistics[[#This Row],[hero]])</f>
        <v>46</v>
      </c>
      <c r="I5">
        <f>SUM(HeroStatistics[[#This Row],[0-wins]:[5-wins]])</f>
        <v>184</v>
      </c>
      <c r="J5" s="35">
        <f>HeroStatistics[[#This Row],[wins]]/HeroStatistics[[#This Row],[battles]]</f>
        <v>0.47792207792207791</v>
      </c>
      <c r="M5"/>
    </row>
    <row r="6" spans="1:13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6">
        <f>COUNTIF(Scenario0[winner1],HeroStatistics[[#This Row],[hero]])+COUNTIF(Scenario0[winner2],HeroStatistics[[#This Row],[hero]])</f>
        <v>54</v>
      </c>
      <c r="D6">
        <f>COUNTIF(Scenario1[winner1],HeroStatistics[[#This Row],[hero]])+COUNTIF(Scenario1[winner2],HeroStatistics[[#This Row],[hero]])</f>
        <v>54</v>
      </c>
      <c r="E6">
        <f>COUNTIF(Scenario2[winner1],HeroStatistics[[#This Row],[hero]])</f>
        <v>5</v>
      </c>
      <c r="F6">
        <f>COUNTIF(Scenario3[winner1],HeroStatistics[[#This Row],[hero]])</f>
        <v>8</v>
      </c>
      <c r="G6">
        <f>COUNTIF(Scenario4[winner1],HeroStatistics[[#This Row],[hero]])</f>
        <v>7</v>
      </c>
      <c r="H6">
        <f>COUNTIF(Scenario5[winner1],HeroStatistics[[#This Row],[hero]])+COUNTIF(Scenario5[winner2],HeroStatistics[[#This Row],[hero]])</f>
        <v>52</v>
      </c>
      <c r="I6">
        <f>SUM(HeroStatistics[[#This Row],[0-wins]:[5-wins]])</f>
        <v>180</v>
      </c>
      <c r="J6" s="35">
        <f>HeroStatistics[[#This Row],[wins]]/HeroStatistics[[#This Row],[battles]]</f>
        <v>0.46753246753246752</v>
      </c>
      <c r="M6"/>
    </row>
    <row r="7" spans="1:13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7">
        <f>COUNTIF(Scenario0[winner1],HeroStatistics[[#This Row],[hero]])+COUNTIF(Scenario0[winner2],HeroStatistics[[#This Row],[hero]])</f>
        <v>59</v>
      </c>
      <c r="D7">
        <f>COUNTIF(Scenario1[winner1],HeroStatistics[[#This Row],[hero]])+COUNTIF(Scenario1[winner2],HeroStatistics[[#This Row],[hero]])</f>
        <v>51</v>
      </c>
      <c r="E7">
        <f>COUNTIF(Scenario2[winner1],HeroStatistics[[#This Row],[hero]])</f>
        <v>6</v>
      </c>
      <c r="F7">
        <f>COUNTIF(Scenario3[winner1],HeroStatistics[[#This Row],[hero]])</f>
        <v>4</v>
      </c>
      <c r="G7">
        <f>COUNTIF(Scenario4[winner1],HeroStatistics[[#This Row],[hero]])</f>
        <v>7</v>
      </c>
      <c r="H7">
        <f>COUNTIF(Scenario5[winner1],HeroStatistics[[#This Row],[hero]])+COUNTIF(Scenario5[winner2],HeroStatistics[[#This Row],[hero]])</f>
        <v>57</v>
      </c>
      <c r="I7">
        <f>SUM(HeroStatistics[[#This Row],[0-wins]:[5-wins]])</f>
        <v>184</v>
      </c>
      <c r="J7" s="35">
        <f>HeroStatistics[[#This Row],[wins]]/HeroStatistics[[#This Row],[battles]]</f>
        <v>0.47792207792207791</v>
      </c>
      <c r="M7"/>
    </row>
    <row r="8" spans="1:13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8">
        <f>COUNTIF(Scenario0[winner1],HeroStatistics[[#This Row],[hero]])+COUNTIF(Scenario0[winner2],HeroStatistics[[#This Row],[hero]])</f>
        <v>41</v>
      </c>
      <c r="D8">
        <f>COUNTIF(Scenario1[winner1],HeroStatistics[[#This Row],[hero]])+COUNTIF(Scenario1[winner2],HeroStatistics[[#This Row],[hero]])</f>
        <v>49</v>
      </c>
      <c r="E8">
        <f>COUNTIF(Scenario2[winner1],HeroStatistics[[#This Row],[hero]])</f>
        <v>7</v>
      </c>
      <c r="F8">
        <f>COUNTIF(Scenario3[winner1],HeroStatistics[[#This Row],[hero]])</f>
        <v>7</v>
      </c>
      <c r="G8">
        <f>COUNTIF(Scenario4[winner1],HeroStatistics[[#This Row],[hero]])</f>
        <v>13</v>
      </c>
      <c r="H8">
        <f>COUNTIF(Scenario5[winner1],HeroStatistics[[#This Row],[hero]])+COUNTIF(Scenario5[winner2],HeroStatistics[[#This Row],[hero]])</f>
        <v>55</v>
      </c>
      <c r="I8">
        <f>SUM(HeroStatistics[[#This Row],[0-wins]:[5-wins]])</f>
        <v>172</v>
      </c>
      <c r="J8" s="35">
        <f>HeroStatistics[[#This Row],[wins]]/HeroStatistics[[#This Row],[battles]]</f>
        <v>0.44675324675324674</v>
      </c>
      <c r="M8"/>
    </row>
    <row r="9" spans="1:13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9">
        <f>COUNTIF(Scenario0[winner1],HeroStatistics[[#This Row],[hero]])+COUNTIF(Scenario0[winner2],HeroStatistics[[#This Row],[hero]])</f>
        <v>54</v>
      </c>
      <c r="D9">
        <f>COUNTIF(Scenario1[winner1],HeroStatistics[[#This Row],[hero]])+COUNTIF(Scenario1[winner2],HeroStatistics[[#This Row],[hero]])</f>
        <v>57</v>
      </c>
      <c r="E9">
        <f>COUNTIF(Scenario2[winner1],HeroStatistics[[#This Row],[hero]])</f>
        <v>7</v>
      </c>
      <c r="F9">
        <f>COUNTIF(Scenario3[winner1],HeroStatistics[[#This Row],[hero]])</f>
        <v>4</v>
      </c>
      <c r="G9">
        <f>COUNTIF(Scenario4[winner1],HeroStatistics[[#This Row],[hero]])</f>
        <v>14</v>
      </c>
      <c r="H9">
        <f>COUNTIF(Scenario5[winner1],HeroStatistics[[#This Row],[hero]])+COUNTIF(Scenario5[winner2],HeroStatistics[[#This Row],[hero]])</f>
        <v>50</v>
      </c>
      <c r="I9">
        <f>SUM(HeroStatistics[[#This Row],[0-wins]:[5-wins]])</f>
        <v>186</v>
      </c>
      <c r="J9" s="35">
        <f>HeroStatistics[[#This Row],[wins]]/HeroStatistics[[#This Row],[battles]]</f>
        <v>0.48311688311688311</v>
      </c>
      <c r="M9"/>
    </row>
    <row r="10" spans="1:13" x14ac:dyDescent="0.25">
      <c r="M10"/>
    </row>
    <row r="11" spans="1:13" x14ac:dyDescent="0.25">
      <c r="M11"/>
    </row>
    <row r="12" spans="1:13" x14ac:dyDescent="0.25">
      <c r="M12"/>
    </row>
    <row r="13" spans="1:13" x14ac:dyDescent="0.25">
      <c r="M13"/>
    </row>
    <row r="14" spans="1:13" x14ac:dyDescent="0.25">
      <c r="M14"/>
    </row>
    <row r="15" spans="1:13" x14ac:dyDescent="0.25">
      <c r="M15"/>
    </row>
    <row r="16" spans="1:13" x14ac:dyDescent="0.25">
      <c r="M16"/>
    </row>
    <row r="17" spans="13:13" x14ac:dyDescent="0.25">
      <c r="M17"/>
    </row>
    <row r="18" spans="13:13" x14ac:dyDescent="0.25">
      <c r="M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tabSelected="1" workbookViewId="0">
      <selection activeCell="E28" sqref="E28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0.31688311688311688</v>
      </c>
    </row>
    <row r="3" spans="1:24" x14ac:dyDescent="0.25">
      <c r="A3" s="17" t="s">
        <v>54</v>
      </c>
      <c r="B3">
        <f>M3+M24+M45+M66+M87+M108</f>
        <v>168</v>
      </c>
      <c r="C3">
        <f>N3+N24+N45+N66+N87+N108</f>
        <v>83</v>
      </c>
      <c r="D3" s="3">
        <f>IF(SUM(ParagonAbilities1[[#This Row],[takes]]) &gt; 0,ParagonAbilities1[[#This Row],[takes]]/SUM(ParagonAbilities1[takes]),0)</f>
        <v>0.43636363636363634</v>
      </c>
      <c r="E3" s="3">
        <f>IF(ParagonAbilities1[[#This Row],[takes]]&gt;0,ParagonAbilities1[[#This Row],[wins]]/ParagonAbilities1[[#This Row],[takes]],0)</f>
        <v>0.49404761904761907</v>
      </c>
      <c r="G3">
        <v>1</v>
      </c>
      <c r="H3">
        <f>S3+S24+S45+S66+S87+S108</f>
        <v>143</v>
      </c>
      <c r="I3">
        <f>T3+T24+T45+T66+T87+T108</f>
        <v>257</v>
      </c>
      <c r="J3" s="18">
        <f>U3+U24+U45+U66+U87+U108</f>
        <v>221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94</v>
      </c>
      <c r="N3">
        <f>COUNTIF(Scenario0[winner1-ability1],ParagonAbilities1Scenario0[[#This Row],[ability]])+COUNTIF(Scenario0[winner2-ability1],ParagonAbilities1Scenario0[[#This Row],[ability]])</f>
        <v>44</v>
      </c>
      <c r="O3" s="3">
        <f>IF(SUM(ParagonAbilities1Scenario0[[#This Row],[takes]]) &gt; 0,ParagonAbilities1Scenario0[[#This Row],[takes]]/SUM(ParagonAbilities1Scenario0[takes]),0)</f>
        <v>0.89523809523809528</v>
      </c>
      <c r="P3" s="3">
        <f>IF(ParagonAbilities1Scenario0[[#This Row],[takes]]&gt;0,ParagonAbilities1Scenario0[[#This Row],[wins]]/ParagonAbilities1Scenario0[[#This Row],[takes]],0)</f>
        <v>0.46808510638297873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48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94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82</v>
      </c>
      <c r="W3" t="s">
        <v>189</v>
      </c>
      <c r="X3" s="16">
        <f>H5/SUM(ParagonEquip[spear])</f>
        <v>0.31168831168831168</v>
      </c>
    </row>
    <row r="4" spans="1:24" x14ac:dyDescent="0.25">
      <c r="A4" s="17" t="s">
        <v>111</v>
      </c>
      <c r="B4">
        <f t="shared" ref="B4:B5" si="0">M4+M25+M46+M67+M88+M109</f>
        <v>62</v>
      </c>
      <c r="C4">
        <f t="shared" ref="C4:C5" si="1">N4+N25+N46+N67+N88+N109</f>
        <v>29</v>
      </c>
      <c r="D4" s="3">
        <f>IF(SUM(ParagonAbilities1[[#This Row],[takes]]) &gt; 0,ParagonAbilities1[[#This Row],[takes]]/SUM(ParagonAbilities1[takes]),0)</f>
        <v>0.16103896103896104</v>
      </c>
      <c r="E4" s="3">
        <f>IF(ParagonAbilities1[[#This Row],[takes]]&gt;0,ParagonAbilities1[[#This Row],[wins]]/ParagonAbilities1[[#This Row],[takes]],0)</f>
        <v>0.46774193548387094</v>
      </c>
      <c r="G4">
        <v>2</v>
      </c>
      <c r="H4">
        <f t="shared" ref="H4:H5" si="2">S4+S25+S46+S67+S88+S109</f>
        <v>122</v>
      </c>
      <c r="I4">
        <f t="shared" ref="I4:I5" si="3">T4+T25+T46+T67+T88+T109</f>
        <v>46</v>
      </c>
      <c r="J4" s="18">
        <f t="shared" ref="J4:J5" si="4">U4+U25+U46+U67+U88+U109</f>
        <v>74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10</v>
      </c>
      <c r="N4">
        <f>COUNTIF(Scenario0[winner1-ability1],ParagonAbilities1Scenario0[[#This Row],[ability]])+COUNTIF(Scenario0[winner2-ability1],ParagonAbilities1Scenario0[[#This Row],[ability]])</f>
        <v>3</v>
      </c>
      <c r="O4" s="3">
        <f>IF(SUM(ParagonAbilities1Scenario0[[#This Row],[takes]]) &gt; 0,ParagonAbilities1Scenario0[[#This Row],[takes]]/SUM(ParagonAbilities1Scenario0[takes]),0)</f>
        <v>9.5238095238095233E-2</v>
      </c>
      <c r="P4" s="3">
        <f>IF(ParagonAbilities1Scenario0[[#This Row],[takes]]&gt;0,ParagonAbilities1Scenario0[[#This Row],[wins]]/ParagonAbilities1Scenario0[[#This Row],[takes]],0)</f>
        <v>0.3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42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7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20</v>
      </c>
      <c r="W4" t="s">
        <v>190</v>
      </c>
      <c r="X4" s="3">
        <f>ParagonEquip[[#This Row],[shield]]/SUM(ParagonEquip[shield])</f>
        <v>0.11948051948051948</v>
      </c>
    </row>
    <row r="5" spans="1:24" x14ac:dyDescent="0.25">
      <c r="A5" s="17" t="s">
        <v>112</v>
      </c>
      <c r="B5">
        <f t="shared" si="0"/>
        <v>155</v>
      </c>
      <c r="C5">
        <f t="shared" si="1"/>
        <v>76</v>
      </c>
      <c r="D5" s="3">
        <f>IF(SUM(ParagonAbilities1[[#This Row],[takes]]) &gt; 0,ParagonAbilities1[[#This Row],[takes]]/SUM(ParagonAbilities1[takes]),0)</f>
        <v>0.40259740259740262</v>
      </c>
      <c r="E5" s="3">
        <f>IF(ParagonAbilities1[[#This Row],[takes]]&gt;0,ParagonAbilities1[[#This Row],[wins]]/ParagonAbilities1[[#This Row],[takes]],0)</f>
        <v>0.49032258064516127</v>
      </c>
      <c r="G5">
        <v>3</v>
      </c>
      <c r="H5">
        <f t="shared" si="2"/>
        <v>120</v>
      </c>
      <c r="I5">
        <f t="shared" si="3"/>
        <v>82</v>
      </c>
      <c r="J5" s="18">
        <f t="shared" si="4"/>
        <v>90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9.5238095238095247E-3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15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4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3</v>
      </c>
      <c r="W5" t="s">
        <v>191</v>
      </c>
      <c r="X5" s="16">
        <f>ParagonEquip[[#This Row],[shield]]/SUM(ParagonEquip[shield])</f>
        <v>0.21298701298701297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0.19220779220779222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0.23376623376623376</v>
      </c>
    </row>
    <row r="8" spans="1:24" x14ac:dyDescent="0.25">
      <c r="A8" s="20" t="s">
        <v>55</v>
      </c>
      <c r="B8" s="2">
        <f>M8+M29+M50+M71+M92+M113</f>
        <v>98</v>
      </c>
      <c r="C8" s="2">
        <f>N8+N29+N50+N71+N92+N113</f>
        <v>48</v>
      </c>
      <c r="D8" s="12">
        <f>IF(SUM(ParagonAbilities2[[#This Row],[takes]]) &gt; 0,ParagonAbilities2[[#This Row],[takes]]/SUM(ParagonAbilities2[takes]),0)</f>
        <v>0.35251798561151076</v>
      </c>
      <c r="E8" s="12">
        <f>IF(ParagonAbilities2[[#This Row],[takes]]&gt;0,ParagonAbilities2[[#This Row],[wins]]/ParagonAbilities2[[#This Row],[takes]],0)</f>
        <v>0.48979591836734693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21</v>
      </c>
      <c r="N8" s="2">
        <f>COUNTIF(Scenario0[winner1-ability2],ParagonAbilities2Scenario0[[#This Row],[ability]])+COUNTIF(Scenario0[winner2-ability2],ParagonAbilities2Scenario0[[#This Row],[ability]])</f>
        <v>8</v>
      </c>
      <c r="O8" s="12">
        <f>IF(SUM(ParagonAbilities2Scenario0[[#This Row],[takes]]) &gt; 0,ParagonAbilities2Scenario0[[#This Row],[takes]]/SUM(ParagonAbilities2Scenario0[takes]),0)</f>
        <v>0.45652173913043476</v>
      </c>
      <c r="P8" s="12">
        <f>IF(ParagonAbilities2Scenario0[[#This Row],[takes]]&gt;0,ParagonAbilities2Scenario0[[#This Row],[wins]]/ParagonAbilities2Scenario0[[#This Row],[takes]],0)</f>
        <v>0.38095238095238093</v>
      </c>
      <c r="U8" s="18"/>
      <c r="W8" t="s">
        <v>176</v>
      </c>
      <c r="X8" s="3">
        <f>SUM(ParagonAbilities2[takes])/SUM(ParagonAbilities1[takes])</f>
        <v>0.7220779220779221</v>
      </c>
    </row>
    <row r="9" spans="1:24" x14ac:dyDescent="0.25">
      <c r="A9" s="17" t="s">
        <v>83</v>
      </c>
      <c r="B9" s="2">
        <f t="shared" ref="B9:B10" si="5">M9+M30+M51+M72+M93+M114</f>
        <v>119</v>
      </c>
      <c r="C9" s="2">
        <f t="shared" ref="C9:C10" si="6">N9+N30+N51+N72+N93+N114</f>
        <v>45</v>
      </c>
      <c r="D9" s="3">
        <f>IF(SUM(ParagonAbilities2[[#This Row],[takes]]) &gt; 0,ParagonAbilities2[[#This Row],[takes]]/SUM(ParagonAbilities2[takes]),0)</f>
        <v>0.42805755395683454</v>
      </c>
      <c r="E9" s="3">
        <f>IF(ParagonAbilities2[[#This Row],[takes]]&gt;0,ParagonAbilities2[[#This Row],[wins]]/ParagonAbilities2[[#This Row],[takes]],0)</f>
        <v>0.37815126050420167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17</v>
      </c>
      <c r="N9" s="2">
        <f>COUNTIF(Scenario0[winner1-ability2],ParagonAbilities2Scenario0[[#This Row],[ability]])+COUNTIF(Scenario0[winner2-ability2],ParagonAbilities2Scenario0[[#This Row],[ability]])</f>
        <v>7</v>
      </c>
      <c r="O9" s="3">
        <f>IF(SUM(ParagonAbilities2Scenario0[[#This Row],[takes]]) &gt; 0,ParagonAbilities2Scenario0[[#This Row],[takes]]/SUM(ParagonAbilities2Scenario0[takes]),0)</f>
        <v>0.36956521739130432</v>
      </c>
      <c r="P9" s="3">
        <f>IF(ParagonAbilities2Scenario0[[#This Row],[takes]]&gt;0,ParagonAbilities2Scenario0[[#This Row],[wins]]/ParagonAbilities2Scenario0[[#This Row],[takes]],0)</f>
        <v>0.41176470588235292</v>
      </c>
      <c r="U9" s="18"/>
      <c r="W9" t="s">
        <v>177</v>
      </c>
      <c r="X9" s="3">
        <f>SUM(ParagonAbilities3[takes])/SUM(ParagonAbilities1[takes])</f>
        <v>0.47532467532467532</v>
      </c>
    </row>
    <row r="10" spans="1:24" x14ac:dyDescent="0.25">
      <c r="A10" s="21" t="s">
        <v>113</v>
      </c>
      <c r="B10" s="2">
        <f t="shared" si="5"/>
        <v>61</v>
      </c>
      <c r="C10" s="2">
        <f t="shared" si="6"/>
        <v>47</v>
      </c>
      <c r="D10" s="13">
        <f>IF(SUM(ParagonAbilities2[[#This Row],[takes]]) &gt; 0,ParagonAbilities2[[#This Row],[takes]]/SUM(ParagonAbilities2[takes]),0)</f>
        <v>0.21942446043165467</v>
      </c>
      <c r="E10" s="13">
        <f>IF(ParagonAbilities2[[#This Row],[takes]]&gt;0,ParagonAbilities2[[#This Row],[wins]]/ParagonAbilities2[[#This Row],[takes]],0)</f>
        <v>0.77049180327868849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8</v>
      </c>
      <c r="N10" s="2">
        <f>COUNTIF(Scenario0[winner1-ability2],ParagonAbilities2Scenario0[[#This Row],[ability]])+COUNTIF(Scenario0[winner2-ability2],ParagonAbilities2Scenario0[[#This Row],[ability]])</f>
        <v>6</v>
      </c>
      <c r="O10" s="13">
        <f>IF(SUM(ParagonAbilities2Scenario0[[#This Row],[takes]]) &gt; 0,ParagonAbilities2Scenario0[[#This Row],[takes]]/SUM(ParagonAbilities2Scenario0[takes]),0)</f>
        <v>0.17391304347826086</v>
      </c>
      <c r="P10" s="13">
        <f>IF(ParagonAbilities2Scenario0[[#This Row],[takes]]&gt;0,ParagonAbilities2Scenario0[[#This Row],[wins]]/ParagonAbilities2Scenario0[[#This Row],[takes]],0)</f>
        <v>0.75</v>
      </c>
      <c r="U10" s="18"/>
      <c r="W10" t="s">
        <v>178</v>
      </c>
      <c r="X10" s="16">
        <f>SUM(ParagonAbilities4[takes])/SUM(ParagonAbilities1[takes])</f>
        <v>0.26753246753246751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2.8519480519480518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62</v>
      </c>
      <c r="C13" s="1">
        <f>N13+N34+N55+N76+N97+N118</f>
        <v>49</v>
      </c>
      <c r="D13" s="14">
        <f>IF(SUM(ParagonAbilities3[[#This Row],[takes]]) &gt; 0,ParagonAbilities3[[#This Row],[takes]]/SUM(ParagonAbilities3[takes]),0)</f>
        <v>0.33879781420765026</v>
      </c>
      <c r="E13" s="14">
        <f>IF(ParagonAbilities3[[#This Row],[takes]]&gt;0,ParagonAbilities3[[#This Row],[wins]]/ParagonAbilities3[[#This Row],[takes]],0)</f>
        <v>0.79032258064516125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6</v>
      </c>
      <c r="N13" s="1">
        <f>COUNTIF(Scenario0[winner1-ability3],ParagonAbilities3Scenario0[[#This Row],[ability]])+COUNTIF(Scenario0[winner2-ability3],ParagonAbilities3Scenario0[[#This Row],[ability]])</f>
        <v>4</v>
      </c>
      <c r="O13" s="14">
        <f>IF(SUM(ParagonAbilities3Scenario0[[#This Row],[takes]]) &gt; 0,ParagonAbilities3Scenario0[[#This Row],[takes]]/SUM(ParagonAbilities3Scenario0[takes]),0)</f>
        <v>0.4</v>
      </c>
      <c r="P13" s="14">
        <f>IF(ParagonAbilities3Scenario0[[#This Row],[takes]]&gt;0,ParagonAbilities3Scenario0[[#This Row],[wins]]/ParagonAbilities3Scenario0[[#This Row],[takes]],0)</f>
        <v>0.66666666666666663</v>
      </c>
      <c r="U13" s="18"/>
    </row>
    <row r="14" spans="1:24" x14ac:dyDescent="0.25">
      <c r="A14" s="20" t="s">
        <v>105</v>
      </c>
      <c r="B14" s="2">
        <f t="shared" ref="B14:B15" si="7">M14+M35+M56+M77+M98+M119</f>
        <v>53</v>
      </c>
      <c r="C14" s="2">
        <f t="shared" ref="C14:C15" si="8">N14+N35+N56+N77+N98+N119</f>
        <v>21</v>
      </c>
      <c r="D14" s="12">
        <f>IF(SUM(ParagonAbilities3[[#This Row],[takes]]) &gt; 0,ParagonAbilities3[[#This Row],[takes]]/SUM(ParagonAbilities3[takes]),0)</f>
        <v>0.2896174863387978</v>
      </c>
      <c r="E14" s="12">
        <f>IF(ParagonAbilities3[[#This Row],[takes]]&gt;0,ParagonAbilities3[[#This Row],[wins]]/ParagonAbilities3[[#This Row],[takes]],0)</f>
        <v>0.39622641509433965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2</v>
      </c>
      <c r="N14" s="2">
        <f>COUNTIF(Scenario0[winner1-ability3],ParagonAbilities3Scenario0[[#This Row],[ability]])+COUNTIF(Scenario0[winner2-ability3],ParagonAbilities3Scenario0[[#This Row],[ability]])</f>
        <v>0</v>
      </c>
      <c r="O14" s="12">
        <f>IF(SUM(ParagonAbilities3Scenario0[[#This Row],[takes]]) &gt; 0,ParagonAbilities3Scenario0[[#This Row],[takes]]/SUM(ParagonAbilities3Scenario0[takes]),0)</f>
        <v>0.13333333333333333</v>
      </c>
      <c r="P14" s="12">
        <f>IF(ParagonAbilities3Scenario0[[#This Row],[takes]]&gt;0,ParagonAbilities3Scenario0[[#This Row],[wins]]/ParagonAbilities3Scenario0[[#This Row],[takes]],0)</f>
        <v>0</v>
      </c>
      <c r="U14" s="18"/>
    </row>
    <row r="15" spans="1:24" x14ac:dyDescent="0.25">
      <c r="A15" s="23" t="s">
        <v>97</v>
      </c>
      <c r="B15" s="1">
        <f t="shared" si="7"/>
        <v>68</v>
      </c>
      <c r="C15" s="1">
        <f t="shared" si="8"/>
        <v>26</v>
      </c>
      <c r="D15" s="15">
        <f>IF(SUM(ParagonAbilities3[[#This Row],[takes]]) &gt; 0,ParagonAbilities3[[#This Row],[takes]]/SUM(ParagonAbilities3[takes]),0)</f>
        <v>0.37158469945355194</v>
      </c>
      <c r="E15" s="15">
        <f>IF(ParagonAbilities3[[#This Row],[takes]]&gt;0,ParagonAbilities3[[#This Row],[wins]]/ParagonAbilities3[[#This Row],[takes]],0)</f>
        <v>0.38235294117647056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7</v>
      </c>
      <c r="N15" s="1">
        <f>COUNTIF(Scenario0[winner1-ability3],ParagonAbilities3Scenario0[[#This Row],[ability]])+COUNTIF(Scenario0[winner2-ability3],ParagonAbilities3Scenario0[[#This Row],[ability]])</f>
        <v>2</v>
      </c>
      <c r="O15" s="15">
        <f>IF(SUM(ParagonAbilities3Scenario0[[#This Row],[takes]]) &gt; 0,ParagonAbilities3Scenario0[[#This Row],[takes]]/SUM(ParagonAbilities3Scenario0[takes]),0)</f>
        <v>0.46666666666666667</v>
      </c>
      <c r="P15" s="15">
        <f>IF(ParagonAbilities3Scenario0[[#This Row],[takes]]&gt;0,ParagonAbilities3Scenario0[[#This Row],[wins]]/ParagonAbilities3Scenario0[[#This Row],[takes]],0)</f>
        <v>0.2857142857142857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47</v>
      </c>
      <c r="C18" s="2">
        <f>N18+N39+N60+N81+N102+N123</f>
        <v>24</v>
      </c>
      <c r="D18" s="12">
        <f>IF(SUM(ParagonAbilities4[[#This Row],[takes]]) &gt; 0,ParagonAbilities4[[#This Row],[takes]]/SUM(ParagonAbilities4[takes]),0)</f>
        <v>0.4563106796116505</v>
      </c>
      <c r="E18" s="12">
        <f>IF(ParagonAbilities4[[#This Row],[takes]]&gt;0,ParagonAbilities4[[#This Row],[wins]]/ParagonAbilities4[[#This Row],[takes]],0)</f>
        <v>0.51063829787234039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2</v>
      </c>
      <c r="N18" s="2">
        <f>COUNTIF(Scenario0[winner1-ability4],ParagonAbilities4Scenario0[[#This Row],[ability]])+COUNTIF(Scenario0[winner2-ability4],ParagonAbilities4Scenario0[[#This Row],[ability]])</f>
        <v>1</v>
      </c>
      <c r="O18" s="12">
        <f>IF(SUM(ParagonAbilities4Scenario0[[#This Row],[takes]]) &gt; 0,ParagonAbilities4Scenario0[[#This Row],[takes]]/SUM(ParagonAbilities4Scenario0[takes]),0)</f>
        <v>1</v>
      </c>
      <c r="P18" s="12">
        <f>IF(ParagonAbilities4Scenario0[[#This Row],[takes]]&gt;0,ParagonAbilities4Scenario0[[#This Row],[wins]]/ParagonAbilities4Scenario0[[#This Row],[takes]],0)</f>
        <v>0.5</v>
      </c>
      <c r="U18" s="18"/>
    </row>
    <row r="19" spans="1:21" x14ac:dyDescent="0.25">
      <c r="A19" s="20" t="s">
        <v>115</v>
      </c>
      <c r="B19" s="2">
        <f t="shared" ref="B19:B20" si="9">M19+M40+M61+M82+M103+M124</f>
        <v>27</v>
      </c>
      <c r="C19" s="2">
        <f t="shared" ref="C19:C20" si="10">N19+N40+N61+N82+N103+N124</f>
        <v>15</v>
      </c>
      <c r="D19" s="12">
        <f>IF(SUM(ParagonAbilities4[[#This Row],[takes]]) &gt; 0,ParagonAbilities4[[#This Row],[takes]]/SUM(ParagonAbilities4[takes]),0)</f>
        <v>0.26213592233009708</v>
      </c>
      <c r="E19" s="12">
        <f>IF(ParagonAbilities4[[#This Row],[takes]]&gt;0,ParagonAbilities4[[#This Row],[wins]]/ParagonAbilities4[[#This Row],[takes]],0)</f>
        <v>0.55555555555555558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29</v>
      </c>
      <c r="C20" s="2">
        <f t="shared" si="10"/>
        <v>28</v>
      </c>
      <c r="D20" s="26">
        <f>IF(SUM(ParagonAbilities4[[#This Row],[takes]]) &gt; 0,ParagonAbilities4[[#This Row],[takes]]/SUM(ParagonAbilities4[takes]),0)</f>
        <v>0.28155339805825241</v>
      </c>
      <c r="E20" s="26">
        <f>IF(ParagonAbilities4[[#This Row],[takes]]&gt;0,ParagonAbilities4[[#This Row],[wins]]/ParagonAbilities4[[#This Row],[takes]],0)</f>
        <v>0.96551724137931039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74</v>
      </c>
      <c r="N24">
        <f>COUNTIF(Scenario1[winner1-ability1],ParagonAbilities1Scenario1[[#This Row],[ability]])+COUNTIF(Scenario1[winner2-ability1],ParagonAbilities1Scenario1[[#This Row],[ability]])</f>
        <v>39</v>
      </c>
      <c r="O24" s="3">
        <f>IF(SUM(ParagonAbilities1Scenario1[[#This Row],[takes]]) &gt; 0,ParagonAbilities1Scenario1[[#This Row],[takes]]/SUM(ParagonAbilities1Scenario1[takes]),0)</f>
        <v>0.70476190476190481</v>
      </c>
      <c r="P24" s="3">
        <f>IF(ParagonAbilities1Scenario1[[#This Row],[takes]]&gt;0,ParagonAbilities1Scenario1[[#This Row],[wins]]/ParagonAbilities1Scenario1[[#This Row],[takes]],0)</f>
        <v>0.52702702702702697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32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89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84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31</v>
      </c>
      <c r="N25">
        <f>COUNTIF(Scenario1[winner1-ability1],ParagonAbilities1Scenario1[[#This Row],[ability]])+COUNTIF(Scenario1[winner2-ability1],ParagonAbilities1Scenario1[[#This Row],[ability]])</f>
        <v>15</v>
      </c>
      <c r="O25" s="3">
        <f>IF(SUM(ParagonAbilities1Scenario1[[#This Row],[takes]]) &gt; 0,ParagonAbilities1Scenario1[[#This Row],[takes]]/SUM(ParagonAbilities1Scenario1[takes]),0)</f>
        <v>0.29523809523809524</v>
      </c>
      <c r="P25" s="3">
        <f>IF(ParagonAbilities1Scenario1[[#This Row],[takes]]&gt;0,ParagonAbilities1Scenario1[[#This Row],[wins]]/ParagonAbilities1Scenario1[[#This Row],[takes]],0)</f>
        <v>0.4838709677419355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42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12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18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31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4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3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6</v>
      </c>
      <c r="N29" s="2">
        <f>COUNTIF(Scenario1[winner1-ability2],ParagonAbilities2Scenario1[[#This Row],[ability]])+COUNTIF(Scenario1[winner2-ability2],ParagonAbilities2Scenario1[[#This Row],[ability]])</f>
        <v>3</v>
      </c>
      <c r="O29" s="12">
        <f>IF(SUM(ParagonAbilities2Scenario1[[#This Row],[takes]]) &gt; 0,ParagonAbilities2Scenario1[[#This Row],[takes]]/SUM(ParagonAbilities2Scenario1[takes]),0)</f>
        <v>9.0909090909090912E-2</v>
      </c>
      <c r="P29" s="12">
        <f>IF(ParagonAbilities2Scenario1[[#This Row],[takes]]&gt;0,ParagonAbilities2Scenario1[[#This Row],[wins]]/ParagonAbilities2Scenario1[[#This Row],[takes]],0)</f>
        <v>0.5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45</v>
      </c>
      <c r="N30" s="2">
        <f>COUNTIF(Scenario1[winner1-ability2],ParagonAbilities2Scenario1[[#This Row],[ability]])+COUNTIF(Scenario1[winner2-ability2],ParagonAbilities2Scenario1[[#This Row],[ability]])</f>
        <v>19</v>
      </c>
      <c r="O30" s="3">
        <f>IF(SUM(ParagonAbilities2Scenario1[[#This Row],[takes]]) &gt; 0,ParagonAbilities2Scenario1[[#This Row],[takes]]/SUM(ParagonAbilities2Scenario1[takes]),0)</f>
        <v>0.68181818181818177</v>
      </c>
      <c r="P30" s="3">
        <f>IF(ParagonAbilities2Scenario1[[#This Row],[takes]]&gt;0,ParagonAbilities2Scenario1[[#This Row],[wins]]/ParagonAbilities2Scenario1[[#This Row],[takes]],0)</f>
        <v>0.42222222222222222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15</v>
      </c>
      <c r="N31" s="2">
        <f>COUNTIF(Scenario1[winner1-ability2],ParagonAbilities2Scenario1[[#This Row],[ability]])+COUNTIF(Scenario1[winner2-ability2],ParagonAbilities2Scenario1[[#This Row],[ability]])</f>
        <v>11</v>
      </c>
      <c r="O31" s="13">
        <f>IF(SUM(ParagonAbilities2Scenario1[[#This Row],[takes]]) &gt; 0,ParagonAbilities2Scenario1[[#This Row],[takes]]/SUM(ParagonAbilities2Scenario1[takes]),0)</f>
        <v>0.22727272727272727</v>
      </c>
      <c r="P31" s="13">
        <f>IF(ParagonAbilities2Scenario1[[#This Row],[takes]]&gt;0,ParagonAbilities2Scenario1[[#This Row],[wins]]/ParagonAbilities2Scenario1[[#This Row],[takes]],0)</f>
        <v>0.73333333333333328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5</v>
      </c>
      <c r="N34" s="1">
        <f>COUNTIF(Scenario1[winner1-ability3],ParagonAbilities3Scenario1[[#This Row],[ability]])+COUNTIF(Scenario1[winner2-ability3],ParagonAbilities3Scenario1[[#This Row],[ability]])</f>
        <v>5</v>
      </c>
      <c r="O34" s="14">
        <f>IF(SUM(ParagonAbilities3Scenario1[[#This Row],[takes]]) &gt; 0,ParagonAbilities3Scenario1[[#This Row],[takes]]/SUM(ParagonAbilities3Scenario1[takes]),0)</f>
        <v>0.18518518518518517</v>
      </c>
      <c r="P34" s="14">
        <f>IF(ParagonAbilities3Scenario1[[#This Row],[takes]]&gt;0,ParagonAbilities3Scenario1[[#This Row],[wins]]/ParagonAbilities3Scenario1[[#This Row],[takes]],0)</f>
        <v>1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14</v>
      </c>
      <c r="N35" s="2">
        <f>COUNTIF(Scenario1[winner1-ability3],ParagonAbilities3Scenario1[[#This Row],[ability]])+COUNTIF(Scenario1[winner2-ability3],ParagonAbilities3Scenario1[[#This Row],[ability]])</f>
        <v>5</v>
      </c>
      <c r="O35" s="12">
        <f>IF(SUM(ParagonAbilities3Scenario1[[#This Row],[takes]]) &gt; 0,ParagonAbilities3Scenario1[[#This Row],[takes]]/SUM(ParagonAbilities3Scenario1[takes]),0)</f>
        <v>0.51851851851851849</v>
      </c>
      <c r="P35" s="12">
        <f>IF(ParagonAbilities3Scenario1[[#This Row],[takes]]&gt;0,ParagonAbilities3Scenario1[[#This Row],[wins]]/ParagonAbilities3Scenario1[[#This Row],[takes]],0)</f>
        <v>0.35714285714285715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8</v>
      </c>
      <c r="N36" s="1">
        <f>COUNTIF(Scenario1[winner1-ability3],ParagonAbilities3Scenario1[[#This Row],[ability]])+COUNTIF(Scenario1[winner2-ability3],ParagonAbilities3Scenario1[[#This Row],[ability]])</f>
        <v>1</v>
      </c>
      <c r="O36" s="15">
        <f>IF(SUM(ParagonAbilities3Scenario1[[#This Row],[takes]]) &gt; 0,ParagonAbilities3Scenario1[[#This Row],[takes]]/SUM(ParagonAbilities3Scenario1[takes]),0)</f>
        <v>0.29629629629629628</v>
      </c>
      <c r="P36" s="15">
        <f>IF(ParagonAbilities3Scenario1[[#This Row],[takes]]&gt;0,ParagonAbilities3Scenario1[[#This Row],[wins]]/ParagonAbilities3Scenario1[[#This Row],[takes]],0)</f>
        <v>0.125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3</v>
      </c>
      <c r="N39" s="2">
        <f>COUNTIF(Scenario1[winner1-ability4],ParagonAbilities4Scenario1[[#This Row],[ability]])+COUNTIF(Scenario1[winner2-ability4],ParagonAbilities4Scenario1[[#This Row],[ability]])</f>
        <v>2</v>
      </c>
      <c r="O39" s="12">
        <f>IF(SUM(ParagonAbilities4Scenario1[[#This Row],[takes]]) &gt; 0,ParagonAbilities4Scenario1[[#This Row],[takes]]/SUM(ParagonAbilities4Scenario1[takes]),0)</f>
        <v>0.75</v>
      </c>
      <c r="P39" s="12">
        <f>IF(ParagonAbilities4Scenario1[[#This Row],[takes]]&gt;0,ParagonAbilities4Scenario1[[#This Row],[wins]]/ParagonAbilities4Scenario1[[#This Row],[takes]],0)</f>
        <v>0.66666666666666663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41" s="2">
        <f>COUNTIF(Scenario1[winner1-ability4],ParagonAbilities4Scenario1[[#This Row],[ability]])+COUNTIF(Scenario1[winner2-ability4],ParagonAbilities4Scenario1[[#This Row],[ability]])</f>
        <v>1</v>
      </c>
      <c r="O41" s="26">
        <f>IF(SUM(ParagonAbilities4Scenario1[[#This Row],[takes]]) &gt; 0,ParagonAbilities4Scenario1[[#This Row],[takes]]/SUM(ParagonAbilities4Scenario1[takes]),0)</f>
        <v>0.25</v>
      </c>
      <c r="P41" s="26">
        <f>IF(ParagonAbilities4Scenario1[[#This Row],[takes]]&gt;0,ParagonAbilities4Scenario1[[#This Row],[wins]]/ParagonAbilities4Scenario1[[#This Row],[takes]],0)</f>
        <v>1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4</v>
      </c>
      <c r="T45">
        <f>COUNTIFS(Scenario2[winner1],"paragon",Scenario2[winner1-sw],ParagonEquipScenario2[[#This Row],[level]])+COUNTIFS(Scenario2[loser1],"paragon",Scenario2[loser1-sw],ParagonEquipScenario2[[#This Row],[level]])</f>
        <v>6</v>
      </c>
      <c r="U45" s="18">
        <f>COUNTIFS(Scenario2[winner1],"paragon",Scenario2[winner1-cp],ParagonEquipScenario2[[#This Row],[level]])+COUNTIFS(Scenario2[loser1],"paragon",Scenario2[loser1-cp],ParagonEquipScenario2[[#This Row],[level]])</f>
        <v>5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4</v>
      </c>
      <c r="N46">
        <f>COUNTIF(Scenario2[winner1-ability1],ParagonAbilities1Scenario2[[#This Row],[ability]])</f>
        <v>1</v>
      </c>
      <c r="O46" s="3">
        <f>IF(SUM(ParagonAbilities1Scenario2[[#This Row],[takes]]) &gt; 0,ParagonAbilities1Scenario2[[#This Row],[takes]]/SUM(ParagonAbilities1Scenario2[takes]),0)</f>
        <v>0.2857142857142857</v>
      </c>
      <c r="P46" s="3">
        <f>IF(ParagonAbilities1Scenario2[[#This Row],[takes]]&gt;0,ParagonAbilities1Scenario2[[#This Row],[wins]]/ParagonAbilities1Scenario2[[#This Row],[takes]],0)</f>
        <v>0.25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2</v>
      </c>
      <c r="T46">
        <f>COUNTIFS(Scenario2[winner1],"paragon",Scenario2[winner1-sw],ParagonEquipScenario2[[#This Row],[level]])+COUNTIFS(Scenario2[loser1],"paragon",Scenario2[loser1-sw],ParagonEquipScenario2[[#This Row],[level]])</f>
        <v>3</v>
      </c>
      <c r="U46" s="18">
        <f>COUNTIFS(Scenario2[winner1],"paragon",Scenario2[winner1-cp],ParagonEquipScenario2[[#This Row],[level]])+COUNTIFS(Scenario2[loser1],"paragon",Scenario2[loser1-cp],ParagonEquipScenario2[[#This Row],[level]])</f>
        <v>3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10</v>
      </c>
      <c r="N47">
        <f>COUNTIF(Scenario2[winner1-ability1],ParagonAbilities1Scenario2[[#This Row],[ability]])</f>
        <v>8</v>
      </c>
      <c r="O47" s="3">
        <f>IF(SUM(ParagonAbilities1Scenario2[[#This Row],[takes]]) &gt; 0,ParagonAbilities1Scenario2[[#This Row],[takes]]/SUM(ParagonAbilities1Scenario2[takes]),0)</f>
        <v>0.7142857142857143</v>
      </c>
      <c r="P47" s="3">
        <f>IF(ParagonAbilities1Scenario2[[#This Row],[takes]]&gt;0,ParagonAbilities1Scenario2[[#This Row],[wins]]/ParagonAbilities1Scenario2[[#This Row],[takes]],0)</f>
        <v>0.8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8</v>
      </c>
      <c r="T47">
        <f>COUNTIFS(Scenario2[winner1],"paragon",Scenario2[winner1-sw],ParagonEquipScenario2[[#This Row],[level]])+COUNTIFS(Scenario2[loser1],"paragon",Scenario2[loser1-sw],ParagonEquipScenario2[[#This Row],[level]])</f>
        <v>5</v>
      </c>
      <c r="U47" s="18">
        <f>COUNTIFS(Scenario2[winner1],"paragon",Scenario2[winner1-cp],ParagonEquipScenario2[[#This Row],[level]])+COUNTIFS(Scenario2[loser1],"paragon",Scenario2[loser1-cp],ParagonEquipScenario2[[#This Row],[level]])</f>
        <v>6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7</v>
      </c>
      <c r="N50" s="2">
        <f>COUNTIF(Scenario2[winner1-ability2],ParagonAbilities2Scenario2[[#This Row],[ability]])</f>
        <v>5</v>
      </c>
      <c r="O50" s="12">
        <f>IF(SUM(ParagonAbilities2Scenario2[[#This Row],[takes]]) &gt; 0,ParagonAbilities2Scenario2[[#This Row],[takes]]/SUM(ParagonAbilities2Scenario2[takes]),0)</f>
        <v>0.53846153846153844</v>
      </c>
      <c r="P50" s="12">
        <f>IF(ParagonAbilities2Scenario2[[#This Row],[takes]]&gt;0,ParagonAbilities2Scenario2[[#This Row],[wins]]/ParagonAbilities2Scenario2[[#This Row],[takes]],0)</f>
        <v>0.7142857142857143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6</v>
      </c>
      <c r="N51" s="2">
        <f>COUNTIF(Scenario2[winner1-ability2],ParagonAbilities2Scenario2[[#This Row],[ability]])</f>
        <v>4</v>
      </c>
      <c r="O51" s="3">
        <f>IF(SUM(ParagonAbilities2Scenario2[[#This Row],[takes]]) &gt; 0,ParagonAbilities2Scenario2[[#This Row],[takes]]/SUM(ParagonAbilities2Scenario2[takes]),0)</f>
        <v>0.46153846153846156</v>
      </c>
      <c r="P51" s="3">
        <f>IF(ParagonAbilities2Scenario2[[#This Row],[takes]]&gt;0,ParagonAbilities2Scenario2[[#This Row],[wins]]/ParagonAbilities2Scenario2[[#This Row],[takes]],0)</f>
        <v>0.66666666666666663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5</v>
      </c>
      <c r="N55" s="1">
        <f>COUNTIF(Scenario2[winner1-ability3],ParagonAbilities3Scenario2[[#This Row],[ability]])</f>
        <v>5</v>
      </c>
      <c r="O55" s="14">
        <f>IF(SUM(ParagonAbilities3Scenario2[[#This Row],[takes]]) &gt; 0,ParagonAbilities3Scenario2[[#This Row],[takes]]/SUM(ParagonAbilities3Scenario2[takes]),0)</f>
        <v>0.5</v>
      </c>
      <c r="P55" s="14">
        <f>IF(ParagonAbilities3Scenario2[[#This Row],[takes]]&gt;0,ParagonAbilities3Scenario2[[#This Row],[wins]]/ParagonAbilities3Scenario2[[#This Row],[takes]],0)</f>
        <v>1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1</v>
      </c>
      <c r="N56" s="2">
        <f>COUNTIF(Scenario2[winner1-ability3],ParagonAbilities3Scenario2[[#This Row],[ability]])</f>
        <v>1</v>
      </c>
      <c r="O56" s="12">
        <f>IF(SUM(ParagonAbilities3Scenario2[[#This Row],[takes]]) &gt; 0,ParagonAbilities3Scenario2[[#This Row],[takes]]/SUM(ParagonAbilities3Scenario2[takes]),0)</f>
        <v>0.1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4</v>
      </c>
      <c r="N57" s="1">
        <f>COUNTIF(Scenario2[winner1-ability3],ParagonAbilities3Scenario2[[#This Row],[ability]])</f>
        <v>2</v>
      </c>
      <c r="O57" s="15">
        <f>IF(SUM(ParagonAbilities3Scenario2[[#This Row],[takes]]) &gt; 0,ParagonAbilities3Scenario2[[#This Row],[takes]]/SUM(ParagonAbilities3Scenario2[takes]),0)</f>
        <v>0.4</v>
      </c>
      <c r="P57" s="15">
        <f>IF(ParagonAbilities3Scenario2[[#This Row],[takes]]&gt;0,ParagonAbilities3Scenario2[[#This Row],[wins]]/ParagonAbilities3Scenario2[[#This Row],[takes]],0)</f>
        <v>0.5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3</v>
      </c>
      <c r="N60" s="2">
        <f>COUNTIF(Scenario2[winner1-ability4],ParagonAbilities4Scenario2[[#This Row],[ability]])</f>
        <v>3</v>
      </c>
      <c r="O60" s="12">
        <f>IF(SUM(ParagonAbilities4Scenario2[[#This Row],[takes]]) &gt; 0,ParagonAbilities4Scenario2[[#This Row],[takes]]/SUM(ParagonAbilities4Scenario2[takes]),0)</f>
        <v>0.75</v>
      </c>
      <c r="P60" s="12">
        <f>IF(ParagonAbilities4Scenario2[[#This Row],[takes]]&gt;0,ParagonAbilities4Scenario2[[#This Row],[wins]]/ParagonAbilities4Scenario2[[#This Row],[takes]],0)</f>
        <v>1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1</v>
      </c>
      <c r="N61" s="2">
        <f>COUNTIF(Scenario2[winner1-ability4],ParagonAbilities4Scenario2[[#This Row],[ability]])</f>
        <v>1</v>
      </c>
      <c r="O61" s="12">
        <f>IF(SUM(ParagonAbilities4Scenario2[[#This Row],[takes]]) &gt; 0,ParagonAbilities4Scenario2[[#This Row],[takes]]/SUM(ParagonAbilities4Scenario2[takes]),0)</f>
        <v>0.25</v>
      </c>
      <c r="P61" s="12">
        <f>IF(ParagonAbilities4Scenario2[[#This Row],[takes]]&gt;0,ParagonAbilities4Scenario2[[#This Row],[wins]]/ParagonAbilities4Scenario2[[#This Row],[takes]],0)</f>
        <v>1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6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0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2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21</v>
      </c>
      <c r="N68">
        <f>COUNTIF(Scenario3[winner1-ability1],ParagonAbilities1Scenario3[[#This Row],[ability]])</f>
        <v>10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0.47619047619047616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15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19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19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12</v>
      </c>
      <c r="N71" s="2">
        <f>COUNTIF(Scenario3[winner1-ability2],ParagonAbilities2Scenario3[[#This Row],[ability]])</f>
        <v>8</v>
      </c>
      <c r="O71" s="12">
        <f>IF(SUM(ParagonAbilities2Scenario3[[#This Row],[takes]]) &gt; 0,ParagonAbilities2Scenario3[[#This Row],[takes]]/SUM(ParagonAbilities2Scenario3[takes]),0)</f>
        <v>0.6</v>
      </c>
      <c r="P71" s="12">
        <f>IF(ParagonAbilities2Scenario3[[#This Row],[takes]]&gt;0,ParagonAbilities2Scenario3[[#This Row],[wins]]/ParagonAbilities2Scenario3[[#This Row],[takes]],0)</f>
        <v>0.66666666666666663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8</v>
      </c>
      <c r="N72" s="2">
        <f>COUNTIF(Scenario3[winner1-ability2],ParagonAbilities2Scenario3[[#This Row],[ability]])</f>
        <v>2</v>
      </c>
      <c r="O72" s="3">
        <f>IF(SUM(ParagonAbilities2Scenario3[[#This Row],[takes]]) &gt; 0,ParagonAbilities2Scenario3[[#This Row],[takes]]/SUM(ParagonAbilities2Scenario3[takes]),0)</f>
        <v>0.4</v>
      </c>
      <c r="P72" s="3">
        <f>IF(ParagonAbilities2Scenario3[[#This Row],[takes]]&gt;0,ParagonAbilities2Scenario3[[#This Row],[wins]]/ParagonAbilities2Scenario3[[#This Row],[takes]],0)</f>
        <v>0.25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8</v>
      </c>
      <c r="N76" s="1">
        <f>COUNTIF(Scenario3[winner1-ability3],ParagonAbilities3Scenario3[[#This Row],[ability]])</f>
        <v>6</v>
      </c>
      <c r="O76" s="14">
        <f>IF(SUM(ParagonAbilities3Scenario3[[#This Row],[takes]]) &gt; 0,ParagonAbilities3Scenario3[[#This Row],[takes]]/SUM(ParagonAbilities3Scenario3[takes]),0)</f>
        <v>0.47058823529411764</v>
      </c>
      <c r="P76" s="14">
        <f>IF(ParagonAbilities3Scenario3[[#This Row],[takes]]&gt;0,ParagonAbilities3Scenario3[[#This Row],[wins]]/ParagonAbilities3Scenario3[[#This Row],[takes]],0)</f>
        <v>0.75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5</v>
      </c>
      <c r="N77" s="2">
        <f>COUNTIF(Scenario3[winner1-ability3],ParagonAbilities3Scenario3[[#This Row],[ability]])</f>
        <v>2</v>
      </c>
      <c r="O77" s="12">
        <f>IF(SUM(ParagonAbilities3Scenario3[[#This Row],[takes]]) &gt; 0,ParagonAbilities3Scenario3[[#This Row],[takes]]/SUM(ParagonAbilities3Scenario3[takes]),0)</f>
        <v>0.29411764705882354</v>
      </c>
      <c r="P77" s="12">
        <f>IF(ParagonAbilities3Scenario3[[#This Row],[takes]]&gt;0,ParagonAbilities3Scenario3[[#This Row],[wins]]/ParagonAbilities3Scenario3[[#This Row],[takes]],0)</f>
        <v>0.4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4</v>
      </c>
      <c r="N78" s="1">
        <f>COUNTIF(Scenario3[winner1-ability3],ParagonAbilities3Scenario3[[#This Row],[ability]])</f>
        <v>2</v>
      </c>
      <c r="O78" s="15">
        <f>IF(SUM(ParagonAbilities3Scenario3[[#This Row],[takes]]) &gt; 0,ParagonAbilities3Scenario3[[#This Row],[takes]]/SUM(ParagonAbilities3Scenario3[takes]),0)</f>
        <v>0.23529411764705882</v>
      </c>
      <c r="P78" s="15">
        <f>IF(ParagonAbilities3Scenario3[[#This Row],[takes]]&gt;0,ParagonAbilities3Scenario3[[#This Row],[wins]]/ParagonAbilities3Scenario3[[#This Row],[takes]],0)</f>
        <v>0.5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8</v>
      </c>
      <c r="N81" s="2">
        <f>COUNTIF(Scenario3[winner1-ability4],ParagonAbilities4Scenario3[[#This Row],[ability]])</f>
        <v>5</v>
      </c>
      <c r="O81" s="12">
        <f>IF(SUM(ParagonAbilities4Scenario3[[#This Row],[takes]]) &gt; 0,ParagonAbilities4Scenario3[[#This Row],[takes]]/SUM(ParagonAbilities4Scenario3[takes]),0)</f>
        <v>0.5714285714285714</v>
      </c>
      <c r="P81" s="12">
        <f>IF(ParagonAbilities4Scenario3[[#This Row],[takes]]&gt;0,ParagonAbilities4Scenario3[[#This Row],[wins]]/ParagonAbilities4Scenario3[[#This Row],[takes]],0)</f>
        <v>0.625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6</v>
      </c>
      <c r="N82" s="2">
        <f>COUNTIF(Scenario3[winner1-ability4],ParagonAbilities4Scenario3[[#This Row],[ability]])</f>
        <v>4</v>
      </c>
      <c r="O82" s="12">
        <f>IF(SUM(ParagonAbilities4Scenario3[[#This Row],[takes]]) &gt; 0,ParagonAbilities4Scenario3[[#This Row],[takes]]/SUM(ParagonAbilities4Scenario3[takes]),0)</f>
        <v>0.42857142857142855</v>
      </c>
      <c r="P82" s="12">
        <f>IF(ParagonAbilities4Scenario3[[#This Row],[takes]]&gt;0,ParagonAbilities4Scenario3[[#This Row],[wins]]/ParagonAbilities4Scenario3[[#This Row],[takes]],0)</f>
        <v>0.66666666666666663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6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1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4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1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1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35</v>
      </c>
      <c r="N89">
        <f>COUNTIF(Scenario4[winner1-ability1],ParagonAbilities1Scenario4[[#This Row],[ability]])</f>
        <v>6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0.17142857142857143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25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34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33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16</v>
      </c>
      <c r="N92" s="2">
        <f>COUNTIF(Scenario4[winner1-ability2],ParagonAbilities2Scenario4[[#This Row],[ability]])</f>
        <v>5</v>
      </c>
      <c r="O92" s="12">
        <f>IF(SUM(ParagonAbilities2Scenario4[[#This Row],[takes]]) &gt; 0,ParagonAbilities2Scenario4[[#This Row],[takes]]/SUM(ParagonAbilities2Scenario4[takes]),0)</f>
        <v>0.5</v>
      </c>
      <c r="P92" s="12">
        <f>IF(ParagonAbilities2Scenario4[[#This Row],[takes]]&gt;0,ParagonAbilities2Scenario4[[#This Row],[wins]]/ParagonAbilities2Scenario4[[#This Row],[takes]],0)</f>
        <v>0.3125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16</v>
      </c>
      <c r="N93" s="2">
        <f>COUNTIF(Scenario4[winner1-ability2],ParagonAbilities2Scenario4[[#This Row],[ability]])</f>
        <v>1</v>
      </c>
      <c r="O93" s="3">
        <f>IF(SUM(ParagonAbilities2Scenario4[[#This Row],[takes]]) &gt; 0,ParagonAbilities2Scenario4[[#This Row],[takes]]/SUM(ParagonAbilities2Scenario4[takes]),0)</f>
        <v>0.5</v>
      </c>
      <c r="P93" s="3">
        <f>IF(ParagonAbilities2Scenario4[[#This Row],[takes]]&gt;0,ParagonAbilities2Scenario4[[#This Row],[wins]]/ParagonAbilities2Scenario4[[#This Row],[takes]],0)</f>
        <v>6.25E-2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5</v>
      </c>
      <c r="N97" s="1">
        <f>COUNTIF(Scenario4[winner1-ability3],ParagonAbilities3Scenario4[[#This Row],[ability]])</f>
        <v>0</v>
      </c>
      <c r="O97" s="14">
        <f>IF(SUM(ParagonAbilities3Scenario4[[#This Row],[takes]]) &gt; 0,ParagonAbilities3Scenario4[[#This Row],[takes]]/SUM(ParagonAbilities3Scenario4[takes]),0)</f>
        <v>0.16666666666666666</v>
      </c>
      <c r="P97" s="14">
        <f>IF(ParagonAbilities3Scenario4[[#This Row],[takes]]&gt;0,ParagonAbilities3Scenario4[[#This Row],[wins]]/ParagonAbilities3Scenario4[[#This Row],[takes]],0)</f>
        <v>0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12</v>
      </c>
      <c r="N98" s="2">
        <f>COUNTIF(Scenario4[winner1-ability3],ParagonAbilities3Scenario4[[#This Row],[ability]])</f>
        <v>4</v>
      </c>
      <c r="O98" s="12">
        <f>IF(SUM(ParagonAbilities3Scenario4[[#This Row],[takes]]) &gt; 0,ParagonAbilities3Scenario4[[#This Row],[takes]]/SUM(ParagonAbilities3Scenario4[takes]),0)</f>
        <v>0.4</v>
      </c>
      <c r="P98" s="12">
        <f>IF(ParagonAbilities3Scenario4[[#This Row],[takes]]&gt;0,ParagonAbilities3Scenario4[[#This Row],[wins]]/ParagonAbilities3Scenario4[[#This Row],[takes]],0)</f>
        <v>0.33333333333333331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13</v>
      </c>
      <c r="N99" s="1">
        <f>COUNTIF(Scenario4[winner1-ability3],ParagonAbilities3Scenario4[[#This Row],[ability]])</f>
        <v>2</v>
      </c>
      <c r="O99" s="15">
        <f>IF(SUM(ParagonAbilities3Scenario4[[#This Row],[takes]]) &gt; 0,ParagonAbilities3Scenario4[[#This Row],[takes]]/SUM(ParagonAbilities3Scenario4[takes]),0)</f>
        <v>0.43333333333333335</v>
      </c>
      <c r="P99" s="15">
        <f>IF(ParagonAbilities3Scenario4[[#This Row],[takes]]&gt;0,ParagonAbilities3Scenario4[[#This Row],[wins]]/ParagonAbilities3Scenario4[[#This Row],[takes]],0)</f>
        <v>0.15384615384615385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20</v>
      </c>
      <c r="N102" s="2">
        <f>COUNTIF(Scenario4[winner1-ability4],ParagonAbilities4Scenario4[[#This Row],[ability]])</f>
        <v>4</v>
      </c>
      <c r="O102" s="12">
        <f>IF(SUM(ParagonAbilities4Scenario4[[#This Row],[takes]]) &gt; 0,ParagonAbilities4Scenario4[[#This Row],[takes]]/SUM(ParagonAbilities4Scenario4[takes]),0)</f>
        <v>0.7142857142857143</v>
      </c>
      <c r="P102" s="12">
        <f>IF(ParagonAbilities4Scenario4[[#This Row],[takes]]&gt;0,ParagonAbilities4Scenario4[[#This Row],[wins]]/ParagonAbilities4Scenario4[[#This Row],[takes]],0)</f>
        <v>0.2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8</v>
      </c>
      <c r="N103" s="2">
        <f>COUNTIF(Scenario4[winner1-ability4],ParagonAbilities4Scenario4[[#This Row],[ability]])</f>
        <v>2</v>
      </c>
      <c r="O103" s="12">
        <f>IF(SUM(ParagonAbilities4Scenario4[[#This Row],[takes]]) &gt; 0,ParagonAbilities4Scenario4[[#This Row],[takes]]/SUM(ParagonAbilities4Scenario4[takes]),0)</f>
        <v>0.2857142857142857</v>
      </c>
      <c r="P103" s="12">
        <f>IF(ParagonAbilities4Scenario4[[#This Row],[takes]]&gt;0,ParagonAbilities4Scenario4[[#This Row],[wins]]/ParagonAbilities4Scenario4[[#This Row],[takes]],0)</f>
        <v>0.25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0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>
        <f>COUNTIF(Scenario5[winner1-ability1],ParagonAbilities1Scenario5[[#This Row],[ability]])+COUNTIF(Scenario5[winner2-ability1],ParagonAbilities1Scenario5[[#This Row],[ability]])</f>
        <v>0</v>
      </c>
      <c r="O108" s="3">
        <f>IF(SUM(ParagonAbilities1Scenario5[[#This Row],[takes]]) &gt; 0,ParagonAbilities1Scenario5[[#This Row],[takes]]/SUM(ParagonAbilities1Scenario5[takes]),0)</f>
        <v>0</v>
      </c>
      <c r="P108" s="3">
        <f>IF(ParagonAbilities1Scenario5[[#This Row],[takes]]&gt;0,ParagonAbilities1Scenario5[[#This Row],[wins]]/ParagonAbilities1Scenario5[[#This Row],[takes]],0)</f>
        <v>0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47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67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49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17</v>
      </c>
      <c r="N109">
        <f>COUNTIF(Scenario5[winner1-ability1],ParagonAbilities1Scenario5[[#This Row],[ability]])+COUNTIF(Scenario5[winner2-ability1],ParagonAbilities1Scenario5[[#This Row],[ability]])</f>
        <v>10</v>
      </c>
      <c r="O109" s="3">
        <f>IF(SUM(ParagonAbilities1Scenario5[[#This Row],[takes]]) &gt; 0,ParagonAbilities1Scenario5[[#This Row],[takes]]/SUM(ParagonAbilities1Scenario5[takes]),0)</f>
        <v>0.16190476190476191</v>
      </c>
      <c r="P109" s="3">
        <f>IF(ParagonAbilities1Scenario5[[#This Row],[takes]]&gt;0,ParagonAbilities1Scenario5[[#This Row],[wins]]/ParagonAbilities1Scenario5[[#This Row],[takes]],0)</f>
        <v>0.58823529411764708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32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22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30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88</v>
      </c>
      <c r="N110">
        <f>COUNTIF(Scenario5[winner1-ability1],ParagonAbilities1Scenario5[[#This Row],[ability]])+COUNTIF(Scenario5[winner2-ability1],ParagonAbilities1Scenario5[[#This Row],[ability]])</f>
        <v>52</v>
      </c>
      <c r="O110" s="3">
        <f>IF(SUM(ParagonAbilities1Scenario5[[#This Row],[takes]]) &gt; 0,ParagonAbilities1Scenario5[[#This Row],[takes]]/SUM(ParagonAbilities1Scenario5[takes]),0)</f>
        <v>0.83809523809523812</v>
      </c>
      <c r="P110" s="3">
        <f>IF(ParagonAbilities1Scenario5[[#This Row],[takes]]&gt;0,ParagonAbilities1Scenario5[[#This Row],[wins]]/ParagonAbilities1Scenario5[[#This Row],[takes]],0)</f>
        <v>0.59090909090909094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26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16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26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36</v>
      </c>
      <c r="N113" s="2">
        <f>COUNTIF(Scenario5[winner1-ability2],ParagonAbilities2Scenario5[[#This Row],[ability]])+COUNTIF(Scenario5[winner2-ability2],ParagonAbilities2Scenario5[[#This Row],[ability]])</f>
        <v>19</v>
      </c>
      <c r="O113" s="12">
        <f>IF(SUM(ParagonAbilities2Scenario5[[#This Row],[takes]]) &gt; 0,ParagonAbilities2Scenario5[[#This Row],[takes]]/SUM(ParagonAbilities2Scenario5[takes]),0)</f>
        <v>0.35643564356435642</v>
      </c>
      <c r="P113" s="12">
        <f>IF(ParagonAbilities2Scenario5[[#This Row],[takes]]&gt;0,ParagonAbilities2Scenario5[[#This Row],[wins]]/ParagonAbilities2Scenario5[[#This Row],[takes]],0)</f>
        <v>0.52777777777777779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27</v>
      </c>
      <c r="N114" s="2">
        <f>COUNTIF(Scenario5[winner1-ability2],ParagonAbilities2Scenario5[[#This Row],[ability]])+COUNTIF(Scenario5[winner2-ability2],ParagonAbilities2Scenario5[[#This Row],[ability]])</f>
        <v>12</v>
      </c>
      <c r="O114" s="3">
        <f>IF(SUM(ParagonAbilities2Scenario5[[#This Row],[takes]]) &gt; 0,ParagonAbilities2Scenario5[[#This Row],[takes]]/SUM(ParagonAbilities2Scenario5[takes]),0)</f>
        <v>0.26732673267326734</v>
      </c>
      <c r="P114" s="3">
        <f>IF(ParagonAbilities2Scenario5[[#This Row],[takes]]&gt;0,ParagonAbilities2Scenario5[[#This Row],[wins]]/ParagonAbilities2Scenario5[[#This Row],[takes]],0)</f>
        <v>0.44444444444444442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38</v>
      </c>
      <c r="N115" s="2">
        <f>COUNTIF(Scenario5[winner1-ability2],ParagonAbilities2Scenario5[[#This Row],[ability]])+COUNTIF(Scenario5[winner2-ability2],ParagonAbilities2Scenario5[[#This Row],[ability]])</f>
        <v>30</v>
      </c>
      <c r="O115" s="13">
        <f>IF(SUM(ParagonAbilities2Scenario5[[#This Row],[takes]]) &gt; 0,ParagonAbilities2Scenario5[[#This Row],[takes]]/SUM(ParagonAbilities2Scenario5[takes]),0)</f>
        <v>0.37623762376237624</v>
      </c>
      <c r="P115" s="13">
        <f>IF(ParagonAbilities2Scenario5[[#This Row],[takes]]&gt;0,ParagonAbilities2Scenario5[[#This Row],[wins]]/ParagonAbilities2Scenario5[[#This Row],[takes]],0)</f>
        <v>0.78947368421052633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33</v>
      </c>
      <c r="N118" s="1">
        <f>COUNTIF(Scenario5[winner1-ability3],ParagonAbilities3Scenario5[[#This Row],[ability]])+COUNTIF(Scenario5[winner2-ability3],ParagonAbilities3Scenario5[[#This Row],[ability]])</f>
        <v>29</v>
      </c>
      <c r="O118" s="14">
        <f>IF(SUM(ParagonAbilities3Scenario5[[#This Row],[takes]]) &gt; 0,ParagonAbilities3Scenario5[[#This Row],[takes]]/SUM(ParagonAbilities3Scenario5[takes]),0)</f>
        <v>0.39285714285714285</v>
      </c>
      <c r="P118" s="14">
        <f>IF(ParagonAbilities3Scenario5[[#This Row],[takes]]&gt;0,ParagonAbilities3Scenario5[[#This Row],[wins]]/ParagonAbilities3Scenario5[[#This Row],[takes]],0)</f>
        <v>0.87878787878787878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19</v>
      </c>
      <c r="N119" s="2">
        <f>COUNTIF(Scenario5[winner1-ability3],ParagonAbilities3Scenario5[[#This Row],[ability]])+COUNTIF(Scenario5[winner2-ability3],ParagonAbilities3Scenario5[[#This Row],[ability]])</f>
        <v>9</v>
      </c>
      <c r="O119" s="12">
        <f>IF(SUM(ParagonAbilities3Scenario5[[#This Row],[takes]]) &gt; 0,ParagonAbilities3Scenario5[[#This Row],[takes]]/SUM(ParagonAbilities3Scenario5[takes]),0)</f>
        <v>0.22619047619047619</v>
      </c>
      <c r="P119" s="12">
        <f>IF(ParagonAbilities3Scenario5[[#This Row],[takes]]&gt;0,ParagonAbilities3Scenario5[[#This Row],[wins]]/ParagonAbilities3Scenario5[[#This Row],[takes]],0)</f>
        <v>0.47368421052631576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32</v>
      </c>
      <c r="N120" s="1">
        <f>COUNTIF(Scenario5[winner1-ability3],ParagonAbilities3Scenario5[[#This Row],[ability]])+COUNTIF(Scenario5[winner2-ability3],ParagonAbilities3Scenario5[[#This Row],[ability]])</f>
        <v>17</v>
      </c>
      <c r="O120" s="15">
        <f>IF(SUM(ParagonAbilities3Scenario5[[#This Row],[takes]]) &gt; 0,ParagonAbilities3Scenario5[[#This Row],[takes]]/SUM(ParagonAbilities3Scenario5[takes]),0)</f>
        <v>0.38095238095238093</v>
      </c>
      <c r="P120" s="15">
        <f>IF(ParagonAbilities3Scenario5[[#This Row],[takes]]&gt;0,ParagonAbilities3Scenario5[[#This Row],[wins]]/ParagonAbilities3Scenario5[[#This Row],[takes]],0)</f>
        <v>0.53125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11</v>
      </c>
      <c r="N123" s="2">
        <f>COUNTIF(Scenario5[winner1-ability4],ParagonAbilities4Scenario5[[#This Row],[ability]])+COUNTIF(Scenario5[winner2-ability4],ParagonAbilities4Scenario5[[#This Row],[ability]])</f>
        <v>9</v>
      </c>
      <c r="O123" s="12">
        <f>IF(SUM(ParagonAbilities4Scenario5[[#This Row],[takes]]) &gt; 0,ParagonAbilities4Scenario5[[#This Row],[takes]]/SUM(ParagonAbilities4Scenario5[takes]),0)</f>
        <v>0.21568627450980393</v>
      </c>
      <c r="P123" s="12">
        <f>IF(ParagonAbilities4Scenario5[[#This Row],[takes]]&gt;0,ParagonAbilities4Scenario5[[#This Row],[wins]]/ParagonAbilities4Scenario5[[#This Row],[takes]],0)</f>
        <v>0.81818181818181823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12</v>
      </c>
      <c r="N124" s="2">
        <f>COUNTIF(Scenario5[winner1-ability4],ParagonAbilities4Scenario5[[#This Row],[ability]])+COUNTIF(Scenario5[winner2-ability4],ParagonAbilities4Scenario5[[#This Row],[ability]])</f>
        <v>8</v>
      </c>
      <c r="O124" s="12">
        <f>IF(SUM(ParagonAbilities4Scenario5[[#This Row],[takes]]) &gt; 0,ParagonAbilities4Scenario5[[#This Row],[takes]]/SUM(ParagonAbilities4Scenario5[takes]),0)</f>
        <v>0.23529411764705882</v>
      </c>
      <c r="P124" s="12">
        <f>IF(ParagonAbilities4Scenario5[[#This Row],[takes]]&gt;0,ParagonAbilities4Scenario5[[#This Row],[wins]]/ParagonAbilities4Scenario5[[#This Row],[takes]],0)</f>
        <v>0.66666666666666663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28</v>
      </c>
      <c r="N125" s="2">
        <f>COUNTIF(Scenario5[winner1-ability4],ParagonAbilities4Scenario5[[#This Row],[ability]])+COUNTIF(Scenario5[winner2-ability4],ParagonAbilities4Scenario5[[#This Row],[ability]])</f>
        <v>27</v>
      </c>
      <c r="O125" s="26">
        <f>IF(SUM(ParagonAbilities4Scenario5[[#This Row],[takes]]) &gt; 0,ParagonAbilities4Scenario5[[#This Row],[takes]]/SUM(ParagonAbilities4Scenario5[takes]),0)</f>
        <v>0.5490196078431373</v>
      </c>
      <c r="P125" s="26">
        <f>IF(ParagonAbilities4Scenario5[[#This Row],[takes]]&gt;0,ParagonAbilities4Scenario5[[#This Row],[wins]]/ParagonAbilities4Scenario5[[#This Row],[takes]],0)</f>
        <v>0.9642857142857143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E24" sqref="E24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0.2857142857142857</v>
      </c>
    </row>
    <row r="3" spans="1:22" x14ac:dyDescent="0.25">
      <c r="A3" t="s">
        <v>68</v>
      </c>
      <c r="B3">
        <f>L3+L24+L45+L66+L87+L108</f>
        <v>108</v>
      </c>
      <c r="C3">
        <f>M3+M24+M45+M66+M87+M108</f>
        <v>47</v>
      </c>
      <c r="D3" s="3">
        <f>IF(SUM(HighlanderAbilities1[[#This Row],[takes]]) &gt; 0,HighlanderAbilities1[[#This Row],[takes]]/SUM(HighlanderAbilities1[takes]),0)</f>
        <v>0.2805194805194805</v>
      </c>
      <c r="E3" s="3">
        <f>IF(HighlanderAbilities1[[#This Row],[takes]]&gt;0,HighlanderAbilities1[[#This Row],[wins]]/HighlanderAbilities1[[#This Row],[takes]],0)</f>
        <v>0.43518518518518517</v>
      </c>
      <c r="G3">
        <v>1</v>
      </c>
      <c r="H3">
        <f>R3+R24+R45+R66+R87+R108</f>
        <v>127</v>
      </c>
      <c r="I3" s="18">
        <f>S3+S24+S45+S66+S87+S108</f>
        <v>233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46</v>
      </c>
      <c r="M3">
        <f>COUNTIF(Scenario0[winner1-ability1],HighlanderAbilities1Scenario0[[#This Row],[ability]])+COUNTIF(Scenario0[winner2-ability1],HighlanderAbilities1Scenario0[[#This Row],[ability]])</f>
        <v>19</v>
      </c>
      <c r="N3" s="3">
        <f>IF(SUM(HighlanderAbilities1Scenario0[[#This Row],[takes]]) &gt; 0,HighlanderAbilities1Scenario0[[#This Row],[takes]]/SUM(HighlanderAbilities1Scenario0[takes]),0)</f>
        <v>0.43809523809523809</v>
      </c>
      <c r="O3" s="3">
        <f>IF(HighlanderAbilities1Scenario0[[#This Row],[takes]]&gt;0,HighlanderAbilities1Scenario0[[#This Row],[wins]]/HighlanderAbilities1Scenario0[[#This Row],[takes]],0)</f>
        <v>0.41304347826086957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72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86</v>
      </c>
      <c r="U3" t="s">
        <v>193</v>
      </c>
      <c r="V3" s="16">
        <f>H5/SUM(HighlanderEquip[sword])</f>
        <v>0.38441558441558443</v>
      </c>
    </row>
    <row r="4" spans="1:22" x14ac:dyDescent="0.25">
      <c r="A4" t="s">
        <v>120</v>
      </c>
      <c r="B4">
        <f t="shared" ref="B4:B5" si="0">L4+L25+L46+L67+L88+L109</f>
        <v>117</v>
      </c>
      <c r="C4">
        <f t="shared" ref="C4:C5" si="1">M4+M25+M46+M67+M88+M109</f>
        <v>52</v>
      </c>
      <c r="D4" s="3">
        <f>IF(SUM(HighlanderAbilities1[[#This Row],[takes]]) &gt; 0,HighlanderAbilities1[[#This Row],[takes]]/SUM(HighlanderAbilities1[takes]),0)</f>
        <v>0.30389610389610389</v>
      </c>
      <c r="E4" s="3">
        <f>IF(HighlanderAbilities1[[#This Row],[takes]]&gt;0,HighlanderAbilities1[[#This Row],[wins]]/HighlanderAbilities1[[#This Row],[takes]],0)</f>
        <v>0.44444444444444442</v>
      </c>
      <c r="G4">
        <v>2</v>
      </c>
      <c r="H4">
        <f t="shared" ref="H4:H5" si="2">R4+R25+R46+R67+R88+R109</f>
        <v>110</v>
      </c>
      <c r="I4" s="18">
        <f t="shared" ref="I4:I5" si="3">S4+S25+S46+S67+S88+S109</f>
        <v>71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2</v>
      </c>
      <c r="M4">
        <f>COUNTIF(Scenario0[winner1-ability1],HighlanderAbilities1Scenario0[[#This Row],[ability]])+COUNTIF(Scenario0[winner2-ability1],HighlanderAbilities1Scenario0[[#This Row],[ability]])</f>
        <v>1</v>
      </c>
      <c r="N4" s="3">
        <f>IF(SUM(HighlanderAbilities1Scenario0[[#This Row],[takes]]) &gt; 0,HighlanderAbilities1Scenario0[[#This Row],[takes]]/SUM(HighlanderAbilities1Scenario0[takes]),0)</f>
        <v>1.9047619047619049E-2</v>
      </c>
      <c r="O4" s="3">
        <f>IF(HighlanderAbilities1Scenario0[[#This Row],[takes]]&gt;0,HighlanderAbilities1Scenario0[[#This Row],[wins]]/HighlanderAbilities1Scenario0[[#This Row],[takes]],0)</f>
        <v>0.5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25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13</v>
      </c>
      <c r="U4" t="s">
        <v>179</v>
      </c>
      <c r="V4" s="3">
        <f>HighlanderEquip[[#This Row],[chestpiece]]/SUM(HighlanderEquip[chestpiece])</f>
        <v>0.18441558441558442</v>
      </c>
    </row>
    <row r="5" spans="1:22" x14ac:dyDescent="0.25">
      <c r="A5" t="s">
        <v>57</v>
      </c>
      <c r="B5">
        <f t="shared" si="0"/>
        <v>160</v>
      </c>
      <c r="C5">
        <f t="shared" si="1"/>
        <v>80</v>
      </c>
      <c r="D5" s="3">
        <f>IF(SUM(HighlanderAbilities1[[#This Row],[takes]]) &gt; 0,HighlanderAbilities1[[#This Row],[takes]]/SUM(HighlanderAbilities1[takes]),0)</f>
        <v>0.41558441558441561</v>
      </c>
      <c r="E5" s="3">
        <f>IF(HighlanderAbilities1[[#This Row],[takes]]&gt;0,HighlanderAbilities1[[#This Row],[wins]]/HighlanderAbilities1[[#This Row],[takes]],0)</f>
        <v>0.5</v>
      </c>
      <c r="G5">
        <v>3</v>
      </c>
      <c r="H5">
        <f t="shared" si="2"/>
        <v>148</v>
      </c>
      <c r="I5" s="18">
        <f t="shared" si="3"/>
        <v>81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57</v>
      </c>
      <c r="M5">
        <f>COUNTIF(Scenario0[winner1-ability1],HighlanderAbilities1Scenario0[[#This Row],[ability]])+COUNTIF(Scenario0[winner2-ability1],HighlanderAbilities1Scenario0[[#This Row],[ability]])</f>
        <v>29</v>
      </c>
      <c r="N5" s="3">
        <f>IF(SUM(HighlanderAbilities1Scenario0[[#This Row],[takes]]) &gt; 0,HighlanderAbilities1Scenario0[[#This Row],[takes]]/SUM(HighlanderAbilities1Scenario0[takes]),0)</f>
        <v>0.54285714285714282</v>
      </c>
      <c r="O5" s="3">
        <f>IF(HighlanderAbilities1Scenario0[[#This Row],[takes]]&gt;0,HighlanderAbilities1Scenario0[[#This Row],[wins]]/HighlanderAbilities1Scenario0[[#This Row],[takes]],0)</f>
        <v>0.50877192982456143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8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6</v>
      </c>
      <c r="U5" t="s">
        <v>180</v>
      </c>
      <c r="V5" s="16">
        <f>HighlanderEquip[[#This Row],[chestpiece]]/SUM(HighlanderEquip[chestpiece])</f>
        <v>0.21038961038961038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0.64415584415584415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0.43896103896103894</v>
      </c>
    </row>
    <row r="8" spans="1:22" x14ac:dyDescent="0.25">
      <c r="A8" s="2" t="s">
        <v>69</v>
      </c>
      <c r="B8" s="2">
        <f>L8+L29+L50+L71+L92+L113</f>
        <v>89</v>
      </c>
      <c r="C8" s="2">
        <f>M8+M29+M50+M71+M92+M113</f>
        <v>30</v>
      </c>
      <c r="D8" s="12">
        <f>IF(SUM(HighlanderAbilities2[[#This Row],[takes]]) &gt; 0,HighlanderAbilities2[[#This Row],[takes]]/SUM(HighlanderAbilities2[takes]),0)</f>
        <v>0.3588709677419355</v>
      </c>
      <c r="E8" s="12">
        <f>IF(HighlanderAbilities2[[#This Row],[takes]]&gt;0,HighlanderAbilities2[[#This Row],[wins]]/HighlanderAbilities2[[#This Row],[takes]],0)</f>
        <v>0.33707865168539325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7</v>
      </c>
      <c r="M8" s="2">
        <f>COUNTIF(Scenario0[winner1-ability2],HighlanderAbilities2Scenario0[[#This Row],[ability]])+COUNTIF(Scenario0[winner2-ability2],HighlanderAbilities2Scenario0[[#This Row],[ability]])</f>
        <v>2</v>
      </c>
      <c r="N8" s="12">
        <f>IF(SUM(HighlanderAbilities2Scenario0[[#This Row],[takes]]) &gt; 0,HighlanderAbilities2Scenario0[[#This Row],[takes]]/SUM(HighlanderAbilities2Scenario0[takes]),0)</f>
        <v>0.15909090909090909</v>
      </c>
      <c r="O8" s="12">
        <f>IF(HighlanderAbilities2Scenario0[[#This Row],[takes]]&gt;0,HighlanderAbilities2Scenario0[[#This Row],[wins]]/HighlanderAbilities2Scenario0[[#This Row],[takes]],0)</f>
        <v>0.2857142857142857</v>
      </c>
      <c r="S8" s="18"/>
      <c r="U8" t="s">
        <v>178</v>
      </c>
      <c r="V8" s="16">
        <f>SUM(HighlanderAbilities4[takes])/SUM(HighlanderAbilities1[takes])</f>
        <v>0.25454545454545452</v>
      </c>
    </row>
    <row r="9" spans="1:22" x14ac:dyDescent="0.25">
      <c r="A9" t="s">
        <v>121</v>
      </c>
      <c r="B9" s="2">
        <f t="shared" ref="B9:B10" si="4">L9+L30+L51+L72+L93+L114</f>
        <v>68</v>
      </c>
      <c r="C9" s="2">
        <f t="shared" ref="C9:C10" si="5">M9+M30+M51+M72+M93+M114</f>
        <v>41</v>
      </c>
      <c r="D9" s="3">
        <f>IF(SUM(HighlanderAbilities2[[#This Row],[takes]]) &gt; 0,HighlanderAbilities2[[#This Row],[takes]]/SUM(HighlanderAbilities2[takes]),0)</f>
        <v>0.27419354838709675</v>
      </c>
      <c r="E9" s="3">
        <f>IF(HighlanderAbilities2[[#This Row],[takes]]&gt;0,HighlanderAbilities2[[#This Row],[wins]]/HighlanderAbilities2[[#This Row],[takes]],0)</f>
        <v>0.6029411764705882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2</v>
      </c>
      <c r="M9" s="2">
        <f>COUNTIF(Scenario0[winner1-ability2],HighlanderAbilities2Scenario0[[#This Row],[ability]])+COUNTIF(Scenario0[winner2-ability2],HighlanderAbilities2Scenario0[[#This Row],[ability]])</f>
        <v>1</v>
      </c>
      <c r="N9" s="3">
        <f>IF(SUM(HighlanderAbilities2Scenario0[[#This Row],[takes]]) &gt; 0,HighlanderAbilities2Scenario0[[#This Row],[takes]]/SUM(HighlanderAbilities2Scenario0[takes]),0)</f>
        <v>4.5454545454545456E-2</v>
      </c>
      <c r="O9" s="3">
        <f>IF(HighlanderAbilities2Scenario0[[#This Row],[takes]]&gt;0,HighlanderAbilities2Scenario0[[#This Row],[wins]]/HighlanderAbilities2Scenario0[[#This Row],[takes]],0)</f>
        <v>0.5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2.4025974025974026</v>
      </c>
    </row>
    <row r="10" spans="1:22" x14ac:dyDescent="0.25">
      <c r="A10" s="10" t="s">
        <v>122</v>
      </c>
      <c r="B10" s="2">
        <f t="shared" si="4"/>
        <v>91</v>
      </c>
      <c r="C10" s="2">
        <f t="shared" si="5"/>
        <v>55</v>
      </c>
      <c r="D10" s="13">
        <f>IF(SUM(HighlanderAbilities2[[#This Row],[takes]]) &gt; 0,HighlanderAbilities2[[#This Row],[takes]]/SUM(HighlanderAbilities2[takes]),0)</f>
        <v>0.36693548387096775</v>
      </c>
      <c r="E10" s="13">
        <f>IF(HighlanderAbilities2[[#This Row],[takes]]&gt;0,HighlanderAbilities2[[#This Row],[wins]]/HighlanderAbilities2[[#This Row],[takes]],0)</f>
        <v>0.60439560439560436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35</v>
      </c>
      <c r="M10" s="2">
        <f>COUNTIF(Scenario0[winner1-ability2],HighlanderAbilities2Scenario0[[#This Row],[ability]])+COUNTIF(Scenario0[winner2-ability2],HighlanderAbilities2Scenario0[[#This Row],[ability]])</f>
        <v>22</v>
      </c>
      <c r="N10" s="13">
        <f>IF(SUM(HighlanderAbilities2Scenario0[[#This Row],[takes]]) &gt; 0,HighlanderAbilities2Scenario0[[#This Row],[takes]]/SUM(HighlanderAbilities2Scenario0[takes]),0)</f>
        <v>0.79545454545454541</v>
      </c>
      <c r="O10" s="13">
        <f>IF(HighlanderAbilities2Scenario0[[#This Row],[takes]]&gt;0,HighlanderAbilities2Scenario0[[#This Row],[wins]]/HighlanderAbilities2Scenario0[[#This Row],[takes]],0)</f>
        <v>0.62857142857142856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52</v>
      </c>
      <c r="C13" s="1">
        <f>M13+M34+M55+M76+M97+M118</f>
        <v>28</v>
      </c>
      <c r="D13" s="14">
        <f>IF(SUM(HighlanderAbilities3[[#This Row],[takes]]) &gt; 0,HighlanderAbilities3[[#This Row],[takes]]/SUM(HighlanderAbilities3[takes]),0)</f>
        <v>0.30769230769230771</v>
      </c>
      <c r="E13" s="14">
        <f>IF(HighlanderAbilities3[[#This Row],[takes]]&gt;0,HighlanderAbilities3[[#This Row],[wins]]/HighlanderAbilities3[[#This Row],[takes]],0)</f>
        <v>0.53846153846153844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3" s="1">
        <f>COUNTIF(Scenario0[winner1-ability3],HighlanderAbilities3Scenario0[[#This Row],[ability]])+COUNTIF(Scenario0[winner2-ability3],HighlanderAbilities3Scenario0[[#This Row],[ability]])</f>
        <v>0</v>
      </c>
      <c r="N13" s="14">
        <f>IF(SUM(HighlanderAbilities3Scenario0[[#This Row],[takes]]) &gt; 0,HighlanderAbilities3Scenario0[[#This Row],[takes]]/SUM(HighlanderAbilities3Scenario0[takes]),0)</f>
        <v>0</v>
      </c>
      <c r="O13" s="14">
        <f>IF(HighlanderAbilities3Scenario0[[#This Row],[takes]]&gt;0,HighlanderAbilities3Scenario0[[#This Row],[wins]]/HighlanderAbilities3Scenario0[[#This Row],[takes]],0)</f>
        <v>0</v>
      </c>
      <c r="S13" s="18"/>
    </row>
    <row r="14" spans="1:22" x14ac:dyDescent="0.25">
      <c r="A14" s="2" t="s">
        <v>87</v>
      </c>
      <c r="B14" s="2">
        <f t="shared" ref="B14:B15" si="6">L14+L35+L56+L77+L98+L119</f>
        <v>64</v>
      </c>
      <c r="C14" s="2">
        <f t="shared" ref="C14:C15" si="7">M14+M35+M56+M77+M98+M119</f>
        <v>22</v>
      </c>
      <c r="D14" s="12">
        <f>IF(SUM(HighlanderAbilities3[[#This Row],[takes]]) &gt; 0,HighlanderAbilities3[[#This Row],[takes]]/SUM(HighlanderAbilities3[takes]),0)</f>
        <v>0.378698224852071</v>
      </c>
      <c r="E14" s="12">
        <f>IF(HighlanderAbilities3[[#This Row],[takes]]&gt;0,HighlanderAbilities3[[#This Row],[wins]]/HighlanderAbilities3[[#This Row],[takes]],0)</f>
        <v>0.34375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4" s="2">
        <f>COUNTIF(Scenario0[winner1-ability3],HighlanderAbilities3Scenario0[[#This Row],[ability]])+COUNTIF(Scenario0[winner2-ability3],HighlanderAbilities3Scenario0[[#This Row],[ability]])</f>
        <v>0</v>
      </c>
      <c r="N14" s="12">
        <f>IF(SUM(HighlanderAbilities3Scenario0[[#This Row],[takes]]) &gt; 0,HighlanderAbilities3Scenario0[[#This Row],[takes]]/SUM(HighlanderAbilities3Scenario0[takes]),0)</f>
        <v>0</v>
      </c>
      <c r="O14" s="12">
        <f>IF(HighlanderAbilities3Scenario0[[#This Row],[takes]]&gt;0,HighlanderAbilities3Scenario0[[#This Row],[wins]]/HighlanderAbilities3Scenario0[[#This Row],[takes]],0)</f>
        <v>0</v>
      </c>
      <c r="S14" s="18"/>
    </row>
    <row r="15" spans="1:22" x14ac:dyDescent="0.25">
      <c r="A15" s="11" t="s">
        <v>85</v>
      </c>
      <c r="B15" s="1">
        <f t="shared" si="6"/>
        <v>53</v>
      </c>
      <c r="C15" s="1">
        <f t="shared" si="7"/>
        <v>32</v>
      </c>
      <c r="D15" s="15">
        <f>IF(SUM(HighlanderAbilities3[[#This Row],[takes]]) &gt; 0,HighlanderAbilities3[[#This Row],[takes]]/SUM(HighlanderAbilities3[takes]),0)</f>
        <v>0.31360946745562129</v>
      </c>
      <c r="E15" s="15">
        <f>IF(HighlanderAbilities3[[#This Row],[takes]]&gt;0,HighlanderAbilities3[[#This Row],[wins]]/HighlanderAbilities3[[#This Row],[takes]],0)</f>
        <v>0.60377358490566035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17</v>
      </c>
      <c r="M15" s="1">
        <f>COUNTIF(Scenario0[winner1-ability3],HighlanderAbilities3Scenario0[[#This Row],[ability]])+COUNTIF(Scenario0[winner2-ability3],HighlanderAbilities3Scenario0[[#This Row],[ability]])</f>
        <v>13</v>
      </c>
      <c r="N15" s="15">
        <f>IF(SUM(HighlanderAbilities3Scenario0[[#This Row],[takes]]) &gt; 0,HighlanderAbilities3Scenario0[[#This Row],[takes]]/SUM(HighlanderAbilities3Scenario0[takes]),0)</f>
        <v>1</v>
      </c>
      <c r="O15" s="15">
        <f>IF(HighlanderAbilities3Scenario0[[#This Row],[takes]]&gt;0,HighlanderAbilities3Scenario0[[#This Row],[wins]]/HighlanderAbilities3Scenario0[[#This Row],[takes]],0)</f>
        <v>0.76470588235294112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29</v>
      </c>
      <c r="C18" s="2">
        <f>M18+M39+M60+M81+M102+M123</f>
        <v>10</v>
      </c>
      <c r="D18" s="12">
        <f>IF(SUM(HighlanderAbilities4[[#This Row],[takes]]) &gt; 0,HighlanderAbilities4[[#This Row],[takes]]/SUM(HighlanderAbilities4[takes]),0)</f>
        <v>0.29591836734693877</v>
      </c>
      <c r="E18" s="12">
        <f>IF(HighlanderAbilities4[[#This Row],[takes]]&gt;0,HighlanderAbilities4[[#This Row],[wins]]/HighlanderAbilities4[[#This Row],[takes]],0)</f>
        <v>0.34482758620689657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2">
        <f>IF(SUM(HighlanderAbilities4Scenario0[[#This Row],[takes]]) &gt; 0,HighlanderAbilities4Scenario0[[#This Row],[takes]]/SUM(HighlanderAbilities4Scenario0[takes]),0)</f>
        <v>0.5</v>
      </c>
      <c r="O18" s="12">
        <f>IF(HighlanderAbilities4Scenario0[[#This Row],[takes]]&gt;0,HighlanderAbilities4Scenario0[[#This Row],[wins]]/HighlanderAbilities4Scenario0[[#This Row],[takes]],0)</f>
        <v>0</v>
      </c>
      <c r="S18" s="18"/>
    </row>
    <row r="19" spans="1:20" x14ac:dyDescent="0.25">
      <c r="A19" s="2" t="s">
        <v>124</v>
      </c>
      <c r="B19" s="2">
        <f t="shared" ref="B19:B20" si="8">L19+L40+L61+L82+L103+L124</f>
        <v>35</v>
      </c>
      <c r="C19" s="2">
        <f t="shared" ref="C19:C20" si="9">M19+M40+M61+M82+M103+M124</f>
        <v>18</v>
      </c>
      <c r="D19" s="12">
        <f>IF(SUM(HighlanderAbilities4[[#This Row],[takes]]) &gt; 0,HighlanderAbilities4[[#This Row],[takes]]/SUM(HighlanderAbilities4[takes]),0)</f>
        <v>0.35714285714285715</v>
      </c>
      <c r="E19" s="12">
        <f>IF(HighlanderAbilities4[[#This Row],[takes]]&gt;0,HighlanderAbilities4[[#This Row],[wins]]/HighlanderAbilities4[[#This Row],[takes]],0)</f>
        <v>0.51428571428571423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2">
        <f>IF(SUM(HighlanderAbilities4Scenario0[[#This Row],[takes]]) &gt; 0,HighlanderAbilities4Scenario0[[#This Row],[takes]]/SUM(HighlanderAbilities4Scenario0[takes]),0)</f>
        <v>0</v>
      </c>
      <c r="O19" s="12">
        <f>IF(HighlanderAbilities4Scenario0[[#This Row],[takes]]&gt;0,HighlanderAbilities4Scenario0[[#This Row],[wins]]/HighlanderAbilities4Scenario0[[#This Row],[takes]],0)</f>
        <v>0</v>
      </c>
      <c r="S19" s="18"/>
    </row>
    <row r="20" spans="1:20" ht="15.75" thickBot="1" x14ac:dyDescent="0.3">
      <c r="A20" s="10" t="s">
        <v>125</v>
      </c>
      <c r="B20" s="2">
        <f t="shared" si="8"/>
        <v>34</v>
      </c>
      <c r="C20" s="2">
        <f t="shared" si="9"/>
        <v>15</v>
      </c>
      <c r="D20" s="26">
        <f>IF(SUM(HighlanderAbilities4[[#This Row],[takes]]) &gt; 0,HighlanderAbilities4[[#This Row],[takes]]/SUM(HighlanderAbilities4[takes]),0)</f>
        <v>0.34693877551020408</v>
      </c>
      <c r="E20" s="26">
        <f>IF(HighlanderAbilities4[[#This Row],[takes]]&gt;0,HighlanderAbilities4[[#This Row],[wins]]/HighlanderAbilities4[[#This Row],[takes]],0)</f>
        <v>0.44117647058823528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20" s="25">
        <f>COUNTIF(Scenario0[winner1-ability4],HighlanderAbilities4Scenario0[[#This Row],[ability]])+COUNTIF(Scenario0[winner2-ability4],HighlanderAbilities4Scenario0[[#This Row],[ability]])</f>
        <v>1</v>
      </c>
      <c r="N20" s="26">
        <f>IF(SUM(HighlanderAbilities4Scenario0[[#This Row],[takes]]) &gt; 0,HighlanderAbilities4Scenario0[[#This Row],[takes]]/SUM(HighlanderAbilities4Scenario0[takes]),0)</f>
        <v>0.5</v>
      </c>
      <c r="O20" s="26">
        <f>IF(HighlanderAbilities4Scenario0[[#This Row],[takes]]&gt;0,HighlanderAbilities4Scenario0[[#This Row],[wins]]/HighlanderAbilities4Scenario0[[#This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51</v>
      </c>
      <c r="M24">
        <f>COUNTIF(Scenario1[winner1-ability1],HighlanderAbilities1Scenario1[[#This Row],[ability]])+COUNTIF(Scenario1[winner2-ability1],HighlanderAbilities1Scenario1[[#This Row],[ability]])</f>
        <v>24</v>
      </c>
      <c r="N24" s="3">
        <f>IF(SUM(HighlanderAbilities1Scenario1[[#This Row],[takes]]) &gt; 0,HighlanderAbilities1Scenario1[[#This Row],[takes]]/SUM(HighlanderAbilities1Scenario1[takes]),0)</f>
        <v>0.48571428571428571</v>
      </c>
      <c r="O24" s="3">
        <f>IF(HighlanderAbilities1Scenario1[[#This Row],[takes]]&gt;0,HighlanderAbilities1Scenario1[[#This Row],[wins]]/HighlanderAbilities1Scenario1[[#This Row],[takes]],0)</f>
        <v>0.47058823529411764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45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73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0</v>
      </c>
      <c r="M25">
        <f>COUNTIF(Scenario1[winner1-ability1],HighlanderAbilities1Scenario1[[#This Row],[ability]])+COUNTIF(Scenario1[winner2-ability1],HighlanderAbilities1Scenario1[[#This Row],[ability]])</f>
        <v>0</v>
      </c>
      <c r="N25" s="3">
        <f>IF(SUM(HighlanderAbilities1Scenario1[[#This Row],[takes]]) &gt; 0,HighlanderAbilities1Scenario1[[#This Row],[takes]]/SUM(HighlanderAbilities1Scenario1[takes]),0)</f>
        <v>0</v>
      </c>
      <c r="O25" s="3">
        <f>IF(HighlanderAbilities1Scenario1[[#This Row],[takes]]&gt;0,HighlanderAbilities1Scenario1[[#This Row],[wins]]/HighlanderAbilities1Scenario1[[#This Row],[takes]],0)</f>
        <v>0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38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22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54</v>
      </c>
      <c r="M26">
        <f>COUNTIF(Scenario1[winner1-ability1],HighlanderAbilities1Scenario1[[#This Row],[ability]])+COUNTIF(Scenario1[winner2-ability1],HighlanderAbilities1Scenario1[[#This Row],[ability]])</f>
        <v>26</v>
      </c>
      <c r="N26" s="3">
        <f>IF(SUM(HighlanderAbilities1Scenario1[[#This Row],[takes]]) &gt; 0,HighlanderAbilities1Scenario1[[#This Row],[takes]]/SUM(HighlanderAbilities1Scenario1[takes]),0)</f>
        <v>0.51428571428571423</v>
      </c>
      <c r="O26" s="3">
        <f>IF(HighlanderAbilities1Scenario1[[#This Row],[takes]]&gt;0,HighlanderAbilities1Scenario1[[#This Row],[wins]]/HighlanderAbilities1Scenario1[[#This Row],[takes]],0)</f>
        <v>0.48148148148148145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22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5</v>
      </c>
      <c r="M29" s="2">
        <f>COUNTIF(Scenario1[winner1-ability2],HighlanderAbilities2Scenario1[[#This Row],[ability]])+COUNTIF(Scenario1[winner2-ability2],HighlanderAbilities2Scenario1[[#This Row],[ability]])</f>
        <v>4</v>
      </c>
      <c r="N29" s="12">
        <f>IF(SUM(HighlanderAbilities2Scenario1[[#This Row],[takes]]) &gt; 0,HighlanderAbilities2Scenario1[[#This Row],[takes]]/SUM(HighlanderAbilities2Scenario1[takes]),0)</f>
        <v>0.1</v>
      </c>
      <c r="O29" s="12">
        <f>IF(HighlanderAbilities2Scenario1[[#This Row],[takes]]&gt;0,HighlanderAbilities2Scenario1[[#This Row],[wins]]/HighlanderAbilities2Scenario1[[#This Row],[takes]],0)</f>
        <v>0.8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19</v>
      </c>
      <c r="M30" s="2">
        <f>COUNTIF(Scenario1[winner1-ability2],HighlanderAbilities2Scenario1[[#This Row],[ability]])+COUNTIF(Scenario1[winner2-ability2],HighlanderAbilities2Scenario1[[#This Row],[ability]])</f>
        <v>8</v>
      </c>
      <c r="N30" s="3">
        <f>IF(SUM(HighlanderAbilities2Scenario1[[#This Row],[takes]]) &gt; 0,HighlanderAbilities2Scenario1[[#This Row],[takes]]/SUM(HighlanderAbilities2Scenario1[takes]),0)</f>
        <v>0.38</v>
      </c>
      <c r="O30" s="3">
        <f>IF(HighlanderAbilities2Scenario1[[#This Row],[takes]]&gt;0,HighlanderAbilities2Scenario1[[#This Row],[wins]]/HighlanderAbilities2Scenario1[[#This Row],[takes]],0)</f>
        <v>0.42105263157894735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26</v>
      </c>
      <c r="M31" s="2">
        <f>COUNTIF(Scenario1[winner1-ability2],HighlanderAbilities2Scenario1[[#This Row],[ability]])+COUNTIF(Scenario1[winner2-ability2],HighlanderAbilities2Scenario1[[#This Row],[ability]])</f>
        <v>16</v>
      </c>
      <c r="N31" s="13">
        <f>IF(SUM(HighlanderAbilities2Scenario1[[#This Row],[takes]]) &gt; 0,HighlanderAbilities2Scenario1[[#This Row],[takes]]/SUM(HighlanderAbilities2Scenario1[takes]),0)</f>
        <v>0.52</v>
      </c>
      <c r="O31" s="13">
        <f>IF(HighlanderAbilities2Scenario1[[#This Row],[takes]]&gt;0,HighlanderAbilities2Scenario1[[#This Row],[wins]]/HighlanderAbilities2Scenario1[[#This Row],[takes]],0)</f>
        <v>0.61538461538461542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4</v>
      </c>
      <c r="M34" s="1">
        <f>COUNTIF(Scenario1[winner1-ability3],HighlanderAbilities3Scenario1[[#This Row],[ability]])+COUNTIF(Scenario1[winner2-ability3],HighlanderAbilities3Scenario1[[#This Row],[ability]])</f>
        <v>1</v>
      </c>
      <c r="N34" s="14">
        <f>IF(SUM(HighlanderAbilities3Scenario1[[#This Row],[takes]]) &gt; 0,HighlanderAbilities3Scenario1[[#This Row],[takes]]/SUM(HighlanderAbilities3Scenario1[takes]),0)</f>
        <v>0.16666666666666666</v>
      </c>
      <c r="O34" s="14">
        <f>IF(HighlanderAbilities3Scenario1[[#This Row],[takes]]&gt;0,HighlanderAbilities3Scenario1[[#This Row],[wins]]/HighlanderAbilities3Scenario1[[#This Row],[takes]],0)</f>
        <v>0.25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2</v>
      </c>
      <c r="M35" s="2">
        <f>COUNTIF(Scenario1[winner1-ability3],HighlanderAbilities3Scenario1[[#This Row],[ability]])+COUNTIF(Scenario1[winner2-ability3],HighlanderAbilities3Scenario1[[#This Row],[ability]])</f>
        <v>0</v>
      </c>
      <c r="N35" s="12">
        <f>IF(SUM(HighlanderAbilities3Scenario1[[#This Row],[takes]]) &gt; 0,HighlanderAbilities3Scenario1[[#This Row],[takes]]/SUM(HighlanderAbilities3Scenario1[takes]),0)</f>
        <v>8.3333333333333329E-2</v>
      </c>
      <c r="O35" s="12">
        <f>IF(HighlanderAbilities3Scenario1[[#This Row],[takes]]&gt;0,HighlanderAbilities3Scenario1[[#This Row],[wins]]/HighlanderAbilities3Scenario1[[#This Row],[takes]],0)</f>
        <v>0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18</v>
      </c>
      <c r="M36" s="1">
        <f>COUNTIF(Scenario1[winner1-ability3],HighlanderAbilities3Scenario1[[#This Row],[ability]])+COUNTIF(Scenario1[winner2-ability3],HighlanderAbilities3Scenario1[[#This Row],[ability]])</f>
        <v>10</v>
      </c>
      <c r="N36" s="15">
        <f>IF(SUM(HighlanderAbilities3Scenario1[[#This Row],[takes]]) &gt; 0,HighlanderAbilities3Scenario1[[#This Row],[takes]]/SUM(HighlanderAbilities3Scenario1[takes]),0)</f>
        <v>0.75</v>
      </c>
      <c r="O36" s="15">
        <f>IF(HighlanderAbilities3Scenario1[[#This Row],[takes]]&gt;0,HighlanderAbilities3Scenario1[[#This Row],[wins]]/HighlanderAbilities3Scenario1[[#This Row],[takes]],0)</f>
        <v>0.55555555555555558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2</v>
      </c>
      <c r="M39" s="2">
        <f>COUNTIF(Scenario1[winner1-ability4],HighlanderAbilities4Scenario1[[#This Row],[ability]])+COUNTIF(Scenario1[winner2-ability4],HighlanderAbilities4Scenario1[[#This Row],[ability]])</f>
        <v>1</v>
      </c>
      <c r="N39" s="12">
        <f>IF(SUM(HighlanderAbilities4Scenario1[[#This Row],[takes]]) &gt; 0,HighlanderAbilities4Scenario1[[#This Row],[takes]]/SUM(HighlanderAbilities4Scenario1[takes]),0)</f>
        <v>0.5</v>
      </c>
      <c r="O39" s="12">
        <f>IF(HighlanderAbilities4Scenario1[[#This Row],[takes]]&gt;0,HighlanderAbilities4Scenario1[[#This Row],[wins]]/HighlanderAbilities4Scenario1[[#This Row],[takes]],0)</f>
        <v>0.5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2">
        <f>IF(SUM(HighlanderAbilities4Scenario1[[#This Row],[takes]]) &gt; 0,HighlanderAbilities4Scenario1[[#This Row],[takes]]/SUM(HighlanderAbilities4Scenario1[takes]),0)</f>
        <v>0</v>
      </c>
      <c r="O40" s="12">
        <f>IF(HighlanderAbilities4Scenario1[[#This Row],[takes]]&gt;0,HighlanderAbilities4Scenario1[[#This Row],[wins]]/HighlanderAbilities4Scenario1[[#This Row],[takes]],0)</f>
        <v>0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2</v>
      </c>
      <c r="M41" s="25">
        <f>COUNTIF(Scenario1[winner1-ability4],HighlanderAbilities4Scenario1[[#This Row],[ability]])+COUNTIF(Scenario1[winner2-ability4],HighlanderAbilities4Scenario1[[#This Row],[ability]])</f>
        <v>0</v>
      </c>
      <c r="N41" s="26">
        <f>IF(SUM(HighlanderAbilities4Scenario1[[#This Row],[takes]]) &gt; 0,HighlanderAbilities4Scenario1[[#This Row],[takes]]/SUM(HighlanderAbilities4Scenario1[takes]),0)</f>
        <v>0.5</v>
      </c>
      <c r="O41" s="26">
        <f>IF(HighlanderAbilities4Scenario1[[#This Row],[takes]]&gt;0,HighlanderAbilities4Scenario1[[#This Row],[wins]]/HighlanderAbilities4Scenario1[[#This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3</v>
      </c>
      <c r="M45">
        <f>COUNTIF(Scenario2[winner1-ability1],HighlanderAbilities1Scenario2[[#This Row],[ability]])</f>
        <v>1</v>
      </c>
      <c r="N45" s="3">
        <f>IF(SUM(HighlanderAbilities1Scenario2[[#This Row],[takes]]) &gt; 0,HighlanderAbilities1Scenario2[[#This Row],[takes]]/SUM(HighlanderAbilities1Scenario2[takes]),0)</f>
        <v>0.21428571428571427</v>
      </c>
      <c r="O45" s="3">
        <f>IF(HighlanderAbilities1Scenario2[[#This Row],[takes]]&gt;0,HighlanderAbilities1Scenario2[[#This Row],[wins]]/HighlanderAbilities1Scenario2[[#This Row],[takes]],0)</f>
        <v>0.33333333333333331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0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13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6</v>
      </c>
      <c r="M46">
        <f>COUNTIF(Scenario2[winner1-ability1],HighlanderAbilities1Scenario2[[#This Row],[ability]])</f>
        <v>5</v>
      </c>
      <c r="N46" s="3">
        <f>IF(SUM(HighlanderAbilities1Scenario2[[#This Row],[takes]]) &gt; 0,HighlanderAbilities1Scenario2[[#This Row],[takes]]/SUM(HighlanderAbilities1Scenario2[takes]),0)</f>
        <v>0.42857142857142855</v>
      </c>
      <c r="O46" s="3">
        <f>IF(HighlanderAbilities1Scenario2[[#This Row],[takes]]&gt;0,HighlanderAbilities1Scenario2[[#This Row],[wins]]/HighlanderAbilities1Scenario2[[#This Row],[takes]],0)</f>
        <v>0.83333333333333337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6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1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5</v>
      </c>
      <c r="M47">
        <f>COUNTIF(Scenario2[winner1-ability1],HighlanderAbilities1Scenario2[[#This Row],[ability]])</f>
        <v>2</v>
      </c>
      <c r="N47" s="3">
        <f>IF(SUM(HighlanderAbilities1Scenario2[[#This Row],[takes]]) &gt; 0,HighlanderAbilities1Scenario2[[#This Row],[takes]]/SUM(HighlanderAbilities1Scenario2[takes]),0)</f>
        <v>0.35714285714285715</v>
      </c>
      <c r="O47" s="3">
        <f>IF(HighlanderAbilities1Scenario2[[#This Row],[takes]]&gt;0,HighlanderAbilities1Scenario2[[#This Row],[wins]]/HighlanderAbilities1Scenario2[[#This Row],[takes]],0)</f>
        <v>0.4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8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0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1</v>
      </c>
      <c r="M50" s="2">
        <f>COUNTIF(Scenario2[winner1-ability2],HighlanderAbilities2Scenario2[[#This Row],[ability]])</f>
        <v>0</v>
      </c>
      <c r="N50" s="12">
        <f>IF(SUM(HighlanderAbilities2Scenario2[[#This Row],[takes]]) &gt; 0,HighlanderAbilities2Scenario2[[#This Row],[takes]]/SUM(HighlanderAbilities2Scenario2[takes]),0)</f>
        <v>8.3333333333333329E-2</v>
      </c>
      <c r="O50" s="12">
        <f>IF(HighlanderAbilities2Scenario2[[#This Row],[takes]]&gt;0,HighlanderAbilities2Scenario2[[#This Row],[wins]]/HighlanderAbilities2Scenario2[[#This Row],[takes]],0)</f>
        <v>0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8</v>
      </c>
      <c r="M51" s="2">
        <f>COUNTIF(Scenario2[winner1-ability2],HighlanderAbilities2Scenario2[[#This Row],[ability]])</f>
        <v>6</v>
      </c>
      <c r="N51" s="3">
        <f>IF(SUM(HighlanderAbilities2Scenario2[[#This Row],[takes]]) &gt; 0,HighlanderAbilities2Scenario2[[#This Row],[takes]]/SUM(HighlanderAbilities2Scenario2[takes]),0)</f>
        <v>0.66666666666666663</v>
      </c>
      <c r="O51" s="3">
        <f>IF(HighlanderAbilities2Scenario2[[#This Row],[takes]]&gt;0,HighlanderAbilities2Scenario2[[#This Row],[wins]]/HighlanderAbilities2Scenario2[[#This Row],[takes]],0)</f>
        <v>0.75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3</v>
      </c>
      <c r="M52" s="2">
        <f>COUNTIF(Scenario2[winner1-ability2],HighlanderAbilities2Scenario2[[#This Row],[ability]])</f>
        <v>1</v>
      </c>
      <c r="N52" s="13">
        <f>IF(SUM(HighlanderAbilities2Scenario2[[#This Row],[takes]]) &gt; 0,HighlanderAbilities2Scenario2[[#This Row],[takes]]/SUM(HighlanderAbilities2Scenario2[takes]),0)</f>
        <v>0.25</v>
      </c>
      <c r="O52" s="13">
        <f>IF(HighlanderAbilities2Scenario2[[#This Row],[takes]]&gt;0,HighlanderAbilities2Scenario2[[#This Row],[wins]]/HighlanderAbilities2Scenario2[[#This Row],[takes]],0)</f>
        <v>0.33333333333333331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4</v>
      </c>
      <c r="M55" s="1">
        <f>COUNTIF(Scenario2[winner1-ability3],HighlanderAbilities3Scenario2[[#This Row],[ability]])</f>
        <v>3</v>
      </c>
      <c r="N55" s="14">
        <f>IF(SUM(HighlanderAbilities3Scenario2[[#This Row],[takes]]) &gt; 0,HighlanderAbilities3Scenario2[[#This Row],[takes]]/SUM(HighlanderAbilities3Scenario2[takes]),0)</f>
        <v>0.66666666666666663</v>
      </c>
      <c r="O55" s="14">
        <f>IF(HighlanderAbilities3Scenario2[[#This Row],[takes]]&gt;0,HighlanderAbilities3Scenario2[[#This Row],[wins]]/HighlanderAbilities3Scenario2[[#This Row],[takes]],0)</f>
        <v>0.75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1</v>
      </c>
      <c r="M56" s="2">
        <f>COUNTIF(Scenario2[winner1-ability3],HighlanderAbilities3Scenario2[[#This Row],[ability]])</f>
        <v>1</v>
      </c>
      <c r="N56" s="12">
        <f>IF(SUM(HighlanderAbilities3Scenario2[[#This Row],[takes]]) &gt; 0,HighlanderAbilities3Scenario2[[#This Row],[takes]]/SUM(HighlanderAbilities3Scenario2[takes]),0)</f>
        <v>0.16666666666666666</v>
      </c>
      <c r="O56" s="12">
        <f>IF(HighlanderAbilities3Scenario2[[#This Row],[takes]]&gt;0,HighlanderAbilities3Scenario2[[#This Row],[wins]]/HighlanderAbilities3Scenario2[[#This Row],[takes]],0)</f>
        <v>1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1</v>
      </c>
      <c r="M57" s="1">
        <f>COUNTIF(Scenario2[winner1-ability3],HighlanderAbilities3Scenario2[[#This Row],[ability]])</f>
        <v>0</v>
      </c>
      <c r="N57" s="15">
        <f>IF(SUM(HighlanderAbilities3Scenario2[[#This Row],[takes]]) &gt; 0,HighlanderAbilities3Scenario2[[#This Row],[takes]]/SUM(HighlanderAbilities3Scenario2[takes]),0)</f>
        <v>0.16666666666666666</v>
      </c>
      <c r="O57" s="15">
        <f>IF(HighlanderAbilities3Scenario2[[#This Row],[takes]]&gt;0,HighlanderAbilities3Scenario2[[#This Row],[wins]]/HighlanderAbilities3Scenario2[[#This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0</v>
      </c>
      <c r="M60" s="2">
        <f>COUNTIF(Scenario2[winner1-ability4],HighlanderAbilities4Scenario2[[#This Row],[ability]])</f>
        <v>0</v>
      </c>
      <c r="N60" s="12">
        <f>IF(SUM(HighlanderAbilities4Scenario2[[#This Row],[takes]]) &gt; 0,HighlanderAbilities4Scenario2[[#This Row],[takes]]/SUM(HighlanderAbilities4Scenario2[takes]),0)</f>
        <v>0</v>
      </c>
      <c r="O60" s="12">
        <f>IF(HighlanderAbilities4Scenario2[[#This Row],[takes]]&gt;0,HighlanderAbilities4Scenario2[[#This Row],[wins]]/HighlanderAbilities4Scenario2[[#This Row],[takes]],0)</f>
        <v>0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3</v>
      </c>
      <c r="M61" s="2">
        <f>COUNTIF(Scenario2[winner1-ability4],HighlanderAbilities4Scenario2[[#This Row],[ability]])</f>
        <v>3</v>
      </c>
      <c r="N61" s="12">
        <f>IF(SUM(HighlanderAbilities4Scenario2[[#This Row],[takes]]) &gt; 0,HighlanderAbilities4Scenario2[[#This Row],[takes]]/SUM(HighlanderAbilities4Scenario2[takes]),0)</f>
        <v>0.75</v>
      </c>
      <c r="O61" s="12">
        <f>IF(HighlanderAbilities4Scenario2[[#This Row],[takes]]&gt;0,HighlanderAbilities4Scenario2[[#This Row],[wins]]/HighlanderAbilities4Scenario2[[#This Row],[takes]],0)</f>
        <v>1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1</v>
      </c>
      <c r="M62" s="25">
        <f>COUNTIF(Scenario2[winner1-ability4],HighlanderAbilities4Scenario2[[#This Row],[ability]])</f>
        <v>0</v>
      </c>
      <c r="N62" s="26">
        <f>IF(SUM(HighlanderAbilities4Scenario2[[#This Row],[takes]]) &gt; 0,HighlanderAbilities4Scenario2[[#This Row],[takes]]/SUM(HighlanderAbilities4Scenario2[takes]),0)</f>
        <v>0.25</v>
      </c>
      <c r="O62" s="26">
        <f>IF(HighlanderAbilities4Scenario2[[#This Row],[takes]]&gt;0,HighlanderAbilities4Scenario2[[#This Row],[wins]]/HighlanderAbilities4Scenario2[[#This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</v>
      </c>
      <c r="M66">
        <f>COUNTIF(Scenario3[winner1-ability1],HighlanderAbilities1Scenario3[[#This Row],[ability]])</f>
        <v>0</v>
      </c>
      <c r="N66" s="3">
        <f>IF(SUM(HighlanderAbilities1Scenario3[[#This Row],[takes]]) &gt; 0,HighlanderAbilities1Scenario3[[#This Row],[takes]]/SUM(HighlanderAbilities1Scenario3[takes]),0)</f>
        <v>4.7619047619047616E-2</v>
      </c>
      <c r="O66" s="3">
        <f>IF(HighlanderAbilities1Scenario3[[#This Row],[takes]]&gt;0,HighlanderAbilities1Scenario3[[#This Row],[wins]]/HighlanderAbilities1Scenario3[[#This Row],[takes]],0)</f>
        <v>0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0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16</v>
      </c>
      <c r="M67">
        <f>COUNTIF(Scenario3[winner1-ability1],HighlanderAbilities1Scenario3[[#This Row],[ability]])</f>
        <v>10</v>
      </c>
      <c r="N67" s="3">
        <f>IF(SUM(HighlanderAbilities1Scenario3[[#This Row],[takes]]) &gt; 0,HighlanderAbilities1Scenario3[[#This Row],[takes]]/SUM(HighlanderAbilities1Scenario3[takes]),0)</f>
        <v>0.76190476190476186</v>
      </c>
      <c r="O67" s="3">
        <f>IF(HighlanderAbilities1Scenario3[[#This Row],[takes]]&gt;0,HighlanderAbilities1Scenario3[[#This Row],[wins]]/HighlanderAbilities1Scenario3[[#This Row],[takes]],0)</f>
        <v>0.625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5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8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4</v>
      </c>
      <c r="M68">
        <f>COUNTIF(Scenario3[winner1-ability1],HighlanderAbilities1Scenario3[[#This Row],[ability]])</f>
        <v>2</v>
      </c>
      <c r="N68" s="3">
        <f>IF(SUM(HighlanderAbilities1Scenario3[[#This Row],[takes]]) &gt; 0,HighlanderAbilities1Scenario3[[#This Row],[takes]]/SUM(HighlanderAbilities1Scenario3[takes]),0)</f>
        <v>0.19047619047619047</v>
      </c>
      <c r="O68" s="3">
        <f>IF(HighlanderAbilities1Scenario3[[#This Row],[takes]]&gt;0,HighlanderAbilities1Scenario3[[#This Row],[wins]]/HighlanderAbilities1Scenario3[[#This Row],[takes]],0)</f>
        <v>0.5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16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14</v>
      </c>
      <c r="M71" s="2">
        <f>COUNTIF(Scenario3[winner1-ability2],HighlanderAbilities2Scenario3[[#This Row],[ability]])</f>
        <v>7</v>
      </c>
      <c r="N71" s="12">
        <f>IF(SUM(HighlanderAbilities2Scenario3[[#This Row],[takes]]) &gt; 0,HighlanderAbilities2Scenario3[[#This Row],[takes]]/SUM(HighlanderAbilities2Scenario3[takes]),0)</f>
        <v>0.66666666666666663</v>
      </c>
      <c r="O71" s="12">
        <f>IF(HighlanderAbilities2Scenario3[[#This Row],[takes]]&gt;0,HighlanderAbilities2Scenario3[[#This Row],[wins]]/HighlanderAbilities2Scenario3[[#This Row],[takes]],0)</f>
        <v>0.5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6</v>
      </c>
      <c r="M72" s="2">
        <f>COUNTIF(Scenario3[winner1-ability2],HighlanderAbilities2Scenario3[[#This Row],[ability]])</f>
        <v>5</v>
      </c>
      <c r="N72" s="3">
        <f>IF(SUM(HighlanderAbilities2Scenario3[[#This Row],[takes]]) &gt; 0,HighlanderAbilities2Scenario3[[#This Row],[takes]]/SUM(HighlanderAbilities2Scenario3[takes]),0)</f>
        <v>0.2857142857142857</v>
      </c>
      <c r="O72" s="3">
        <f>IF(HighlanderAbilities2Scenario3[[#This Row],[takes]]&gt;0,HighlanderAbilities2Scenario3[[#This Row],[wins]]/HighlanderAbilities2Scenario3[[#This Row],[takes]],0)</f>
        <v>0.83333333333333337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</v>
      </c>
      <c r="M73" s="2">
        <f>COUNTIF(Scenario3[winner1-ability2],HighlanderAbilities2Scenario3[[#This Row],[ability]])</f>
        <v>0</v>
      </c>
      <c r="N73" s="13">
        <f>IF(SUM(HighlanderAbilities2Scenario3[[#This Row],[takes]]) &gt; 0,HighlanderAbilities2Scenario3[[#This Row],[takes]]/SUM(HighlanderAbilities2Scenario3[takes]),0)</f>
        <v>4.7619047619047616E-2</v>
      </c>
      <c r="O73" s="13">
        <f>IF(HighlanderAbilities2Scenario3[[#This Row],[takes]]&gt;0,HighlanderAbilities2Scenario3[[#This Row],[wins]]/HighlanderAbilities2Scenario3[[#This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8</v>
      </c>
      <c r="M76" s="1">
        <f>COUNTIF(Scenario3[winner1-ability3],HighlanderAbilities3Scenario3[[#This Row],[ability]])</f>
        <v>5</v>
      </c>
      <c r="N76" s="14">
        <f>IF(SUM(HighlanderAbilities3Scenario3[[#This Row],[takes]]) &gt; 0,HighlanderAbilities3Scenario3[[#This Row],[takes]]/SUM(HighlanderAbilities3Scenario3[takes]),0)</f>
        <v>0.4</v>
      </c>
      <c r="O76" s="14">
        <f>IF(HighlanderAbilities3Scenario3[[#This Row],[takes]]&gt;0,HighlanderAbilities3Scenario3[[#This Row],[wins]]/HighlanderAbilities3Scenario3[[#This Row],[takes]],0)</f>
        <v>0.625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11</v>
      </c>
      <c r="M77" s="2">
        <f>COUNTIF(Scenario3[winner1-ability3],HighlanderAbilities3Scenario3[[#This Row],[ability]])</f>
        <v>5</v>
      </c>
      <c r="N77" s="12">
        <f>IF(SUM(HighlanderAbilities3Scenario3[[#This Row],[takes]]) &gt; 0,HighlanderAbilities3Scenario3[[#This Row],[takes]]/SUM(HighlanderAbilities3Scenario3[takes]),0)</f>
        <v>0.55000000000000004</v>
      </c>
      <c r="O77" s="12">
        <f>IF(HighlanderAbilities3Scenario3[[#This Row],[takes]]&gt;0,HighlanderAbilities3Scenario3[[#This Row],[wins]]/HighlanderAbilities3Scenario3[[#This Row],[takes]],0)</f>
        <v>0.45454545454545453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</v>
      </c>
      <c r="M78" s="1">
        <f>COUNTIF(Scenario3[winner1-ability3],HighlanderAbilities3Scenario3[[#This Row],[ability]])</f>
        <v>1</v>
      </c>
      <c r="N78" s="15">
        <f>IF(SUM(HighlanderAbilities3Scenario3[[#This Row],[takes]]) &gt; 0,HighlanderAbilities3Scenario3[[#This Row],[takes]]/SUM(HighlanderAbilities3Scenario3[takes]),0)</f>
        <v>0.05</v>
      </c>
      <c r="O78" s="15">
        <f>IF(HighlanderAbilities3Scenario3[[#This Row],[takes]]&gt;0,HighlanderAbilities3Scenario3[[#This Row],[wins]]/HighlanderAbilities3Scenario3[[#This Row],[takes]],0)</f>
        <v>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3</v>
      </c>
      <c r="M81" s="2">
        <f>COUNTIF(Scenario3[winner1-ability4],HighlanderAbilities4Scenario3[[#This Row],[ability]])</f>
        <v>2</v>
      </c>
      <c r="N81" s="12">
        <f>IF(SUM(HighlanderAbilities4Scenario3[[#This Row],[takes]]) &gt; 0,HighlanderAbilities4Scenario3[[#This Row],[takes]]/SUM(HighlanderAbilities4Scenario3[takes]),0)</f>
        <v>0.1875</v>
      </c>
      <c r="O81" s="12">
        <f>IF(HighlanderAbilities4Scenario3[[#This Row],[takes]]&gt;0,HighlanderAbilities4Scenario3[[#This Row],[wins]]/HighlanderAbilities4Scenario3[[#This Row],[takes]],0)</f>
        <v>0.66666666666666663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9</v>
      </c>
      <c r="M82" s="2">
        <f>COUNTIF(Scenario3[winner1-ability4],HighlanderAbilities4Scenario3[[#This Row],[ability]])</f>
        <v>6</v>
      </c>
      <c r="N82" s="12">
        <f>IF(SUM(HighlanderAbilities4Scenario3[[#This Row],[takes]]) &gt; 0,HighlanderAbilities4Scenario3[[#This Row],[takes]]/SUM(HighlanderAbilities4Scenario3[takes]),0)</f>
        <v>0.5625</v>
      </c>
      <c r="O82" s="12">
        <f>IF(HighlanderAbilities4Scenario3[[#This Row],[takes]]&gt;0,HighlanderAbilities4Scenario3[[#This Row],[wins]]/HighlanderAbilities4Scenario3[[#This Row],[takes]],0)</f>
        <v>0.66666666666666663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4</v>
      </c>
      <c r="M83" s="2">
        <f>COUNTIF(Scenario3[winner1-ability4],HighlanderAbilities4Scenario3[[#This Row],[ability]])</f>
        <v>2</v>
      </c>
      <c r="N83" s="26">
        <f>IF(SUM(HighlanderAbilities4Scenario3[[#This Row],[takes]]) &gt; 0,HighlanderAbilities4Scenario3[[#This Row],[takes]]/SUM(HighlanderAbilities4Scenario3[takes]),0)</f>
        <v>0.25</v>
      </c>
      <c r="O83" s="26">
        <f>IF(HighlanderAbilities4Scenario3[[#This Row],[takes]]&gt;0,HighlanderAbilities4Scenario3[[#This Row],[wins]]/HighlanderAbilities4Scenario3[[#This Row],[takes]],0)</f>
        <v>0.5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7">
        <f>COUNTIF(Scenario4[winner1-ability1],HighlanderAbilities1Scenario4[[#This Row],[ability]])</f>
        <v>0</v>
      </c>
      <c r="N87" s="3">
        <f>IF(SUM(HighlanderAbilities1Scenario4[[#This Row],[takes]]) &gt; 0,HighlanderAbilities1Scenario4[[#This Row],[takes]]/SUM(HighlanderAbilities1Scenario4[takes]),0)</f>
        <v>0</v>
      </c>
      <c r="O87" s="3">
        <f>IF(HighlanderAbilities1Scenario4[[#This Row],[takes]]&gt;0,HighlanderAbilities1Scenario4[[#This Row],[wins]]/HighlanderAbilities1Scenario4[[#This Row],[takes]],0)</f>
        <v>0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1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33</v>
      </c>
      <c r="M88">
        <f>COUNTIF(Scenario4[winner1-ability1],HighlanderAbilities1Scenario4[[#This Row],[ability]])</f>
        <v>7</v>
      </c>
      <c r="N88" s="3">
        <f>IF(SUM(HighlanderAbilities1Scenario4[[#This Row],[takes]]) &gt; 0,HighlanderAbilities1Scenario4[[#This Row],[takes]]/SUM(HighlanderAbilities1Scenario4[takes]),0)</f>
        <v>0.94285714285714284</v>
      </c>
      <c r="O88" s="3">
        <f>IF(HighlanderAbilities1Scenario4[[#This Row],[takes]]&gt;0,HighlanderAbilities1Scenario4[[#This Row],[wins]]/HighlanderAbilities1Scenario4[[#This Row],[takes]],0)</f>
        <v>0.21212121212121213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3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2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2</v>
      </c>
      <c r="M89">
        <f>COUNTIF(Scenario4[winner1-ability1],HighlanderAbilities1Scenario4[[#This Row],[ability]])</f>
        <v>1</v>
      </c>
      <c r="N89" s="3">
        <f>IF(SUM(HighlanderAbilities1Scenario4[[#This Row],[takes]]) &gt; 0,HighlanderAbilities1Scenario4[[#This Row],[takes]]/SUM(HighlanderAbilities1Scenario4[takes]),0)</f>
        <v>5.7142857142857141E-2</v>
      </c>
      <c r="O89" s="3">
        <f>IF(HighlanderAbilities1Scenario4[[#This Row],[takes]]&gt;0,HighlanderAbilities1Scenario4[[#This Row],[wins]]/HighlanderAbilities1Scenario4[[#This Row],[takes]],0)</f>
        <v>0.5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31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33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33</v>
      </c>
      <c r="M92" s="2">
        <f>COUNTIF(Scenario4[winner1-ability2],HighlanderAbilities2Scenario4[[#This Row],[ability]])</f>
        <v>7</v>
      </c>
      <c r="N92" s="12">
        <f>IF(SUM(HighlanderAbilities2Scenario4[[#This Row],[takes]]) &gt; 0,HighlanderAbilities2Scenario4[[#This Row],[takes]]/SUM(HighlanderAbilities2Scenario4[takes]),0)</f>
        <v>0.94285714285714284</v>
      </c>
      <c r="O92" s="12">
        <f>IF(HighlanderAbilities2Scenario4[[#This Row],[takes]]&gt;0,HighlanderAbilities2Scenario4[[#This Row],[wins]]/HighlanderAbilities2Scenario4[[#This Row],[takes]],0)</f>
        <v>0.21212121212121213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2</v>
      </c>
      <c r="M93" s="2">
        <f>COUNTIF(Scenario4[winner1-ability2],HighlanderAbilities2Scenario4[[#This Row],[ability]])</f>
        <v>1</v>
      </c>
      <c r="N93" s="3">
        <f>IF(SUM(HighlanderAbilities2Scenario4[[#This Row],[takes]]) &gt; 0,HighlanderAbilities2Scenario4[[#This Row],[takes]]/SUM(HighlanderAbilities2Scenario4[takes]),0)</f>
        <v>5.7142857142857141E-2</v>
      </c>
      <c r="O93" s="3">
        <f>IF(HighlanderAbilities2Scenario4[[#This Row],[takes]]&gt;0,HighlanderAbilities2Scenario4[[#This Row],[wins]]/HighlanderAbilities2Scenario4[[#This Row],[takes]],0)</f>
        <v>0.5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4" s="2">
        <f>COUNTIF(Scenario4[winner1-ability2],HighlanderAbilities2Scenario4[[#This Row],[ability]])</f>
        <v>0</v>
      </c>
      <c r="N94" s="13">
        <f>IF(SUM(HighlanderAbilities2Scenario4[[#This Row],[takes]]) &gt; 0,HighlanderAbilities2Scenario4[[#This Row],[takes]]/SUM(HighlanderAbilities2Scenario4[takes]),0)</f>
        <v>0</v>
      </c>
      <c r="O94" s="13">
        <f>IF(HighlanderAbilities2Scenario4[[#This Row],[takes]]&gt;0,HighlanderAbilities2Scenario4[[#This Row],[wins]]/HighlanderAbilities2Scenario4[[#This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5</v>
      </c>
      <c r="M97" s="1">
        <f>COUNTIF(Scenario4[winner1-ability3],HighlanderAbilities3Scenario4[[#This Row],[ability]])</f>
        <v>2</v>
      </c>
      <c r="N97" s="14">
        <f>IF(SUM(HighlanderAbilities3Scenario4[[#This Row],[takes]]) &gt; 0,HighlanderAbilities3Scenario4[[#This Row],[takes]]/SUM(HighlanderAbilities3Scenario4[takes]),0)</f>
        <v>0.14285714285714285</v>
      </c>
      <c r="O97" s="14">
        <f>IF(HighlanderAbilities3Scenario4[[#This Row],[takes]]&gt;0,HighlanderAbilities3Scenario4[[#This Row],[wins]]/HighlanderAbilities3Scenario4[[#This Row],[takes]],0)</f>
        <v>0.4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28</v>
      </c>
      <c r="M98" s="2">
        <f>COUNTIF(Scenario4[winner1-ability3],HighlanderAbilities3Scenario4[[#This Row],[ability]])</f>
        <v>6</v>
      </c>
      <c r="N98" s="12">
        <f>IF(SUM(HighlanderAbilities3Scenario4[[#This Row],[takes]]) &gt; 0,HighlanderAbilities3Scenario4[[#This Row],[takes]]/SUM(HighlanderAbilities3Scenario4[takes]),0)</f>
        <v>0.8</v>
      </c>
      <c r="O98" s="12">
        <f>IF(HighlanderAbilities3Scenario4[[#This Row],[takes]]&gt;0,HighlanderAbilities3Scenario4[[#This Row],[wins]]/HighlanderAbilities3Scenario4[[#This Row],[takes]],0)</f>
        <v>0.21428571428571427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2</v>
      </c>
      <c r="M99" s="1">
        <f>COUNTIF(Scenario4[winner1-ability3],HighlanderAbilities3Scenario4[[#This Row],[ability]])</f>
        <v>0</v>
      </c>
      <c r="N99" s="15">
        <f>IF(SUM(HighlanderAbilities3Scenario4[[#This Row],[takes]]) &gt; 0,HighlanderAbilities3Scenario4[[#This Row],[takes]]/SUM(HighlanderAbilities3Scenario4[takes]),0)</f>
        <v>5.7142857142857141E-2</v>
      </c>
      <c r="O99" s="15">
        <f>IF(HighlanderAbilities3Scenario4[[#This Row],[takes]]&gt;0,HighlanderAbilities3Scenario4[[#This Row],[wins]]/HighlanderAbilities3Scenario4[[#This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15</v>
      </c>
      <c r="M102" s="2">
        <f>COUNTIF(Scenario4[winner1-ability4],HighlanderAbilities4Scenario4[[#This Row],[ability]])</f>
        <v>2</v>
      </c>
      <c r="N102" s="12">
        <f>IF(SUM(HighlanderAbilities4Scenario4[[#This Row],[takes]]) &gt; 0,HighlanderAbilities4Scenario4[[#This Row],[takes]]/SUM(HighlanderAbilities4Scenario4[takes]),0)</f>
        <v>0.44117647058823528</v>
      </c>
      <c r="O102" s="12">
        <f>IF(HighlanderAbilities4Scenario4[[#This Row],[takes]]&gt;0,HighlanderAbilities4Scenario4[[#This Row],[wins]]/HighlanderAbilities4Scenario4[[#This Row],[takes]],0)</f>
        <v>0.13333333333333333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5</v>
      </c>
      <c r="M103" s="2">
        <f>COUNTIF(Scenario4[winner1-ability4],HighlanderAbilities4Scenario4[[#This Row],[ability]])</f>
        <v>2</v>
      </c>
      <c r="N103" s="12">
        <f>IF(SUM(HighlanderAbilities4Scenario4[[#This Row],[takes]]) &gt; 0,HighlanderAbilities4Scenario4[[#This Row],[takes]]/SUM(HighlanderAbilities4Scenario4[takes]),0)</f>
        <v>0.14705882352941177</v>
      </c>
      <c r="O103" s="12">
        <f>IF(HighlanderAbilities4Scenario4[[#This Row],[takes]]&gt;0,HighlanderAbilities4Scenario4[[#This Row],[wins]]/HighlanderAbilities4Scenario4[[#This Row],[takes]],0)</f>
        <v>0.4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14</v>
      </c>
      <c r="M104" s="2">
        <f>COUNTIF(Scenario4[winner1-ability4],HighlanderAbilities4Scenario4[[#This Row],[ability]])</f>
        <v>3</v>
      </c>
      <c r="N104" s="26">
        <f>IF(SUM(HighlanderAbilities4Scenario4[[#This Row],[takes]]) &gt; 0,HighlanderAbilities4Scenario4[[#This Row],[takes]]/SUM(HighlanderAbilities4Scenario4[takes]),0)</f>
        <v>0.41176470588235292</v>
      </c>
      <c r="O104" s="26">
        <f>IF(HighlanderAbilities4Scenario4[[#This Row],[takes]]&gt;0,HighlanderAbilities4Scenario4[[#This Row],[wins]]/HighlanderAbilities4Scenario4[[#This Row],[takes]],0)</f>
        <v>0.21428571428571427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7</v>
      </c>
      <c r="M108">
        <f>COUNTIF(Scenario5[winner1-ability1],HighlanderAbilities1Scenario5[[#This Row],[ability]])+COUNTIF(Scenario5[winner2-ability1],HighlanderAbilities1Scenario5[[#This Row],[ability]])</f>
        <v>3</v>
      </c>
      <c r="N108" s="3">
        <f>IF(SUM(HighlanderAbilities1Scenario5[[#This Row],[takes]]) &gt; 0,HighlanderAbilities1Scenario5[[#This Row],[takes]]/SUM(HighlanderAbilities1Scenario5[takes]),0)</f>
        <v>6.6666666666666666E-2</v>
      </c>
      <c r="O108" s="3">
        <f>IF(HighlanderAbilities1Scenario5[[#This Row],[takes]]&gt;0,HighlanderAbilities1Scenario5[[#This Row],[wins]]/HighlanderAbilities1Scenario5[[#This Row],[takes]],0)</f>
        <v>0.42857142857142855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9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60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60</v>
      </c>
      <c r="M109">
        <f>COUNTIF(Scenario5[winner1-ability1],HighlanderAbilities1Scenario5[[#This Row],[ability]])+COUNTIF(Scenario5[winner2-ability1],HighlanderAbilities1Scenario5[[#This Row],[ability]])</f>
        <v>29</v>
      </c>
      <c r="N109" s="3">
        <f>IF(SUM(HighlanderAbilities1Scenario5[[#This Row],[takes]]) &gt; 0,HighlanderAbilities1Scenario5[[#This Row],[takes]]/SUM(HighlanderAbilities1Scenario5[takes]),0)</f>
        <v>0.5714285714285714</v>
      </c>
      <c r="O109" s="3">
        <f>IF(HighlanderAbilities1Scenario5[[#This Row],[takes]]&gt;0,HighlanderAbilities1Scenario5[[#This Row],[wins]]/HighlanderAbilities1Scenario5[[#This Row],[takes]],0)</f>
        <v>0.48333333333333334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33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25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38</v>
      </c>
      <c r="M110">
        <f>COUNTIF(Scenario5[winner1-ability1],HighlanderAbilities1Scenario5[[#This Row],[ability]])+COUNTIF(Scenario5[winner2-ability1],HighlanderAbilities1Scenario5[[#This Row],[ability]])</f>
        <v>20</v>
      </c>
      <c r="N110" s="3">
        <f>IF(SUM(HighlanderAbilities1Scenario5[[#This Row],[takes]]) &gt; 0,HighlanderAbilities1Scenario5[[#This Row],[takes]]/SUM(HighlanderAbilities1Scenario5[takes]),0)</f>
        <v>0.3619047619047619</v>
      </c>
      <c r="O110" s="3">
        <f>IF(HighlanderAbilities1Scenario5[[#This Row],[takes]]&gt;0,HighlanderAbilities1Scenario5[[#This Row],[wins]]/HighlanderAbilities1Scenario5[[#This Row],[takes]],0)</f>
        <v>0.52631578947368418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63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20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29</v>
      </c>
      <c r="M113" s="2">
        <f>COUNTIF(Scenario5[winner1-ability2],HighlanderAbilities2Scenario5[[#This Row],[ability]])+COUNTIF(Scenario5[winner2-ability2],HighlanderAbilities2Scenario5[[#This Row],[ability]])</f>
        <v>10</v>
      </c>
      <c r="N113" s="12">
        <f>IF(SUM(HighlanderAbilities2Scenario5[[#This Row],[takes]]) &gt; 0,HighlanderAbilities2Scenario5[[#This Row],[takes]]/SUM(HighlanderAbilities2Scenario5[takes]),0)</f>
        <v>0.33720930232558138</v>
      </c>
      <c r="O113" s="12">
        <f>IF(HighlanderAbilities2Scenario5[[#This Row],[takes]]&gt;0,HighlanderAbilities2Scenario5[[#This Row],[wins]]/HighlanderAbilities2Scenario5[[#This Row],[takes]],0)</f>
        <v>0.34482758620689657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31</v>
      </c>
      <c r="M114" s="2">
        <f>COUNTIF(Scenario5[winner1-ability2],HighlanderAbilities2Scenario5[[#This Row],[ability]])+COUNTIF(Scenario5[winner2-ability2],HighlanderAbilities2Scenario5[[#This Row],[ability]])</f>
        <v>20</v>
      </c>
      <c r="N114" s="3">
        <f>IF(SUM(HighlanderAbilities2Scenario5[[#This Row],[takes]]) &gt; 0,HighlanderAbilities2Scenario5[[#This Row],[takes]]/SUM(HighlanderAbilities2Scenario5[takes]),0)</f>
        <v>0.36046511627906974</v>
      </c>
      <c r="O114" s="3">
        <f>IF(HighlanderAbilities2Scenario5[[#This Row],[takes]]&gt;0,HighlanderAbilities2Scenario5[[#This Row],[wins]]/HighlanderAbilities2Scenario5[[#This Row],[takes]],0)</f>
        <v>0.64516129032258063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26</v>
      </c>
      <c r="M115" s="2">
        <f>COUNTIF(Scenario5[winner1-ability2],HighlanderAbilities2Scenario5[[#This Row],[ability]])+COUNTIF(Scenario5[winner2-ability2],HighlanderAbilities2Scenario5[[#This Row],[ability]])</f>
        <v>16</v>
      </c>
      <c r="N115" s="13">
        <f>IF(SUM(HighlanderAbilities2Scenario5[[#This Row],[takes]]) &gt; 0,HighlanderAbilities2Scenario5[[#This Row],[takes]]/SUM(HighlanderAbilities2Scenario5[takes]),0)</f>
        <v>0.30232558139534882</v>
      </c>
      <c r="O115" s="13">
        <f>IF(HighlanderAbilities2Scenario5[[#This Row],[takes]]&gt;0,HighlanderAbilities2Scenario5[[#This Row],[wins]]/HighlanderAbilities2Scenario5[[#This Row],[takes]],0)</f>
        <v>0.61538461538461542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31</v>
      </c>
      <c r="M118" s="1">
        <f>COUNTIF(Scenario5[winner1-ability3],HighlanderAbilities3Scenario5[[#This Row],[ability]])+COUNTIF(Scenario5[winner2-ability3],HighlanderAbilities3Scenario5[[#This Row],[ability]])</f>
        <v>17</v>
      </c>
      <c r="N118" s="14">
        <f>IF(SUM(HighlanderAbilities3Scenario5[[#This Row],[takes]]) &gt; 0,HighlanderAbilities3Scenario5[[#This Row],[takes]]/SUM(HighlanderAbilities3Scenario5[takes]),0)</f>
        <v>0.46268656716417911</v>
      </c>
      <c r="O118" s="14">
        <f>IF(HighlanderAbilities3Scenario5[[#This Row],[takes]]&gt;0,HighlanderAbilities3Scenario5[[#This Row],[wins]]/HighlanderAbilities3Scenario5[[#This Row],[takes]],0)</f>
        <v>0.54838709677419351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22</v>
      </c>
      <c r="M119" s="2">
        <f>COUNTIF(Scenario5[winner1-ability3],HighlanderAbilities3Scenario5[[#This Row],[ability]])+COUNTIF(Scenario5[winner2-ability3],HighlanderAbilities3Scenario5[[#This Row],[ability]])</f>
        <v>10</v>
      </c>
      <c r="N119" s="12">
        <f>IF(SUM(HighlanderAbilities3Scenario5[[#This Row],[takes]]) &gt; 0,HighlanderAbilities3Scenario5[[#This Row],[takes]]/SUM(HighlanderAbilities3Scenario5[takes]),0)</f>
        <v>0.32835820895522388</v>
      </c>
      <c r="O119" s="12">
        <f>IF(HighlanderAbilities3Scenario5[[#This Row],[takes]]&gt;0,HighlanderAbilities3Scenario5[[#This Row],[wins]]/HighlanderAbilities3Scenario5[[#This Row],[takes]],0)</f>
        <v>0.45454545454545453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14</v>
      </c>
      <c r="M120" s="1">
        <f>COUNTIF(Scenario5[winner1-ability3],HighlanderAbilities3Scenario5[[#This Row],[ability]])+COUNTIF(Scenario5[winner2-ability3],HighlanderAbilities3Scenario5[[#This Row],[ability]])</f>
        <v>8</v>
      </c>
      <c r="N120" s="15">
        <f>IF(SUM(HighlanderAbilities3Scenario5[[#This Row],[takes]]) &gt; 0,HighlanderAbilities3Scenario5[[#This Row],[takes]]/SUM(HighlanderAbilities3Scenario5[takes]),0)</f>
        <v>0.20895522388059701</v>
      </c>
      <c r="O120" s="15">
        <f>IF(HighlanderAbilities3Scenario5[[#This Row],[takes]]&gt;0,HighlanderAbilities3Scenario5[[#This Row],[wins]]/HighlanderAbilities3Scenario5[[#This Row],[takes]],0)</f>
        <v>0.5714285714285714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8</v>
      </c>
      <c r="M123" s="2">
        <f>COUNTIF(Scenario5[winner1-ability4],HighlanderAbilities4Scenario5[[#This Row],[ability]])+COUNTIF(Scenario5[winner2-ability4],HighlanderAbilities4Scenario5[[#This Row],[ability]])</f>
        <v>5</v>
      </c>
      <c r="N123" s="12">
        <f>IF(SUM(HighlanderAbilities4Scenario5[[#This Row],[takes]]) &gt; 0,HighlanderAbilities4Scenario5[[#This Row],[takes]]/SUM(HighlanderAbilities4Scenario5[takes]),0)</f>
        <v>0.21052631578947367</v>
      </c>
      <c r="O123" s="12">
        <f>IF(HighlanderAbilities4Scenario5[[#This Row],[takes]]&gt;0,HighlanderAbilities4Scenario5[[#This Row],[wins]]/HighlanderAbilities4Scenario5[[#This Row],[takes]],0)</f>
        <v>0.625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18</v>
      </c>
      <c r="M124" s="2">
        <f>COUNTIF(Scenario5[winner1-ability4],HighlanderAbilities4Scenario5[[#This Row],[ability]])+COUNTIF(Scenario5[winner2-ability4],HighlanderAbilities4Scenario5[[#This Row],[ability]])</f>
        <v>7</v>
      </c>
      <c r="N124" s="12">
        <f>IF(SUM(HighlanderAbilities4Scenario5[[#This Row],[takes]]) &gt; 0,HighlanderAbilities4Scenario5[[#This Row],[takes]]/SUM(HighlanderAbilities4Scenario5[takes]),0)</f>
        <v>0.47368421052631576</v>
      </c>
      <c r="O124" s="12">
        <f>IF(HighlanderAbilities4Scenario5[[#This Row],[takes]]&gt;0,HighlanderAbilities4Scenario5[[#This Row],[wins]]/HighlanderAbilities4Scenario5[[#This Row],[takes]],0)</f>
        <v>0.3888888888888889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12</v>
      </c>
      <c r="M125" s="2">
        <f>COUNTIF(Scenario5[winner1-ability4],HighlanderAbilities4Scenario5[[#This Row],[ability]])+COUNTIF(Scenario5[winner2-ability4],HighlanderAbilities4Scenario5[[#This Row],[ability]])</f>
        <v>9</v>
      </c>
      <c r="N125" s="26">
        <f>IF(SUM(HighlanderAbilities4Scenario5[[#This Row],[takes]]) &gt; 0,HighlanderAbilities4Scenario5[[#This Row],[takes]]/SUM(HighlanderAbilities4Scenario5[takes]),0)</f>
        <v>0.31578947368421051</v>
      </c>
      <c r="O125" s="26">
        <f>IF(HighlanderAbilities4Scenario5[[#This Row],[takes]]&gt;0,HighlanderAbilities4Scenario5[[#This Row],[wins]]/HighlanderAbilities4Scenario5[[#This Row],[takes]],0)</f>
        <v>0.75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E24" sqref="E24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0.26753246753246751</v>
      </c>
    </row>
    <row r="3" spans="1:22" x14ac:dyDescent="0.25">
      <c r="A3" t="s">
        <v>49</v>
      </c>
      <c r="B3">
        <f>L3+L24+L45+L66+L87+L108</f>
        <v>154</v>
      </c>
      <c r="C3">
        <f>M3+M24+M45+M66+M87+M108</f>
        <v>73</v>
      </c>
      <c r="D3" s="3">
        <f>IF(SUM(DruidAbilities1[[#This Row],[takes]]) &gt; 0,DruidAbilities1[[#This Row],[takes]]/SUM(DruidAbilities1[takes]),0)</f>
        <v>0.4</v>
      </c>
      <c r="E3" s="3">
        <f>IF(DruidAbilities1[[#This Row],[takes]]&gt;0,DruidAbilities1[[#This Row],[wins]]/DruidAbilities1[[#This Row],[takes]],0)</f>
        <v>0.47402597402597402</v>
      </c>
      <c r="G3">
        <v>1</v>
      </c>
      <c r="H3">
        <f>R3+R24+R45+R66+R87+R108</f>
        <v>134</v>
      </c>
      <c r="I3" s="18">
        <f>S3+S24+S45+S66+S87+S108</f>
        <v>271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72</v>
      </c>
      <c r="M3">
        <f>COUNTIF(Scenario0[winner1-ability1],DruidAbilities1Scenario0[[#This Row],[ability]])+COUNTIF(Scenario0[winner2-ability1],DruidAbilities1Scenario0[[#This Row],[ability]])</f>
        <v>40</v>
      </c>
      <c r="N3" s="3">
        <f>IF(SUM(DruidAbilities1Scenario0[[#This Row],[takes]]) &gt; 0,DruidAbilities1Scenario0[[#This Row],[takes]]/SUM(DruidAbilities1Scenario0[takes]),0)</f>
        <v>0.68571428571428572</v>
      </c>
      <c r="O3" s="3">
        <f>IF(DruidAbilities1Scenario0[[#This Row],[takes]]&gt;0,DruidAbilities1Scenario0[[#This Row],[wins]]/DruidAbilities1Scenario0[[#This Row],[takes]],0)</f>
        <v>0.55555555555555558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59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95</v>
      </c>
      <c r="U3" t="s">
        <v>196</v>
      </c>
      <c r="V3" s="16">
        <f>H5/SUM(DruidEquip[staff])</f>
        <v>0.38441558441558443</v>
      </c>
    </row>
    <row r="4" spans="1:22" x14ac:dyDescent="0.25">
      <c r="A4" t="s">
        <v>89</v>
      </c>
      <c r="B4">
        <f t="shared" ref="B4:B5" si="0">L4+L25+L46+L67+L88+L109</f>
        <v>140</v>
      </c>
      <c r="C4">
        <f t="shared" ref="C4:C5" si="1">M4+M25+M46+M67+M88+M109</f>
        <v>76</v>
      </c>
      <c r="D4" s="3">
        <f>IF(SUM(DruidAbilities1[[#This Row],[takes]]) &gt; 0,DruidAbilities1[[#This Row],[takes]]/SUM(DruidAbilities1[takes]),0)</f>
        <v>0.36363636363636365</v>
      </c>
      <c r="E4" s="3">
        <f>IF(DruidAbilities1[[#This Row],[takes]]&gt;0,DruidAbilities1[[#This Row],[wins]]/DruidAbilities1[[#This Row],[takes]],0)</f>
        <v>0.54285714285714282</v>
      </c>
      <c r="G4">
        <v>2</v>
      </c>
      <c r="H4">
        <f t="shared" ref="H4:H5" si="2">R4+R25+R46+R67+R88+R109</f>
        <v>103</v>
      </c>
      <c r="I4" s="18">
        <f t="shared" ref="I4:I5" si="3">S4+S25+S46+S67+S88+S109</f>
        <v>53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33</v>
      </c>
      <c r="M4">
        <f>COUNTIF(Scenario0[winner1-ability1],DruidAbilities1Scenario0[[#This Row],[ability]])+COUNTIF(Scenario0[winner2-ability1],DruidAbilities1Scenario0[[#This Row],[ability]])</f>
        <v>15</v>
      </c>
      <c r="N4" s="3">
        <f>IF(SUM(DruidAbilities1Scenario0[[#This Row],[takes]]) &gt; 0,DruidAbilities1Scenario0[[#This Row],[takes]]/SUM(DruidAbilities1Scenario0[takes]),0)</f>
        <v>0.31428571428571428</v>
      </c>
      <c r="O4" s="3">
        <f>IF(DruidAbilities1Scenario0[[#This Row],[takes]]&gt;0,DruidAbilities1Scenario0[[#This Row],[wins]]/DruidAbilities1Scenario0[[#This Row],[takes]],0)</f>
        <v>0.45454545454545453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21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6</v>
      </c>
      <c r="U4" t="s">
        <v>179</v>
      </c>
      <c r="V4" s="3">
        <f>DruidEquip[[#This Row],[chestpiece]]/SUM(DruidEquip[chestpiece])</f>
        <v>0.13766233766233765</v>
      </c>
    </row>
    <row r="5" spans="1:22" x14ac:dyDescent="0.25">
      <c r="A5" t="s">
        <v>126</v>
      </c>
      <c r="B5">
        <f t="shared" si="0"/>
        <v>91</v>
      </c>
      <c r="C5">
        <f t="shared" si="1"/>
        <v>20</v>
      </c>
      <c r="D5" s="3">
        <f>IF(SUM(DruidAbilities1[[#This Row],[takes]]) &gt; 0,DruidAbilities1[[#This Row],[takes]]/SUM(DruidAbilities1[takes]),0)</f>
        <v>0.23636363636363636</v>
      </c>
      <c r="E5" s="3">
        <f>IF(DruidAbilities1[[#This Row],[takes]]&gt;0,DruidAbilities1[[#This Row],[wins]]/DruidAbilities1[[#This Row],[takes]],0)</f>
        <v>0.21978021978021978</v>
      </c>
      <c r="G5">
        <v>3</v>
      </c>
      <c r="H5">
        <f t="shared" si="2"/>
        <v>148</v>
      </c>
      <c r="I5" s="18">
        <f t="shared" si="3"/>
        <v>61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25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4</v>
      </c>
      <c r="U5" t="s">
        <v>180</v>
      </c>
      <c r="V5" s="16">
        <f>DruidEquip[[#This Row],[chestpiece]]/SUM(DruidEquip[chestpiece])</f>
        <v>0.15844155844155844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0.7220779220779221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0.52727272727272723</v>
      </c>
    </row>
    <row r="8" spans="1:22" x14ac:dyDescent="0.25">
      <c r="A8" s="2" t="s">
        <v>71</v>
      </c>
      <c r="B8" s="2">
        <f>L8+L29+L50+L71+L92+L113</f>
        <v>85</v>
      </c>
      <c r="C8" s="2">
        <f>M8+M29+M50+M71+M92+M113</f>
        <v>31</v>
      </c>
      <c r="D8" s="12">
        <f>IF(SUM(DruidAbilities2[[#This Row],[takes]]) &gt; 0,DruidAbilities2[[#This Row],[takes]]/SUM(DruidAbilities2[takes]),0)</f>
        <v>0.30575539568345322</v>
      </c>
      <c r="E8" s="12">
        <f>IF(DruidAbilities2[[#This Row],[takes]]&gt;0,DruidAbilities2[[#This Row],[wins]]/DruidAbilities2[[#This Row],[takes]],0)</f>
        <v>0.36470588235294116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6</v>
      </c>
      <c r="M8" s="2">
        <f>COUNTIF(Scenario0[winner1-ability2],DruidAbilities2Scenario0[[#This Row],[ability]])+COUNTIF(Scenario0[winner2-ability2],DruidAbilities2Scenario0[[#This Row],[ability]])</f>
        <v>3</v>
      </c>
      <c r="N8" s="12">
        <f>IF(SUM(DruidAbilities2Scenario0[[#This Row],[takes]]) &gt; 0,DruidAbilities2Scenario0[[#This Row],[takes]]/SUM(DruidAbilities2Scenario0[takes]),0)</f>
        <v>0.13953488372093023</v>
      </c>
      <c r="O8" s="12">
        <f>IF(DruidAbilities2Scenario0[[#This Row],[takes]]&gt;0,DruidAbilities2Scenario0[[#This Row],[wins]]/DruidAbilities2Scenario0[[#This Row],[takes]],0)</f>
        <v>0.5</v>
      </c>
      <c r="S8" s="18"/>
      <c r="U8" t="s">
        <v>178</v>
      </c>
      <c r="V8" s="16">
        <f>SUM(DruidAbilities4[takes])/SUM(DruidAbilities1[takes])</f>
        <v>0.34545454545454546</v>
      </c>
    </row>
    <row r="9" spans="1:22" x14ac:dyDescent="0.25">
      <c r="A9" t="s">
        <v>50</v>
      </c>
      <c r="B9" s="2">
        <f t="shared" ref="B9:B10" si="4">L9+L30+L51+L72+L93+L114</f>
        <v>93</v>
      </c>
      <c r="C9" s="2">
        <f t="shared" ref="C9:C10" si="5">M9+M30+M51+M72+M93+M114</f>
        <v>52</v>
      </c>
      <c r="D9" s="3">
        <f>IF(SUM(DruidAbilities2[[#This Row],[takes]]) &gt; 0,DruidAbilities2[[#This Row],[takes]]/SUM(DruidAbilities2[takes]),0)</f>
        <v>0.3345323741007194</v>
      </c>
      <c r="E9" s="3">
        <f>IF(DruidAbilities2[[#This Row],[takes]]&gt;0,DruidAbilities2[[#This Row],[wins]]/DruidAbilities2[[#This Row],[takes]],0)</f>
        <v>0.55913978494623651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28</v>
      </c>
      <c r="M9" s="2">
        <f>COUNTIF(Scenario0[winner1-ability2],DruidAbilities2Scenario0[[#This Row],[ability]])+COUNTIF(Scenario0[winner2-ability2],DruidAbilities2Scenario0[[#This Row],[ability]])</f>
        <v>21</v>
      </c>
      <c r="N9" s="3">
        <f>IF(SUM(DruidAbilities2Scenario0[[#This Row],[takes]]) &gt; 0,DruidAbilities2Scenario0[[#This Row],[takes]]/SUM(DruidAbilities2Scenario0[takes]),0)</f>
        <v>0.65116279069767447</v>
      </c>
      <c r="O9" s="3">
        <f>IF(DruidAbilities2Scenario0[[#This Row],[takes]]&gt;0,DruidAbilities2Scenario0[[#This Row],[wins]]/DruidAbilities2Scenario0[[#This Row],[takes]],0)</f>
        <v>0.75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2.5428571428571427</v>
      </c>
    </row>
    <row r="10" spans="1:22" x14ac:dyDescent="0.25">
      <c r="A10" s="10" t="s">
        <v>84</v>
      </c>
      <c r="B10" s="2">
        <f t="shared" si="4"/>
        <v>100</v>
      </c>
      <c r="C10" s="2">
        <f t="shared" si="5"/>
        <v>42</v>
      </c>
      <c r="D10" s="13">
        <f>IF(SUM(DruidAbilities2[[#This Row],[takes]]) &gt; 0,DruidAbilities2[[#This Row],[takes]]/SUM(DruidAbilities2[takes]),0)</f>
        <v>0.35971223021582732</v>
      </c>
      <c r="E10" s="13">
        <f>IF(DruidAbilities2[[#This Row],[takes]]&gt;0,DruidAbilities2[[#This Row],[wins]]/DruidAbilities2[[#This Row],[takes]],0)</f>
        <v>0.42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9</v>
      </c>
      <c r="M10" s="2">
        <f>COUNTIF(Scenario0[winner1-ability2],DruidAbilities2Scenario0[[#This Row],[ability]])+COUNTIF(Scenario0[winner2-ability2],DruidAbilities2Scenario0[[#This Row],[ability]])</f>
        <v>5</v>
      </c>
      <c r="N10" s="13">
        <f>IF(SUM(DruidAbilities2Scenario0[[#This Row],[takes]]) &gt; 0,DruidAbilities2Scenario0[[#This Row],[takes]]/SUM(DruidAbilities2Scenario0[takes]),0)</f>
        <v>0.20930232558139536</v>
      </c>
      <c r="O10" s="13">
        <f>IF(DruidAbilities2Scenario0[[#This Row],[takes]]&gt;0,DruidAbilities2Scenario0[[#This Row],[wins]]/DruidAbilities2Scenario0[[#This Row],[takes]],0)</f>
        <v>0.55555555555555558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59</v>
      </c>
      <c r="C13" s="1">
        <f>M13+M34+M55+M76+M97+M118</f>
        <v>33</v>
      </c>
      <c r="D13" s="14">
        <f>IF(SUM(DruidAbilities3[[#This Row],[takes]]) &gt; 0,DruidAbilities3[[#This Row],[takes]]/SUM(DruidAbilities3[takes]),0)</f>
        <v>0.29064039408866993</v>
      </c>
      <c r="E13" s="14">
        <f>IF(DruidAbilities3[[#This Row],[takes]]&gt;0,DruidAbilities3[[#This Row],[wins]]/DruidAbilities3[[#This Row],[takes]],0)</f>
        <v>0.55932203389830504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7</v>
      </c>
      <c r="M13" s="1">
        <f>COUNTIF(Scenario0[winner1-ability3],DruidAbilities3Scenario0[[#This Row],[ability]])+COUNTIF(Scenario0[winner2-ability3],DruidAbilities3Scenario0[[#This Row],[ability]])</f>
        <v>6</v>
      </c>
      <c r="N13" s="14">
        <f>IF(SUM(DruidAbilities3Scenario0[[#This Row],[takes]]) &gt; 0,DruidAbilities3Scenario0[[#This Row],[takes]]/SUM(DruidAbilities3Scenario0[takes]),0)</f>
        <v>0.35</v>
      </c>
      <c r="O13" s="14">
        <f>IF(DruidAbilities3Scenario0[[#This Row],[takes]]&gt;0,DruidAbilities3Scenario0[[#This Row],[wins]]/DruidAbilities3Scenario0[[#This Row],[takes]],0)</f>
        <v>0.8571428571428571</v>
      </c>
      <c r="S13" s="18"/>
    </row>
    <row r="14" spans="1:22" x14ac:dyDescent="0.25">
      <c r="A14" s="2" t="s">
        <v>127</v>
      </c>
      <c r="B14" s="2">
        <f t="shared" ref="B14:B15" si="6">L14+L35+L56+L77+L98+L119</f>
        <v>113</v>
      </c>
      <c r="C14" s="2">
        <f t="shared" ref="C14:C15" si="7">M14+M35+M56+M77+M98+M119</f>
        <v>53</v>
      </c>
      <c r="D14" s="12">
        <f>IF(SUM(DruidAbilities3[[#This Row],[takes]]) &gt; 0,DruidAbilities3[[#This Row],[takes]]/SUM(DruidAbilities3[takes]),0)</f>
        <v>0.55665024630541871</v>
      </c>
      <c r="E14" s="12">
        <f>IF(DruidAbilities3[[#This Row],[takes]]&gt;0,DruidAbilities3[[#This Row],[wins]]/DruidAbilities3[[#This Row],[takes]],0)</f>
        <v>0.46902654867256638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10</v>
      </c>
      <c r="M14" s="2">
        <f>COUNTIF(Scenario0[winner1-ability3],DruidAbilities3Scenario0[[#This Row],[ability]])+COUNTIF(Scenario0[winner2-ability3],DruidAbilities3Scenario0[[#This Row],[ability]])</f>
        <v>9</v>
      </c>
      <c r="N14" s="12">
        <f>IF(SUM(DruidAbilities3Scenario0[[#This Row],[takes]]) &gt; 0,DruidAbilities3Scenario0[[#This Row],[takes]]/SUM(DruidAbilities3Scenario0[takes]),0)</f>
        <v>0.5</v>
      </c>
      <c r="O14" s="12">
        <f>IF(DruidAbilities3Scenario0[[#This Row],[takes]]&gt;0,DruidAbilities3Scenario0[[#This Row],[wins]]/DruidAbilities3Scenario0[[#This Row],[takes]],0)</f>
        <v>0.9</v>
      </c>
      <c r="S14" s="18"/>
    </row>
    <row r="15" spans="1:22" x14ac:dyDescent="0.25">
      <c r="A15" s="11" t="s">
        <v>90</v>
      </c>
      <c r="B15" s="1">
        <f t="shared" si="6"/>
        <v>31</v>
      </c>
      <c r="C15" s="1">
        <f t="shared" si="7"/>
        <v>13</v>
      </c>
      <c r="D15" s="15">
        <f>IF(SUM(DruidAbilities3[[#This Row],[takes]]) &gt; 0,DruidAbilities3[[#This Row],[takes]]/SUM(DruidAbilities3[takes]),0)</f>
        <v>0.15270935960591134</v>
      </c>
      <c r="E15" s="15">
        <f>IF(DruidAbilities3[[#This Row],[takes]]&gt;0,DruidAbilities3[[#This Row],[wins]]/DruidAbilities3[[#This Row],[takes]],0)</f>
        <v>0.41935483870967744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3</v>
      </c>
      <c r="M15" s="1">
        <f>COUNTIF(Scenario0[winner1-ability3],DruidAbilities3Scenario0[[#This Row],[ability]])+COUNTIF(Scenario0[winner2-ability3],DruidAbilities3Scenario0[[#This Row],[ability]])</f>
        <v>2</v>
      </c>
      <c r="N15" s="15">
        <f>IF(SUM(DruidAbilities3Scenario0[[#This Row],[takes]]) &gt; 0,DruidAbilities3Scenario0[[#This Row],[takes]]/SUM(DruidAbilities3Scenario0[takes]),0)</f>
        <v>0.15</v>
      </c>
      <c r="O15" s="15">
        <f>IF(DruidAbilities3Scenario0[[#This Row],[takes]]&gt;0,DruidAbilities3Scenario0[[#This Row],[wins]]/DruidAbilities3Scenario0[[#This Row],[takes]],0)</f>
        <v>0.66666666666666663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54</v>
      </c>
      <c r="C18" s="2">
        <f>M18+M39+M60+M81+M102+M123</f>
        <v>21</v>
      </c>
      <c r="D18" s="12">
        <f>IF(SUM(DruidAbilities4[[#This Row],[takes]]) &gt; 0,DruidAbilities4[[#This Row],[takes]]/SUM(DruidAbilities4[takes]),0)</f>
        <v>0.40601503759398494</v>
      </c>
      <c r="E18" s="12">
        <f>IF(DruidAbilities4[[#This Row],[takes]]&gt;0,DruidAbilities4[[#This Row],[wins]]/DruidAbilities4[[#This Row],[takes]],0)</f>
        <v>0.3888888888888889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1</v>
      </c>
      <c r="M18" s="2">
        <f>COUNTIF(Scenario0[winner1-ability4],DruidAbilities4Scenario0[[#This Row],[ability]])+COUNTIF(Scenario0[winner2-ability4],DruidAbilities4Scenario0[[#This Row],[ability]])</f>
        <v>1</v>
      </c>
      <c r="N18" s="12">
        <f>IF(SUM(DruidAbilities4Scenario0[[#This Row],[takes]]) &gt; 0,DruidAbilities4Scenario0[[#This Row],[takes]]/SUM(DruidAbilities4Scenario0[takes]),0)</f>
        <v>0.16666666666666666</v>
      </c>
      <c r="O18" s="12">
        <f>IF(DruidAbilities4Scenario0[[#This Row],[takes]]&gt;0,DruidAbilities4Scenario0[[#This Row],[wins]]/DruidAbilities4Scenario0[[#This Row],[takes]],0)</f>
        <v>1</v>
      </c>
      <c r="S18" s="18"/>
    </row>
    <row r="19" spans="1:20" x14ac:dyDescent="0.25">
      <c r="A19" s="2" t="s">
        <v>52</v>
      </c>
      <c r="B19" s="2">
        <f t="shared" ref="B19:B20" si="8">L19+L40+L61+L82+L103+L124</f>
        <v>41</v>
      </c>
      <c r="C19" s="2">
        <f t="shared" ref="C19:C20" si="9">M19+M40+M61+M82+M103+M124</f>
        <v>10</v>
      </c>
      <c r="D19" s="12">
        <f>IF(SUM(DruidAbilities4[[#This Row],[takes]]) &gt; 0,DruidAbilities4[[#This Row],[takes]]/SUM(DruidAbilities4[takes]),0)</f>
        <v>0.30827067669172931</v>
      </c>
      <c r="E19" s="12">
        <f>IF(DruidAbilities4[[#This Row],[takes]]&gt;0,DruidAbilities4[[#This Row],[wins]]/DruidAbilities4[[#This Row],[takes]],0)</f>
        <v>0.24390243902439024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2</v>
      </c>
      <c r="M19" s="2">
        <f>COUNTIF(Scenario0[winner1-ability4],DruidAbilities4Scenario0[[#This Row],[ability]])+COUNTIF(Scenario0[winner2-ability4],DruidAbilities4Scenario0[[#This Row],[ability]])</f>
        <v>2</v>
      </c>
      <c r="N19" s="12">
        <f>IF(SUM(DruidAbilities4Scenario0[[#This Row],[takes]]) &gt; 0,DruidAbilities4Scenario0[[#This Row],[takes]]/SUM(DruidAbilities4Scenario0[takes]),0)</f>
        <v>0.33333333333333331</v>
      </c>
      <c r="O19" s="12">
        <f>IF(DruidAbilities4Scenario0[[#This Row],[takes]]&gt;0,DruidAbilities4Scenario0[[#This Row],[wins]]/DruidAbilities4Scenario0[[#This Row],[takes]],0)</f>
        <v>1</v>
      </c>
      <c r="S19" s="18"/>
    </row>
    <row r="20" spans="1:20" ht="15.75" thickBot="1" x14ac:dyDescent="0.3">
      <c r="A20" s="10" t="s">
        <v>129</v>
      </c>
      <c r="B20" s="2">
        <f t="shared" si="8"/>
        <v>38</v>
      </c>
      <c r="C20" s="2">
        <f t="shared" si="9"/>
        <v>27</v>
      </c>
      <c r="D20" s="26">
        <f>IF(SUM(DruidAbilities4[[#This Row],[takes]]) &gt; 0,DruidAbilities4[[#This Row],[takes]]/SUM(DruidAbilities4[takes]),0)</f>
        <v>0.2857142857142857</v>
      </c>
      <c r="E20" s="26">
        <f>IF(DruidAbilities4[[#This Row],[takes]]&gt;0,DruidAbilities4[[#This Row],[wins]]/DruidAbilities4[[#This Row],[takes]],0)</f>
        <v>0.71052631578947367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3</v>
      </c>
      <c r="M20" s="25">
        <f>COUNTIF(Scenario0[winner1-ability4],DruidAbilities4Scenario0[[#This Row],[ability]])+COUNTIF(Scenario0[winner2-ability4],DruidAbilities4Scenario0[[#This Row],[ability]])</f>
        <v>3</v>
      </c>
      <c r="N20" s="26">
        <f>IF(SUM(DruidAbilities4Scenario0[[#This Row],[takes]]) &gt; 0,DruidAbilities4Scenario0[[#This Row],[takes]]/SUM(DruidAbilities4Scenario0[takes]),0)</f>
        <v>0.5</v>
      </c>
      <c r="O20" s="26">
        <f>IF(DruidAbilities4Scenario0[[#This Row],[takes]]&gt;0,DruidAbilities4Scenario0[[#This Row],[wins]]/DruidAbilities4Scenario0[[#This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43</v>
      </c>
      <c r="M24">
        <f>COUNTIF(Scenario1[winner1-ability1],DruidAbilities1Scenario1[[#This Row],[ability]])+COUNTIF(Scenario1[winner2-ability1],DruidAbilities1Scenario1[[#This Row],[ability]])</f>
        <v>20</v>
      </c>
      <c r="N24" s="3">
        <f>IF(SUM(DruidAbilities1Scenario1[[#This Row],[takes]]) &gt; 0,DruidAbilities1Scenario1[[#This Row],[takes]]/SUM(DruidAbilities1Scenario1[takes]),0)</f>
        <v>0.40952380952380951</v>
      </c>
      <c r="O24" s="3">
        <f>IF(DruidAbilities1Scenario1[[#This Row],[takes]]&gt;0,DruidAbilities1Scenario1[[#This Row],[wins]]/DruidAbilities1Scenario1[[#This Row],[takes]],0)</f>
        <v>0.46511627906976744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15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86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62</v>
      </c>
      <c r="M25">
        <f>COUNTIF(Scenario1[winner1-ability1],DruidAbilities1Scenario1[[#This Row],[ability]])+COUNTIF(Scenario1[winner2-ability1],DruidAbilities1Scenario1[[#This Row],[ability]])</f>
        <v>34</v>
      </c>
      <c r="N25" s="3">
        <f>IF(SUM(DruidAbilities1Scenario1[[#This Row],[takes]]) &gt; 0,DruidAbilities1Scenario1[[#This Row],[takes]]/SUM(DruidAbilities1Scenario1[takes]),0)</f>
        <v>0.59047619047619049</v>
      </c>
      <c r="O25" s="3">
        <f>IF(DruidAbilities1Scenario1[[#This Row],[takes]]&gt;0,DruidAbilities1Scenario1[[#This Row],[wins]]/DruidAbilities1Scenario1[[#This Row],[takes]],0)</f>
        <v>0.54838709677419351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27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13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0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63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6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8</v>
      </c>
      <c r="M29" s="2">
        <f>COUNTIF(Scenario1[winner1-ability2],DruidAbilities2Scenario1[[#This Row],[ability]])+COUNTIF(Scenario1[winner2-ability2],DruidAbilities2Scenario1[[#This Row],[ability]])</f>
        <v>5</v>
      </c>
      <c r="N29" s="12">
        <f>IF(SUM(DruidAbilities2Scenario1[[#This Row],[takes]]) &gt; 0,DruidAbilities2Scenario1[[#This Row],[takes]]/SUM(DruidAbilities2Scenario1[takes]),0)</f>
        <v>0.11764705882352941</v>
      </c>
      <c r="O29" s="12">
        <f>IF(DruidAbilities2Scenario1[[#This Row],[takes]]&gt;0,DruidAbilities2Scenario1[[#This Row],[wins]]/DruidAbilities2Scenario1[[#This Row],[takes]],0)</f>
        <v>0.625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33</v>
      </c>
      <c r="M30" s="2">
        <f>COUNTIF(Scenario1[winner1-ability2],DruidAbilities2Scenario1[[#This Row],[ability]])+COUNTIF(Scenario1[winner2-ability2],DruidAbilities2Scenario1[[#This Row],[ability]])</f>
        <v>16</v>
      </c>
      <c r="N30" s="3">
        <f>IF(SUM(DruidAbilities2Scenario1[[#This Row],[takes]]) &gt; 0,DruidAbilities2Scenario1[[#This Row],[takes]]/SUM(DruidAbilities2Scenario1[takes]),0)</f>
        <v>0.48529411764705882</v>
      </c>
      <c r="O30" s="3">
        <f>IF(DruidAbilities2Scenario1[[#This Row],[takes]]&gt;0,DruidAbilities2Scenario1[[#This Row],[wins]]/DruidAbilities2Scenario1[[#This Row],[takes]],0)</f>
        <v>0.48484848484848486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27</v>
      </c>
      <c r="M31" s="2">
        <f>COUNTIF(Scenario1[winner1-ability2],DruidAbilities2Scenario1[[#This Row],[ability]])+COUNTIF(Scenario1[winner2-ability2],DruidAbilities2Scenario1[[#This Row],[ability]])</f>
        <v>19</v>
      </c>
      <c r="N31" s="13">
        <f>IF(SUM(DruidAbilities2Scenario1[[#This Row],[takes]]) &gt; 0,DruidAbilities2Scenario1[[#This Row],[takes]]/SUM(DruidAbilities2Scenario1[takes]),0)</f>
        <v>0.39705882352941174</v>
      </c>
      <c r="O31" s="13">
        <f>IF(DruidAbilities2Scenario1[[#This Row],[takes]]&gt;0,DruidAbilities2Scenario1[[#This Row],[wins]]/DruidAbilities2Scenario1[[#This Row],[takes]],0)</f>
        <v>0.70370370370370372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15</v>
      </c>
      <c r="M34" s="1">
        <f>COUNTIF(Scenario1[winner1-ability3],DruidAbilities3Scenario1[[#This Row],[ability]])+COUNTIF(Scenario1[winner2-ability3],DruidAbilities3Scenario1[[#This Row],[ability]])</f>
        <v>12</v>
      </c>
      <c r="N34" s="14">
        <f>IF(SUM(DruidAbilities3Scenario1[[#This Row],[takes]]) &gt; 0,DruidAbilities3Scenario1[[#This Row],[takes]]/SUM(DruidAbilities3Scenario1[takes]),0)</f>
        <v>0.35714285714285715</v>
      </c>
      <c r="O34" s="14">
        <f>IF(DruidAbilities3Scenario1[[#This Row],[takes]]&gt;0,DruidAbilities3Scenario1[[#This Row],[wins]]/DruidAbilities3Scenario1[[#This Row],[takes]],0)</f>
        <v>0.8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22</v>
      </c>
      <c r="M35" s="2">
        <f>COUNTIF(Scenario1[winner1-ability3],DruidAbilities3Scenario1[[#This Row],[ability]])+COUNTIF(Scenario1[winner2-ability3],DruidAbilities3Scenario1[[#This Row],[ability]])</f>
        <v>14</v>
      </c>
      <c r="N35" s="12">
        <f>IF(SUM(DruidAbilities3Scenario1[[#This Row],[takes]]) &gt; 0,DruidAbilities3Scenario1[[#This Row],[takes]]/SUM(DruidAbilities3Scenario1[takes]),0)</f>
        <v>0.52380952380952384</v>
      </c>
      <c r="O35" s="12">
        <f>IF(DruidAbilities3Scenario1[[#This Row],[takes]]&gt;0,DruidAbilities3Scenario1[[#This Row],[wins]]/DruidAbilities3Scenario1[[#This Row],[takes]],0)</f>
        <v>0.63636363636363635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5</v>
      </c>
      <c r="M36" s="1">
        <f>COUNTIF(Scenario1[winner1-ability3],DruidAbilities3Scenario1[[#This Row],[ability]])+COUNTIF(Scenario1[winner2-ability3],DruidAbilities3Scenario1[[#This Row],[ability]])</f>
        <v>4</v>
      </c>
      <c r="N36" s="15">
        <f>IF(SUM(DruidAbilities3Scenario1[[#This Row],[takes]]) &gt; 0,DruidAbilities3Scenario1[[#This Row],[takes]]/SUM(DruidAbilities3Scenario1[takes]),0)</f>
        <v>0.11904761904761904</v>
      </c>
      <c r="O36" s="15">
        <f>IF(DruidAbilities3Scenario1[[#This Row],[takes]]&gt;0,DruidAbilities3Scenario1[[#This Row],[wins]]/DruidAbilities3Scenario1[[#This Row],[takes]],0)</f>
        <v>0.8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5</v>
      </c>
      <c r="M39" s="2">
        <f>COUNTIF(Scenario1[winner1-ability4],DruidAbilities4Scenario1[[#This Row],[ability]])+COUNTIF(Scenario1[winner2-ability4],DruidAbilities4Scenario1[[#This Row],[ability]])</f>
        <v>4</v>
      </c>
      <c r="N39" s="12">
        <f>IF(SUM(DruidAbilities4Scenario1[[#This Row],[takes]]) &gt; 0,DruidAbilities4Scenario1[[#This Row],[takes]]/SUM(DruidAbilities4Scenario1[takes]),0)</f>
        <v>0.3125</v>
      </c>
      <c r="O39" s="12">
        <f>IF(DruidAbilities4Scenario1[[#This Row],[takes]]&gt;0,DruidAbilities4Scenario1[[#This Row],[wins]]/DruidAbilities4Scenario1[[#This Row],[takes]],0)</f>
        <v>0.8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2</v>
      </c>
      <c r="M40" s="2">
        <f>COUNTIF(Scenario1[winner1-ability4],DruidAbilities4Scenario1[[#This Row],[ability]])+COUNTIF(Scenario1[winner2-ability4],DruidAbilities4Scenario1[[#This Row],[ability]])</f>
        <v>2</v>
      </c>
      <c r="N40" s="12">
        <f>IF(SUM(DruidAbilities4Scenario1[[#This Row],[takes]]) &gt; 0,DruidAbilities4Scenario1[[#This Row],[takes]]/SUM(DruidAbilities4Scenario1[takes]),0)</f>
        <v>0.125</v>
      </c>
      <c r="O40" s="12">
        <f>IF(DruidAbilities4Scenario1[[#This Row],[takes]]&gt;0,DruidAbilities4Scenario1[[#This Row],[wins]]/DruidAbilities4Scenario1[[#This Row],[takes]],0)</f>
        <v>1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9</v>
      </c>
      <c r="M41" s="25">
        <f>COUNTIF(Scenario1[winner1-ability4],DruidAbilities4Scenario1[[#This Row],[ability]])+COUNTIF(Scenario1[winner2-ability4],DruidAbilities4Scenario1[[#This Row],[ability]])</f>
        <v>5</v>
      </c>
      <c r="N41" s="26">
        <f>IF(SUM(DruidAbilities4Scenario1[[#This Row],[takes]]) &gt; 0,DruidAbilities4Scenario1[[#This Row],[takes]]/SUM(DruidAbilities4Scenario1[takes]),0)</f>
        <v>0.5625</v>
      </c>
      <c r="O41" s="26">
        <f>IF(DruidAbilities4Scenario1[[#This Row],[takes]]&gt;0,DruidAbilities4Scenario1[[#This Row],[wins]]/DruidAbilities4Scenario1[[#This Row],[takes]],0)</f>
        <v>0.55555555555555558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2</v>
      </c>
      <c r="M45">
        <f>COUNTIF(Scenario2[winner1-ability1],DruidAbilities1Scenario2[[#This Row],[ability]])</f>
        <v>0</v>
      </c>
      <c r="N45" s="3">
        <f>IF(SUM(DruidAbilities1Scenario2[[#This Row],[takes]]) &gt; 0,DruidAbilities1Scenario2[[#This Row],[takes]]/SUM(DruidAbilities1Scenario2[takes]),0)</f>
        <v>0.14285714285714285</v>
      </c>
      <c r="O45" s="3">
        <f>IF(DruidAbilities1Scenario2[[#This Row],[takes]]&gt;0,DruidAbilities1Scenario2[[#This Row],[wins]]/DruidAbilities1Scenario2[[#This Row],[takes]],0)</f>
        <v>0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0</v>
      </c>
      <c r="S45" s="18">
        <f>COUNTIFS(Scenario2[winner1],"druid",Scenario2[winner1-cp],DruidEquipScenario2[[#This Row],[level]])+COUNTIFS(Scenario2[loser1],"druid",Scenario2[loser1-cp],DruidEquipScenario2[[#This Row],[level]])</f>
        <v>6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6</v>
      </c>
      <c r="M46">
        <f>COUNTIF(Scenario2[winner1-ability1],DruidAbilities1Scenario2[[#This Row],[ability]])</f>
        <v>5</v>
      </c>
      <c r="N46" s="3">
        <f>IF(SUM(DruidAbilities1Scenario2[[#This Row],[takes]]) &gt; 0,DruidAbilities1Scenario2[[#This Row],[takes]]/SUM(DruidAbilities1Scenario2[takes]),0)</f>
        <v>0.42857142857142855</v>
      </c>
      <c r="O46" s="3">
        <f>IF(DruidAbilities1Scenario2[[#This Row],[takes]]&gt;0,DruidAbilities1Scenario2[[#This Row],[wins]]/DruidAbilities1Scenario2[[#This Row],[takes]],0)</f>
        <v>0.83333333333333337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9</v>
      </c>
      <c r="S46" s="18">
        <f>COUNTIFS(Scenario2[winner1],"druid",Scenario2[winner1-cp],DruidEquipScenario2[[#This Row],[level]])+COUNTIFS(Scenario2[loser1],"druid",Scenario2[loser1-cp],DruidEquipScenario2[[#This Row],[level]])</f>
        <v>5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6</v>
      </c>
      <c r="M47">
        <f>COUNTIF(Scenario2[winner1-ability1],DruidAbilities1Scenario2[[#This Row],[ability]])</f>
        <v>3</v>
      </c>
      <c r="N47" s="3">
        <f>IF(SUM(DruidAbilities1Scenario2[[#This Row],[takes]]) &gt; 0,DruidAbilities1Scenario2[[#This Row],[takes]]/SUM(DruidAbilities1Scenario2[takes]),0)</f>
        <v>0.42857142857142855</v>
      </c>
      <c r="O47" s="3">
        <f>IF(DruidAbilities1Scenario2[[#This Row],[takes]]&gt;0,DruidAbilities1Scenario2[[#This Row],[wins]]/DruidAbilities1Scenario2[[#This Row],[takes]],0)</f>
        <v>0.5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5</v>
      </c>
      <c r="S47" s="18">
        <f>COUNTIFS(Scenario2[winner1],"druid",Scenario2[winner1-cp],DruidEquipScenario2[[#This Row],[level]])+COUNTIFS(Scenario2[loser1],"druid",Scenario2[loser1-cp],DruidEquipScenario2[[#This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6</v>
      </c>
      <c r="M50" s="2">
        <f>COUNTIF(Scenario2[winner1-ability2],DruidAbilities2Scenario2[[#This Row],[ability]])</f>
        <v>2</v>
      </c>
      <c r="N50" s="12">
        <f>IF(SUM(DruidAbilities2Scenario2[[#This Row],[takes]]) &gt; 0,DruidAbilities2Scenario2[[#This Row],[takes]]/SUM(DruidAbilities2Scenario2[takes]),0)</f>
        <v>0.42857142857142855</v>
      </c>
      <c r="O50" s="12">
        <f>IF(DruidAbilities2Scenario2[[#This Row],[takes]]&gt;0,DruidAbilities2Scenario2[[#This Row],[wins]]/DruidAbilities2Scenario2[[#This Row],[takes]],0)</f>
        <v>0.33333333333333331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2</v>
      </c>
      <c r="M51" s="2">
        <f>COUNTIF(Scenario2[winner1-ability2],DruidAbilities2Scenario2[[#This Row],[ability]])</f>
        <v>1</v>
      </c>
      <c r="N51" s="3">
        <f>IF(SUM(DruidAbilities2Scenario2[[#This Row],[takes]]) &gt; 0,DruidAbilities2Scenario2[[#This Row],[takes]]/SUM(DruidAbilities2Scenario2[takes]),0)</f>
        <v>0.14285714285714285</v>
      </c>
      <c r="O51" s="3">
        <f>IF(DruidAbilities2Scenario2[[#This Row],[takes]]&gt;0,DruidAbilities2Scenario2[[#This Row],[wins]]/DruidAbilities2Scenario2[[#This Row],[takes]],0)</f>
        <v>0.5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6</v>
      </c>
      <c r="M52" s="2">
        <f>COUNTIF(Scenario2[winner1-ability2],DruidAbilities2Scenario2[[#This Row],[ability]])</f>
        <v>5</v>
      </c>
      <c r="N52" s="13">
        <f>IF(SUM(DruidAbilities2Scenario2[[#This Row],[takes]]) &gt; 0,DruidAbilities2Scenario2[[#This Row],[takes]]/SUM(DruidAbilities2Scenario2[takes]),0)</f>
        <v>0.42857142857142855</v>
      </c>
      <c r="O52" s="13">
        <f>IF(DruidAbilities2Scenario2[[#This Row],[takes]]&gt;0,DruidAbilities2Scenario2[[#This Row],[wins]]/DruidAbilities2Scenario2[[#This Row],[takes]],0)</f>
        <v>0.83333333333333337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1</v>
      </c>
      <c r="M55" s="1">
        <f>COUNTIF(Scenario2[winner1-ability3],DruidAbilities3Scenario2[[#This Row],[ability]])</f>
        <v>0</v>
      </c>
      <c r="N55" s="14">
        <f>IF(SUM(DruidAbilities3Scenario2[[#This Row],[takes]]) &gt; 0,DruidAbilities3Scenario2[[#This Row],[takes]]/SUM(DruidAbilities3Scenario2[takes]),0)</f>
        <v>8.3333333333333329E-2</v>
      </c>
      <c r="O55" s="14">
        <f>IF(DruidAbilities3Scenario2[[#This Row],[takes]]&gt;0,DruidAbilities3Scenario2[[#This Row],[wins]]/DruidAbilities3Scenario2[[#This Row],[takes]],0)</f>
        <v>0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4</v>
      </c>
      <c r="M56" s="2">
        <f>COUNTIF(Scenario2[winner1-ability3],DruidAbilities3Scenario2[[#This Row],[ability]])</f>
        <v>3</v>
      </c>
      <c r="N56" s="12">
        <f>IF(SUM(DruidAbilities3Scenario2[[#This Row],[takes]]) &gt; 0,DruidAbilities3Scenario2[[#This Row],[takes]]/SUM(DruidAbilities3Scenario2[takes]),0)</f>
        <v>0.33333333333333331</v>
      </c>
      <c r="O56" s="12">
        <f>IF(DruidAbilities3Scenario2[[#This Row],[takes]]&gt;0,DruidAbilities3Scenario2[[#This Row],[wins]]/DruidAbilities3Scenario2[[#This Row],[takes]],0)</f>
        <v>0.75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7</v>
      </c>
      <c r="M57" s="1">
        <f>COUNTIF(Scenario2[winner1-ability3],DruidAbilities3Scenario2[[#This Row],[ability]])</f>
        <v>3</v>
      </c>
      <c r="N57" s="15">
        <f>IF(SUM(DruidAbilities3Scenario2[[#This Row],[takes]]) &gt; 0,DruidAbilities3Scenario2[[#This Row],[takes]]/SUM(DruidAbilities3Scenario2[takes]),0)</f>
        <v>0.58333333333333337</v>
      </c>
      <c r="O57" s="15">
        <f>IF(DruidAbilities3Scenario2[[#This Row],[takes]]&gt;0,DruidAbilities3Scenario2[[#This Row],[wins]]/DruidAbilities3Scenario2[[#This Row],[takes]],0)</f>
        <v>0.42857142857142855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4</v>
      </c>
      <c r="M60" s="2">
        <f>COUNTIF(Scenario2[winner1-ability4],DruidAbilities4Scenario2[[#This Row],[ability]])</f>
        <v>4</v>
      </c>
      <c r="N60" s="12">
        <f>IF(SUM(DruidAbilities4Scenario2[[#This Row],[takes]]) &gt; 0,DruidAbilities4Scenario2[[#This Row],[takes]]/SUM(DruidAbilities4Scenario2[takes]),0)</f>
        <v>0.36363636363636365</v>
      </c>
      <c r="O60" s="12">
        <f>IF(DruidAbilities4Scenario2[[#This Row],[takes]]&gt;0,DruidAbilities4Scenario2[[#This Row],[wins]]/DruidAbilities4Scenario2[[#This Row],[takes]],0)</f>
        <v>1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7</v>
      </c>
      <c r="M61" s="2">
        <f>COUNTIF(Scenario2[winner1-ability4],DruidAbilities4Scenario2[[#This Row],[ability]])</f>
        <v>2</v>
      </c>
      <c r="N61" s="12">
        <f>IF(SUM(DruidAbilities4Scenario2[[#This Row],[takes]]) &gt; 0,DruidAbilities4Scenario2[[#This Row],[takes]]/SUM(DruidAbilities4Scenario2[takes]),0)</f>
        <v>0.63636363636363635</v>
      </c>
      <c r="O61" s="12">
        <f>IF(DruidAbilities4Scenario2[[#This Row],[takes]]&gt;0,DruidAbilities4Scenario2[[#This Row],[wins]]/DruidAbilities4Scenario2[[#This Row],[takes]],0)</f>
        <v>0.2857142857142857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0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4</v>
      </c>
      <c r="M66">
        <f>COUNTIF(Scenario3[winner1-ability1],DruidAbilities1Scenario3[[#This Row],[ability]])</f>
        <v>1</v>
      </c>
      <c r="N66" s="3">
        <f>IF(SUM(DruidAbilities1Scenario3[[#This Row],[takes]]) &gt; 0,DruidAbilities1Scenario3[[#This Row],[takes]]/SUM(DruidAbilities1Scenario3[takes]),0)</f>
        <v>0.19047619047619047</v>
      </c>
      <c r="O66" s="3">
        <f>IF(DruidAbilities1Scenario3[[#This Row],[takes]]&gt;0,DruidAbilities1Scenario3[[#This Row],[wins]]/DruidAbilities1Scenario3[[#This Row],[takes]],0)</f>
        <v>0.25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3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5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3</v>
      </c>
      <c r="M67">
        <f>COUNTIF(Scenario3[winner1-ability1],DruidAbilities1Scenario3[[#This Row],[ability]])</f>
        <v>1</v>
      </c>
      <c r="N67" s="3">
        <f>IF(SUM(DruidAbilities1Scenario3[[#This Row],[takes]]) &gt; 0,DruidAbilities1Scenario3[[#This Row],[takes]]/SUM(DruidAbilities1Scenario3[takes]),0)</f>
        <v>0.14285714285714285</v>
      </c>
      <c r="O67" s="3">
        <f>IF(DruidAbilities1Scenario3[[#This Row],[takes]]&gt;0,DruidAbilities1Scenario3[[#This Row],[wins]]/DruidAbilities1Scenario3[[#This Row],[takes]],0)</f>
        <v>0.33333333333333331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4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4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14</v>
      </c>
      <c r="M68">
        <f>COUNTIF(Scenario3[winner1-ability1],DruidAbilities1Scenario3[[#This Row],[ability]])</f>
        <v>2</v>
      </c>
      <c r="N68" s="3">
        <f>IF(SUM(DruidAbilities1Scenario3[[#This Row],[takes]]) &gt; 0,DruidAbilities1Scenario3[[#This Row],[takes]]/SUM(DruidAbilities1Scenario3[takes]),0)</f>
        <v>0.66666666666666663</v>
      </c>
      <c r="O68" s="3">
        <f>IF(DruidAbilities1Scenario3[[#This Row],[takes]]&gt;0,DruidAbilities1Scenario3[[#This Row],[wins]]/DruidAbilities1Scenario3[[#This Row],[takes]],0)</f>
        <v>0.14285714285714285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14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12</v>
      </c>
      <c r="M71" s="2">
        <f>COUNTIF(Scenario3[winner1-ability2],DruidAbilities2Scenario3[[#This Row],[ability]])</f>
        <v>3</v>
      </c>
      <c r="N71" s="12">
        <f>IF(SUM(DruidAbilities2Scenario3[[#This Row],[takes]]) &gt; 0,DruidAbilities2Scenario3[[#This Row],[takes]]/SUM(DruidAbilities2Scenario3[takes]),0)</f>
        <v>0.5714285714285714</v>
      </c>
      <c r="O71" s="12">
        <f>IF(DruidAbilities2Scenario3[[#This Row],[takes]]&gt;0,DruidAbilities2Scenario3[[#This Row],[wins]]/DruidAbilities2Scenario3[[#This Row],[takes]],0)</f>
        <v>0.25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4.7619047619047616E-2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8</v>
      </c>
      <c r="M73" s="2">
        <f>COUNTIF(Scenario3[winner1-ability2],DruidAbilities2Scenario3[[#This Row],[ability]])</f>
        <v>1</v>
      </c>
      <c r="N73" s="13">
        <f>IF(SUM(DruidAbilities2Scenario3[[#This Row],[takes]]) &gt; 0,DruidAbilities2Scenario3[[#This Row],[takes]]/SUM(DruidAbilities2Scenario3[takes]),0)</f>
        <v>0.38095238095238093</v>
      </c>
      <c r="O73" s="13">
        <f>IF(DruidAbilities2Scenario3[[#This Row],[takes]]&gt;0,DruidAbilities2Scenario3[[#This Row],[wins]]/DruidAbilities2Scenario3[[#This Row],[takes]],0)</f>
        <v>0.125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5</v>
      </c>
      <c r="M76" s="1">
        <f>COUNTIF(Scenario3[winner1-ability3],DruidAbilities3Scenario3[[#This Row],[ability]])</f>
        <v>0</v>
      </c>
      <c r="N76" s="14">
        <f>IF(SUM(DruidAbilities3Scenario3[[#This Row],[takes]]) &gt; 0,DruidAbilities3Scenario3[[#This Row],[takes]]/SUM(DruidAbilities3Scenario3[takes]),0)</f>
        <v>0.25</v>
      </c>
      <c r="O76" s="14">
        <f>IF(DruidAbilities3Scenario3[[#This Row],[takes]]&gt;0,DruidAbilities3Scenario3[[#This Row],[wins]]/DruidAbilities3Scenario3[[#This Row],[takes]],0)</f>
        <v>0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7</v>
      </c>
      <c r="M77" s="2">
        <f>COUNTIF(Scenario3[winner1-ability3],DruidAbilities3Scenario3[[#This Row],[ability]])</f>
        <v>2</v>
      </c>
      <c r="N77" s="12">
        <f>IF(SUM(DruidAbilities3Scenario3[[#This Row],[takes]]) &gt; 0,DruidAbilities3Scenario3[[#This Row],[takes]]/SUM(DruidAbilities3Scenario3[takes]),0)</f>
        <v>0.35</v>
      </c>
      <c r="O77" s="12">
        <f>IF(DruidAbilities3Scenario3[[#This Row],[takes]]&gt;0,DruidAbilities3Scenario3[[#This Row],[wins]]/DruidAbilities3Scenario3[[#This Row],[takes]],0)</f>
        <v>0.2857142857142857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8</v>
      </c>
      <c r="M78" s="1">
        <f>COUNTIF(Scenario3[winner1-ability3],DruidAbilities3Scenario3[[#This Row],[ability]])</f>
        <v>2</v>
      </c>
      <c r="N78" s="15">
        <f>IF(SUM(DruidAbilities3Scenario3[[#This Row],[takes]]) &gt; 0,DruidAbilities3Scenario3[[#This Row],[takes]]/SUM(DruidAbilities3Scenario3[takes]),0)</f>
        <v>0.4</v>
      </c>
      <c r="O78" s="15">
        <f>IF(DruidAbilities3Scenario3[[#This Row],[takes]]&gt;0,DruidAbilities3Scenario3[[#This Row],[wins]]/DruidAbilities3Scenario3[[#This Row],[takes]],0)</f>
        <v>0.25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9</v>
      </c>
      <c r="M81" s="2">
        <f>COUNTIF(Scenario3[winner1-ability4],DruidAbilities4Scenario3[[#This Row],[ability]])</f>
        <v>3</v>
      </c>
      <c r="N81" s="12">
        <f>IF(SUM(DruidAbilities4Scenario3[[#This Row],[takes]]) &gt; 0,DruidAbilities4Scenario3[[#This Row],[takes]]/SUM(DruidAbilities4Scenario3[takes]),0)</f>
        <v>0.47368421052631576</v>
      </c>
      <c r="O81" s="12">
        <f>IF(DruidAbilities4Scenario3[[#This Row],[takes]]&gt;0,DruidAbilities4Scenario3[[#This Row],[wins]]/DruidAbilities4Scenario3[[#This Row],[takes]],0)</f>
        <v>0.33333333333333331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10</v>
      </c>
      <c r="M82" s="2">
        <f>COUNTIF(Scenario3[winner1-ability4],DruidAbilities4Scenario3[[#This Row],[ability]])</f>
        <v>1</v>
      </c>
      <c r="N82" s="12">
        <f>IF(SUM(DruidAbilities4Scenario3[[#This Row],[takes]]) &gt; 0,DruidAbilities4Scenario3[[#This Row],[takes]]/SUM(DruidAbilities4Scenario3[takes]),0)</f>
        <v>0.52631578947368418</v>
      </c>
      <c r="O82" s="12">
        <f>IF(DruidAbilities4Scenario3[[#This Row],[takes]]&gt;0,DruidAbilities4Scenario3[[#This Row],[wins]]/DruidAbilities4Scenario3[[#This Row],[takes]],0)</f>
        <v>0.1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1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2.8571428571428571E-2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8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7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5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7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34</v>
      </c>
      <c r="M89">
        <f>COUNTIF(Scenario4[winner1-ability1],DruidAbilities1Scenario4[[#This Row],[ability]])</f>
        <v>2</v>
      </c>
      <c r="N89" s="3">
        <f>IF(SUM(DruidAbilities1Scenario4[[#This Row],[takes]]) &gt; 0,DruidAbilities1Scenario4[[#This Row],[takes]]/SUM(DruidAbilities1Scenario4[takes]),0)</f>
        <v>0.97142857142857142</v>
      </c>
      <c r="O89" s="3">
        <f>IF(DruidAbilities1Scenario4[[#This Row],[takes]]&gt;0,DruidAbilities1Scenario4[[#This Row],[wins]]/DruidAbilities1Scenario4[[#This Row],[takes]],0)</f>
        <v>5.8823529411764705E-2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22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21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24</v>
      </c>
      <c r="M92" s="2">
        <f>COUNTIF(Scenario4[winner1-ability2],DruidAbilities2Scenario4[[#This Row],[ability]])</f>
        <v>2</v>
      </c>
      <c r="N92" s="12">
        <f>IF(SUM(DruidAbilities2Scenario4[[#This Row],[takes]]) &gt; 0,DruidAbilities2Scenario4[[#This Row],[takes]]/SUM(DruidAbilities2Scenario4[takes]),0)</f>
        <v>0.68571428571428572</v>
      </c>
      <c r="O92" s="12">
        <f>IF(DruidAbilities2Scenario4[[#This Row],[takes]]&gt;0,DruidAbilities2Scenario4[[#This Row],[wins]]/DruidAbilities2Scenario4[[#This Row],[takes]],0)</f>
        <v>8.3333333333333329E-2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11</v>
      </c>
      <c r="M94" s="2">
        <f>COUNTIF(Scenario4[winner1-ability2],DruidAbilities2Scenario4[[#This Row],[ability]])</f>
        <v>0</v>
      </c>
      <c r="N94" s="13">
        <f>IF(SUM(DruidAbilities2Scenario4[[#This Row],[takes]]) &gt; 0,DruidAbilities2Scenario4[[#This Row],[takes]]/SUM(DruidAbilities2Scenario4[takes]),0)</f>
        <v>0.31428571428571428</v>
      </c>
      <c r="O94" s="13">
        <f>IF(DruidAbilities2Scenario4[[#This Row],[takes]]&gt;0,DruidAbilities2Scenario4[[#This Row],[wins]]/DruidAbilities2Scenario4[[#This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15</v>
      </c>
      <c r="M97" s="1">
        <f>COUNTIF(Scenario4[winner1-ability3],DruidAbilities3Scenario4[[#This Row],[ability]])</f>
        <v>1</v>
      </c>
      <c r="N97" s="14">
        <f>IF(SUM(DruidAbilities3Scenario4[[#This Row],[takes]]) &gt; 0,DruidAbilities3Scenario4[[#This Row],[takes]]/SUM(DruidAbilities3Scenario4[takes]),0)</f>
        <v>0.4838709677419355</v>
      </c>
      <c r="O97" s="14">
        <f>IF(DruidAbilities3Scenario4[[#This Row],[takes]]&gt;0,DruidAbilities3Scenario4[[#This Row],[wins]]/DruidAbilities3Scenario4[[#This Row],[takes]],0)</f>
        <v>6.6666666666666666E-2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15</v>
      </c>
      <c r="M98" s="2">
        <f>COUNTIF(Scenario4[winner1-ability3],DruidAbilities3Scenario4[[#This Row],[ability]])</f>
        <v>1</v>
      </c>
      <c r="N98" s="12">
        <f>IF(SUM(DruidAbilities3Scenario4[[#This Row],[takes]]) &gt; 0,DruidAbilities3Scenario4[[#This Row],[takes]]/SUM(DruidAbilities3Scenario4[takes]),0)</f>
        <v>0.4838709677419355</v>
      </c>
      <c r="O98" s="12">
        <f>IF(DruidAbilities3Scenario4[[#This Row],[takes]]&gt;0,DruidAbilities3Scenario4[[#This Row],[wins]]/DruidAbilities3Scenario4[[#This Row],[takes]],0)</f>
        <v>6.6666666666666666E-2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</v>
      </c>
      <c r="M99" s="1">
        <f>COUNTIF(Scenario4[winner1-ability3],DruidAbilities3Scenario4[[#This Row],[ability]])</f>
        <v>0</v>
      </c>
      <c r="N99" s="15">
        <f>IF(SUM(DruidAbilities3Scenario4[[#This Row],[takes]]) &gt; 0,DruidAbilities3Scenario4[[#This Row],[takes]]/SUM(DruidAbilities3Scenario4[takes]),0)</f>
        <v>3.2258064516129031E-2</v>
      </c>
      <c r="O99" s="15">
        <f>IF(DruidAbilities3Scenario4[[#This Row],[takes]]&gt;0,DruidAbilities3Scenario4[[#This Row],[wins]]/DruidAbilities3Scenario4[[#This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22</v>
      </c>
      <c r="M102" s="2">
        <f>COUNTIF(Scenario4[winner1-ability4],DruidAbilities4Scenario4[[#This Row],[ability]])</f>
        <v>2</v>
      </c>
      <c r="N102" s="12">
        <f>IF(SUM(DruidAbilities4Scenario4[[#This Row],[takes]]) &gt; 0,DruidAbilities4Scenario4[[#This Row],[takes]]/SUM(DruidAbilities4Scenario4[takes]),0)</f>
        <v>0.75862068965517238</v>
      </c>
      <c r="O102" s="12">
        <f>IF(DruidAbilities4Scenario4[[#This Row],[takes]]&gt;0,DruidAbilities4Scenario4[[#This Row],[wins]]/DruidAbilities4Scenario4[[#This Row],[takes]],0)</f>
        <v>9.0909090909090912E-2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7</v>
      </c>
      <c r="M103" s="2">
        <f>COUNTIF(Scenario4[winner1-ability4],DruidAbilities4Scenario4[[#This Row],[ability]])</f>
        <v>0</v>
      </c>
      <c r="N103" s="12">
        <f>IF(SUM(DruidAbilities4Scenario4[[#This Row],[takes]]) &gt; 0,DruidAbilities4Scenario4[[#This Row],[takes]]/SUM(DruidAbilities4Scenario4[takes]),0)</f>
        <v>0.2413793103448276</v>
      </c>
      <c r="O103" s="12">
        <f>IF(DruidAbilities4Scenario4[[#This Row],[takes]]&gt;0,DruidAbilities4Scenario4[[#This Row],[wins]]/DruidAbilities4Scenario4[[#This Row],[takes]],0)</f>
        <v>0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32</v>
      </c>
      <c r="M108">
        <f>COUNTIF(Scenario5[winner1-ability1],DruidAbilities1Scenario5[[#This Row],[ability]])+COUNTIF(Scenario5[winner2-ability1],DruidAbilities1Scenario5[[#This Row],[ability]])</f>
        <v>12</v>
      </c>
      <c r="N108" s="3">
        <f>IF(SUM(DruidAbilities1Scenario5[[#This Row],[takes]]) &gt; 0,DruidAbilities1Scenario5[[#This Row],[takes]]/SUM(DruidAbilities1Scenario5[takes]),0)</f>
        <v>0.30476190476190479</v>
      </c>
      <c r="O108" s="3">
        <f>IF(DruidAbilities1Scenario5[[#This Row],[takes]]&gt;0,DruidAbilities1Scenario5[[#This Row],[wins]]/DruidAbilities1Scenario5[[#This Row],[takes]],0)</f>
        <v>0.375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49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72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36</v>
      </c>
      <c r="M109">
        <f>COUNTIF(Scenario5[winner1-ability1],DruidAbilities1Scenario5[[#This Row],[ability]])+COUNTIF(Scenario5[winner2-ability1],DruidAbilities1Scenario5[[#This Row],[ability]])</f>
        <v>21</v>
      </c>
      <c r="N109" s="3">
        <f>IF(SUM(DruidAbilities1Scenario5[[#This Row],[takes]]) &gt; 0,DruidAbilities1Scenario5[[#This Row],[takes]]/SUM(DruidAbilities1Scenario5[takes]),0)</f>
        <v>0.34285714285714286</v>
      </c>
      <c r="O109" s="3">
        <f>IF(DruidAbilities1Scenario5[[#This Row],[takes]]&gt;0,DruidAbilities1Scenario5[[#This Row],[wins]]/DruidAbilities1Scenario5[[#This Row],[takes]],0)</f>
        <v>0.58333333333333337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37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18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37</v>
      </c>
      <c r="M110">
        <f>COUNTIF(Scenario5[winner1-ability1],DruidAbilities1Scenario5[[#This Row],[ability]])+COUNTIF(Scenario5[winner2-ability1],DruidAbilities1Scenario5[[#This Row],[ability]])</f>
        <v>13</v>
      </c>
      <c r="N110" s="3">
        <f>IF(SUM(DruidAbilities1Scenario5[[#This Row],[takes]]) &gt; 0,DruidAbilities1Scenario5[[#This Row],[takes]]/SUM(DruidAbilities1Scenario5[takes]),0)</f>
        <v>0.35238095238095241</v>
      </c>
      <c r="O110" s="3">
        <f>IF(DruidAbilities1Scenario5[[#This Row],[takes]]&gt;0,DruidAbilities1Scenario5[[#This Row],[wins]]/DruidAbilities1Scenario5[[#This Row],[takes]],0)</f>
        <v>0.35135135135135137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19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15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29</v>
      </c>
      <c r="M113" s="2">
        <f>COUNTIF(Scenario5[winner1-ability2],DruidAbilities2Scenario5[[#This Row],[ability]])+COUNTIF(Scenario5[winner2-ability2],DruidAbilities2Scenario5[[#This Row],[ability]])</f>
        <v>16</v>
      </c>
      <c r="N113" s="12">
        <f>IF(SUM(DruidAbilities2Scenario5[[#This Row],[takes]]) &gt; 0,DruidAbilities2Scenario5[[#This Row],[takes]]/SUM(DruidAbilities2Scenario5[takes]),0)</f>
        <v>0.29896907216494845</v>
      </c>
      <c r="O113" s="12">
        <f>IF(DruidAbilities2Scenario5[[#This Row],[takes]]&gt;0,DruidAbilities2Scenario5[[#This Row],[wins]]/DruidAbilities2Scenario5[[#This Row],[takes]],0)</f>
        <v>0.55172413793103448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29</v>
      </c>
      <c r="M114" s="2">
        <f>COUNTIF(Scenario5[winner1-ability2],DruidAbilities2Scenario5[[#This Row],[ability]])+COUNTIF(Scenario5[winner2-ability2],DruidAbilities2Scenario5[[#This Row],[ability]])</f>
        <v>14</v>
      </c>
      <c r="N114" s="3">
        <f>IF(SUM(DruidAbilities2Scenario5[[#This Row],[takes]]) &gt; 0,DruidAbilities2Scenario5[[#This Row],[takes]]/SUM(DruidAbilities2Scenario5[takes]),0)</f>
        <v>0.29896907216494845</v>
      </c>
      <c r="O114" s="3">
        <f>IF(DruidAbilities2Scenario5[[#This Row],[takes]]&gt;0,DruidAbilities2Scenario5[[#This Row],[wins]]/DruidAbilities2Scenario5[[#This Row],[takes]],0)</f>
        <v>0.48275862068965519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39</v>
      </c>
      <c r="M115" s="2">
        <f>COUNTIF(Scenario5[winner1-ability2],DruidAbilities2Scenario5[[#This Row],[ability]])+COUNTIF(Scenario5[winner2-ability2],DruidAbilities2Scenario5[[#This Row],[ability]])</f>
        <v>12</v>
      </c>
      <c r="N115" s="13">
        <f>IF(SUM(DruidAbilities2Scenario5[[#This Row],[takes]]) &gt; 0,DruidAbilities2Scenario5[[#This Row],[takes]]/SUM(DruidAbilities2Scenario5[takes]),0)</f>
        <v>0.40206185567010311</v>
      </c>
      <c r="O115" s="13">
        <f>IF(DruidAbilities2Scenario5[[#This Row],[takes]]&gt;0,DruidAbilities2Scenario5[[#This Row],[wins]]/DruidAbilities2Scenario5[[#This Row],[takes]],0)</f>
        <v>0.30769230769230771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16</v>
      </c>
      <c r="M118" s="1">
        <f>COUNTIF(Scenario5[winner1-ability3],DruidAbilities3Scenario5[[#This Row],[ability]])+COUNTIF(Scenario5[winner2-ability3],DruidAbilities3Scenario5[[#This Row],[ability]])</f>
        <v>14</v>
      </c>
      <c r="N118" s="14">
        <f>IF(SUM(DruidAbilities3Scenario5[[#This Row],[takes]]) &gt; 0,DruidAbilities3Scenario5[[#This Row],[takes]]/SUM(DruidAbilities3Scenario5[takes]),0)</f>
        <v>0.20512820512820512</v>
      </c>
      <c r="O118" s="14">
        <f>IF(DruidAbilities3Scenario5[[#This Row],[takes]]&gt;0,DruidAbilities3Scenario5[[#This Row],[wins]]/DruidAbilities3Scenario5[[#This Row],[takes]],0)</f>
        <v>0.875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55</v>
      </c>
      <c r="M119" s="2">
        <f>COUNTIF(Scenario5[winner1-ability3],DruidAbilities3Scenario5[[#This Row],[ability]])+COUNTIF(Scenario5[winner2-ability3],DruidAbilities3Scenario5[[#This Row],[ability]])</f>
        <v>24</v>
      </c>
      <c r="N119" s="12">
        <f>IF(SUM(DruidAbilities3Scenario5[[#This Row],[takes]]) &gt; 0,DruidAbilities3Scenario5[[#This Row],[takes]]/SUM(DruidAbilities3Scenario5[takes]),0)</f>
        <v>0.70512820512820518</v>
      </c>
      <c r="O119" s="12">
        <f>IF(DruidAbilities3Scenario5[[#This Row],[takes]]&gt;0,DruidAbilities3Scenario5[[#This Row],[wins]]/DruidAbilities3Scenario5[[#This Row],[takes]],0)</f>
        <v>0.43636363636363634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7</v>
      </c>
      <c r="M120" s="1">
        <f>COUNTIF(Scenario5[winner1-ability3],DruidAbilities3Scenario5[[#This Row],[ability]])+COUNTIF(Scenario5[winner2-ability3],DruidAbilities3Scenario5[[#This Row],[ability]])</f>
        <v>2</v>
      </c>
      <c r="N120" s="15">
        <f>IF(SUM(DruidAbilities3Scenario5[[#This Row],[takes]]) &gt; 0,DruidAbilities3Scenario5[[#This Row],[takes]]/SUM(DruidAbilities3Scenario5[takes]),0)</f>
        <v>8.9743589743589744E-2</v>
      </c>
      <c r="O120" s="15">
        <f>IF(DruidAbilities3Scenario5[[#This Row],[takes]]&gt;0,DruidAbilities3Scenario5[[#This Row],[wins]]/DruidAbilities3Scenario5[[#This Row],[takes]],0)</f>
        <v>0.2857142857142857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13</v>
      </c>
      <c r="M123" s="2">
        <f>COUNTIF(Scenario5[winner1-ability4],DruidAbilities4Scenario5[[#This Row],[ability]])+COUNTIF(Scenario5[winner2-ability4],DruidAbilities4Scenario5[[#This Row],[ability]])</f>
        <v>7</v>
      </c>
      <c r="N123" s="12">
        <f>IF(SUM(DruidAbilities4Scenario5[[#This Row],[takes]]) &gt; 0,DruidAbilities4Scenario5[[#This Row],[takes]]/SUM(DruidAbilities4Scenario5[takes]),0)</f>
        <v>0.25</v>
      </c>
      <c r="O123" s="12">
        <f>IF(DruidAbilities4Scenario5[[#This Row],[takes]]&gt;0,DruidAbilities4Scenario5[[#This Row],[wins]]/DruidAbilities4Scenario5[[#This Row],[takes]],0)</f>
        <v>0.53846153846153844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13</v>
      </c>
      <c r="M124" s="2">
        <f>COUNTIF(Scenario5[winner1-ability4],DruidAbilities4Scenario5[[#This Row],[ability]])+COUNTIF(Scenario5[winner2-ability4],DruidAbilities4Scenario5[[#This Row],[ability]])</f>
        <v>3</v>
      </c>
      <c r="N124" s="12">
        <f>IF(SUM(DruidAbilities4Scenario5[[#This Row],[takes]]) &gt; 0,DruidAbilities4Scenario5[[#This Row],[takes]]/SUM(DruidAbilities4Scenario5[takes]),0)</f>
        <v>0.25</v>
      </c>
      <c r="O124" s="12">
        <f>IF(DruidAbilities4Scenario5[[#This Row],[takes]]&gt;0,DruidAbilities4Scenario5[[#This Row],[wins]]/DruidAbilities4Scenario5[[#This Row],[takes]],0)</f>
        <v>0.23076923076923078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26</v>
      </c>
      <c r="M125" s="2">
        <f>COUNTIF(Scenario5[winner1-ability4],DruidAbilities4Scenario5[[#This Row],[ability]])+COUNTIF(Scenario5[winner2-ability4],DruidAbilities4Scenario5[[#This Row],[ability]])</f>
        <v>19</v>
      </c>
      <c r="N125" s="26">
        <f>IF(SUM(DruidAbilities4Scenario5[[#This Row],[takes]]) &gt; 0,DruidAbilities4Scenario5[[#This Row],[takes]]/SUM(DruidAbilities4Scenario5[takes]),0)</f>
        <v>0.5</v>
      </c>
      <c r="O125" s="26">
        <f>IF(DruidAbilities4Scenario5[[#This Row],[takes]]&gt;0,DruidAbilities4Scenario5[[#This Row],[wins]]/DruidAbilities4Scenario5[[#This Row],[takes]],0)</f>
        <v>0.73076923076923073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G25" sqref="G25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0.40779220779220782</v>
      </c>
    </row>
    <row r="3" spans="1:22" x14ac:dyDescent="0.25">
      <c r="A3" t="s">
        <v>46</v>
      </c>
      <c r="B3">
        <f>L3+L24+L45+L66+L87+L108</f>
        <v>115</v>
      </c>
      <c r="C3">
        <f>M3+M24+M45+M66+M87+M108</f>
        <v>67</v>
      </c>
      <c r="D3" s="3">
        <f>IF(SUM(OracleAbilities1[[#This Row],[takes]]) &gt; 0,OracleAbilities1[[#This Row],[takes]]/SUM(OracleAbilities1[takes]),0)</f>
        <v>0.29870129870129869</v>
      </c>
      <c r="E3" s="3">
        <f>IF(OracleAbilities1[[#This Row],[takes]]&gt;0,OracleAbilities1[[#This Row],[wins]]/OracleAbilities1[[#This Row],[takes]],0)</f>
        <v>0.58260869565217388</v>
      </c>
      <c r="G3">
        <v>1</v>
      </c>
      <c r="H3">
        <f>R3+R24+R45+R66+R87+R108</f>
        <v>142</v>
      </c>
      <c r="I3" s="18">
        <f>S3+S24+S45+S66+S87+S108</f>
        <v>78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105</v>
      </c>
      <c r="M3">
        <f>COUNTIF(Scenario0[winner1-ability1],OracleAbilities1Scenario0[[#This Row],[ability]])+COUNTIF(Scenario0[winner2-ability1],OracleAbilities1Scenario0[[#This Row],[ability]])</f>
        <v>61</v>
      </c>
      <c r="N3" s="3">
        <f>IF(SUM(OracleAbilities1Scenario0[[#This Row],[takes]]) &gt; 0,OracleAbilities1Scenario0[[#This Row],[takes]]/SUM(OracleAbilities1Scenario0[takes]),0)</f>
        <v>1</v>
      </c>
      <c r="O3" s="3">
        <f>IF(OracleAbilities1Scenario0[[#This Row],[takes]]&gt;0,OracleAbilities1Scenario0[[#This Row],[wins]]/OracleAbilities1Scenario0[[#This Row],[takes]],0)</f>
        <v>0.580952380952381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46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40</v>
      </c>
      <c r="U3" t="s">
        <v>198</v>
      </c>
      <c r="V3" s="16">
        <f>H5/SUM(OracleEquip[book])</f>
        <v>0.22337662337662337</v>
      </c>
    </row>
    <row r="4" spans="1:22" x14ac:dyDescent="0.25">
      <c r="A4" t="s">
        <v>65</v>
      </c>
      <c r="B4">
        <f t="shared" ref="B4:B5" si="0">L4+L25+L46+L67+L88+L109</f>
        <v>165</v>
      </c>
      <c r="C4">
        <f t="shared" ref="C4:C5" si="1">M4+M25+M46+M67+M88+M109</f>
        <v>67</v>
      </c>
      <c r="D4" s="3">
        <f>IF(SUM(OracleAbilities1[[#This Row],[takes]]) &gt; 0,OracleAbilities1[[#This Row],[takes]]/SUM(OracleAbilities1[takes]),0)</f>
        <v>0.42857142857142855</v>
      </c>
      <c r="E4" s="3">
        <f>IF(OracleAbilities1[[#This Row],[takes]]&gt;0,OracleAbilities1[[#This Row],[wins]]/OracleAbilities1[[#This Row],[takes]],0)</f>
        <v>0.40606060606060607</v>
      </c>
      <c r="G4">
        <v>2</v>
      </c>
      <c r="H4">
        <f t="shared" ref="H4:H5" si="2">R4+R25+R46+R67+R88+R109</f>
        <v>157</v>
      </c>
      <c r="I4" s="18">
        <f t="shared" ref="I4:I5" si="3">S4+S25+S46+S67+S88+S109</f>
        <v>139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4">
        <f>COUNTIF(Scenario0[winner1-ability1],OracleAbilities1Scenario0[[#This Row],[ability]])+COUNTIF(Scenario0[winner2-ability1],OracleAbilities1Scenario0[[#This Row],[ability]])</f>
        <v>0</v>
      </c>
      <c r="N4" s="3">
        <f>IF(SUM(OracleAbilities1Scenario0[[#This Row],[takes]]) &gt; 0,OracleAbilities1Scenario0[[#This Row],[takes]]/SUM(OracleAbilities1Scenario0[takes]),0)</f>
        <v>0</v>
      </c>
      <c r="O4" s="3">
        <f>IF(OracleAbilities1Scenario0[[#This Row],[takes]]&gt;0,OracleAbilities1Scenario0[[#This Row],[wins]]/OracleAbilities1Scenario0[[#This Row],[takes]],0)</f>
        <v>0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46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43</v>
      </c>
      <c r="U4" t="s">
        <v>179</v>
      </c>
      <c r="V4" s="3">
        <f>OracleEquip[[#This Row],[chestpiece]]/SUM(OracleEquip[chestpiece])</f>
        <v>0.36103896103896105</v>
      </c>
    </row>
    <row r="5" spans="1:22" x14ac:dyDescent="0.25">
      <c r="A5" t="s">
        <v>34</v>
      </c>
      <c r="B5">
        <f t="shared" si="0"/>
        <v>105</v>
      </c>
      <c r="C5">
        <f t="shared" si="1"/>
        <v>50</v>
      </c>
      <c r="D5" s="3">
        <f>IF(SUM(OracleAbilities1[[#This Row],[takes]]) &gt; 0,OracleAbilities1[[#This Row],[takes]]/SUM(OracleAbilities1[takes]),0)</f>
        <v>0.27272727272727271</v>
      </c>
      <c r="E5" s="3">
        <f>IF(OracleAbilities1[[#This Row],[takes]]&gt;0,OracleAbilities1[[#This Row],[wins]]/OracleAbilities1[[#This Row],[takes]],0)</f>
        <v>0.47619047619047616</v>
      </c>
      <c r="G5">
        <v>3</v>
      </c>
      <c r="H5">
        <f t="shared" si="2"/>
        <v>86</v>
      </c>
      <c r="I5" s="18">
        <f t="shared" si="3"/>
        <v>168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13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22</v>
      </c>
      <c r="U5" t="s">
        <v>180</v>
      </c>
      <c r="V5" s="16">
        <f>OracleEquip[[#This Row],[chestpiece]]/SUM(OracleEquip[chestpiece])</f>
        <v>0.43636363636363634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0.46753246753246752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0.31948051948051948</v>
      </c>
    </row>
    <row r="8" spans="1:22" x14ac:dyDescent="0.25">
      <c r="A8" s="2" t="s">
        <v>66</v>
      </c>
      <c r="B8" s="2">
        <f>L8+L29+L50+L71+L92+L113</f>
        <v>60</v>
      </c>
      <c r="C8" s="2">
        <f>M8+M29+M50+M71+M92+M113</f>
        <v>43</v>
      </c>
      <c r="D8" s="12">
        <f>IF(SUM(OracleAbilities2[[#This Row],[takes]]) &gt; 0,OracleAbilities2[[#This Row],[takes]]/SUM(OracleAbilities2[takes]),0)</f>
        <v>0.33333333333333331</v>
      </c>
      <c r="E8" s="12">
        <f>IF(OracleAbilities2[[#This Row],[takes]]&gt;0,OracleAbilities2[[#This Row],[wins]]/OracleAbilities2[[#This Row],[takes]],0)</f>
        <v>0.71666666666666667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10</v>
      </c>
      <c r="M8" s="2">
        <f>COUNTIF(Scenario0[winner1-ability2],OracleAbilities2Scenario0[[#This Row],[ability]])+COUNTIF(Scenario0[winner2-ability2],OracleAbilities2Scenario0[[#This Row],[ability]])</f>
        <v>8</v>
      </c>
      <c r="N8" s="12">
        <f>IF(SUM(OracleAbilities2Scenario0[[#This Row],[takes]]) &gt; 0,OracleAbilities2Scenario0[[#This Row],[takes]]/SUM(OracleAbilities2Scenario0[takes]),0)</f>
        <v>0.58823529411764708</v>
      </c>
      <c r="O8" s="12">
        <f>IF(OracleAbilities2Scenario0[[#This Row],[takes]]&gt;0,OracleAbilities2Scenario0[[#This Row],[wins]]/OracleAbilities2Scenario0[[#This Row],[takes]],0)</f>
        <v>0.8</v>
      </c>
      <c r="S8" s="18"/>
      <c r="U8" t="s">
        <v>178</v>
      </c>
      <c r="V8" s="16">
        <f>SUM(OracleAbilities4[takes])/SUM(OracleAbilities1[takes])</f>
        <v>0.21038961038961038</v>
      </c>
    </row>
    <row r="9" spans="1:22" x14ac:dyDescent="0.25">
      <c r="A9" t="s">
        <v>130</v>
      </c>
      <c r="B9" s="2">
        <f t="shared" ref="B9:B10" si="4">L9+L30+L51+L72+L93+L114</f>
        <v>79</v>
      </c>
      <c r="C9" s="2">
        <f t="shared" ref="C9:C10" si="5">M9+M30+M51+M72+M93+M114</f>
        <v>42</v>
      </c>
      <c r="D9" s="3">
        <f>IF(SUM(OracleAbilities2[[#This Row],[takes]]) &gt; 0,OracleAbilities2[[#This Row],[takes]]/SUM(OracleAbilities2[takes]),0)</f>
        <v>0.43888888888888888</v>
      </c>
      <c r="E9" s="3">
        <f>IF(OracleAbilities2[[#This Row],[takes]]&gt;0,OracleAbilities2[[#This Row],[wins]]/OracleAbilities2[[#This Row],[takes]],0)</f>
        <v>0.53164556962025311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2</v>
      </c>
      <c r="M9" s="2">
        <f>COUNTIF(Scenario0[winner1-ability2],OracleAbilities2Scenario0[[#This Row],[ability]])+COUNTIF(Scenario0[winner2-ability2],OracleAbilities2Scenario0[[#This Row],[ability]])</f>
        <v>2</v>
      </c>
      <c r="N9" s="3">
        <f>IF(SUM(OracleAbilities2Scenario0[[#This Row],[takes]]) &gt; 0,OracleAbilities2Scenario0[[#This Row],[takes]]/SUM(OracleAbilities2Scenario0[takes]),0)</f>
        <v>0.11764705882352941</v>
      </c>
      <c r="O9" s="3">
        <f>IF(OracleAbilities2Scenario0[[#This Row],[takes]]&gt;0,OracleAbilities2Scenario0[[#This Row],[wins]]/OracleAbilities2Scenario0[[#This Row],[takes]],0)</f>
        <v>1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2.4259740259740261</v>
      </c>
    </row>
    <row r="10" spans="1:22" x14ac:dyDescent="0.25">
      <c r="A10" s="10" t="s">
        <v>35</v>
      </c>
      <c r="B10" s="2">
        <f t="shared" si="4"/>
        <v>41</v>
      </c>
      <c r="C10" s="2">
        <f t="shared" si="5"/>
        <v>14</v>
      </c>
      <c r="D10" s="13">
        <f>IF(SUM(OracleAbilities2[[#This Row],[takes]]) &gt; 0,OracleAbilities2[[#This Row],[takes]]/SUM(OracleAbilities2[takes]),0)</f>
        <v>0.22777777777777777</v>
      </c>
      <c r="E10" s="13">
        <f>IF(OracleAbilities2[[#This Row],[takes]]&gt;0,OracleAbilities2[[#This Row],[wins]]/OracleAbilities2[[#This Row],[takes]],0)</f>
        <v>0.34146341463414637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5</v>
      </c>
      <c r="M10" s="2">
        <f>COUNTIF(Scenario0[winner1-ability2],OracleAbilities2Scenario0[[#This Row],[ability]])+COUNTIF(Scenario0[winner2-ability2],OracleAbilities2Scenario0[[#This Row],[ability]])</f>
        <v>4</v>
      </c>
      <c r="N10" s="13">
        <f>IF(SUM(OracleAbilities2Scenario0[[#This Row],[takes]]) &gt; 0,OracleAbilities2Scenario0[[#This Row],[takes]]/SUM(OracleAbilities2Scenario0[takes]),0)</f>
        <v>0.29411764705882354</v>
      </c>
      <c r="O10" s="13">
        <f>IF(OracleAbilities2Scenario0[[#This Row],[takes]]&gt;0,OracleAbilities2Scenario0[[#This Row],[wins]]/OracleAbilities2Scenario0[[#This Row],[takes]],0)</f>
        <v>0.8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61</v>
      </c>
      <c r="C13" s="1">
        <f>M13+M34+M55+M76+M97+M118</f>
        <v>41</v>
      </c>
      <c r="D13" s="14">
        <f>IF(SUM(OracleAbilities3[[#This Row],[takes]]) &gt; 0,OracleAbilities3[[#This Row],[takes]]/SUM(OracleAbilities3[takes]),0)</f>
        <v>0.49593495934959347</v>
      </c>
      <c r="E13" s="14">
        <f>IF(OracleAbilities3[[#This Row],[takes]]&gt;0,OracleAbilities3[[#This Row],[wins]]/OracleAbilities3[[#This Row],[takes]],0)</f>
        <v>0.67213114754098358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2</v>
      </c>
      <c r="M13" s="1">
        <f>COUNTIF(Scenario0[winner1-ability3],OracleAbilities3Scenario0[[#This Row],[ability]])+COUNTIF(Scenario0[winner2-ability3],OracleAbilities3Scenario0[[#This Row],[ability]])</f>
        <v>2</v>
      </c>
      <c r="N13" s="14">
        <f>IF(SUM(OracleAbilities3Scenario0[[#This Row],[takes]]) &gt; 0,OracleAbilities3Scenario0[[#This Row],[takes]]/SUM(OracleAbilities3Scenario0[takes]),0)</f>
        <v>0.33333333333333331</v>
      </c>
      <c r="O13" s="14">
        <f>IF(OracleAbilities3Scenario0[[#This Row],[takes]]&gt;0,OracleAbilities3Scenario0[[#This Row],[wins]]/OracleAbilities3Scenario0[[#This Row],[takes]],0)</f>
        <v>1</v>
      </c>
      <c r="S13" s="18"/>
    </row>
    <row r="14" spans="1:22" x14ac:dyDescent="0.25">
      <c r="A14" s="2" t="s">
        <v>131</v>
      </c>
      <c r="B14" s="2">
        <f t="shared" ref="B14:B15" si="6">L14+L35+L56+L77+L98+L119</f>
        <v>57</v>
      </c>
      <c r="C14" s="2">
        <f t="shared" ref="C14:C15" si="7">M14+M35+M56+M77+M98+M119</f>
        <v>20</v>
      </c>
      <c r="D14" s="12">
        <f>IF(SUM(OracleAbilities3[[#This Row],[takes]]) &gt; 0,OracleAbilities3[[#This Row],[takes]]/SUM(OracleAbilities3[takes]),0)</f>
        <v>0.46341463414634149</v>
      </c>
      <c r="E14" s="12">
        <f>IF(OracleAbilities3[[#This Row],[takes]]&gt;0,OracleAbilities3[[#This Row],[wins]]/OracleAbilities3[[#This Row],[takes]],0)</f>
        <v>0.35087719298245612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3</v>
      </c>
      <c r="M14" s="2">
        <f>COUNTIF(Scenario0[winner1-ability3],OracleAbilities3Scenario0[[#This Row],[ability]])+COUNTIF(Scenario0[winner2-ability3],OracleAbilities3Scenario0[[#This Row],[ability]])</f>
        <v>2</v>
      </c>
      <c r="N14" s="12">
        <f>IF(SUM(OracleAbilities3Scenario0[[#This Row],[takes]]) &gt; 0,OracleAbilities3Scenario0[[#This Row],[takes]]/SUM(OracleAbilities3Scenario0[takes]),0)</f>
        <v>0.5</v>
      </c>
      <c r="O14" s="12">
        <f>IF(OracleAbilities3Scenario0[[#This Row],[takes]]&gt;0,OracleAbilities3Scenario0[[#This Row],[wins]]/OracleAbilities3Scenario0[[#This Row],[takes]],0)</f>
        <v>0.66666666666666663</v>
      </c>
      <c r="S14" s="18"/>
    </row>
    <row r="15" spans="1:22" x14ac:dyDescent="0.25">
      <c r="A15" s="11" t="s">
        <v>132</v>
      </c>
      <c r="B15" s="1">
        <f t="shared" si="6"/>
        <v>5</v>
      </c>
      <c r="C15" s="1">
        <f t="shared" si="7"/>
        <v>3</v>
      </c>
      <c r="D15" s="15">
        <f>IF(SUM(OracleAbilities3[[#This Row],[takes]]) &gt; 0,OracleAbilities3[[#This Row],[takes]]/SUM(OracleAbilities3[takes]),0)</f>
        <v>4.065040650406504E-2</v>
      </c>
      <c r="E15" s="15">
        <f>IF(OracleAbilities3[[#This Row],[takes]]&gt;0,OracleAbilities3[[#This Row],[wins]]/OracleAbilities3[[#This Row],[takes]],0)</f>
        <v>0.6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</v>
      </c>
      <c r="M15" s="1">
        <f>COUNTIF(Scenario0[winner1-ability3],OracleAbilities3Scenario0[[#This Row],[ability]])+COUNTIF(Scenario0[winner2-ability3],OracleAbilities3Scenario0[[#This Row],[ability]])</f>
        <v>1</v>
      </c>
      <c r="N15" s="15">
        <f>IF(SUM(OracleAbilities3Scenario0[[#This Row],[takes]]) &gt; 0,OracleAbilities3Scenario0[[#This Row],[takes]]/SUM(OracleAbilities3Scenario0[takes]),0)</f>
        <v>0.16666666666666666</v>
      </c>
      <c r="O15" s="15">
        <f>IF(OracleAbilities3Scenario0[[#This Row],[takes]]&gt;0,OracleAbilities3Scenario0[[#This Row],[wins]]/OracleAbilities3Scenario0[[#This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54</v>
      </c>
      <c r="C18" s="2">
        <f>M18+M39+M60+M81+M102+M123</f>
        <v>24</v>
      </c>
      <c r="D18" s="12">
        <f>IF(SUM(OracleAbilities4[[#This Row],[takes]]) &gt; 0,OracleAbilities4[[#This Row],[takes]]/SUM(OracleAbilities4[takes]),0)</f>
        <v>0.66666666666666663</v>
      </c>
      <c r="E18" s="12">
        <f>IF(OracleAbilities4[[#This Row],[takes]]&gt;0,OracleAbilities4[[#This Row],[wins]]/OracleAbilities4[[#This Row],[takes]],0)</f>
        <v>0.44444444444444442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8" s="2">
        <f>COUNTIF(Scenario0[winner1-ability4],OracleAbilities4Scenario0[[#This Row],[ability]])+COUNTIF(Scenario0[winner2-ability4],OracleAbilities4Scenario0[[#This Row],[ability]])</f>
        <v>0</v>
      </c>
      <c r="N18" s="12">
        <f>IF(SUM(OracleAbilities4Scenario0[[#This Row],[takes]]) &gt; 0,OracleAbilities4Scenario0[[#This Row],[takes]]/SUM(OracleAbilities4Scenario0[takes]),0)</f>
        <v>0</v>
      </c>
      <c r="O18" s="12">
        <f>IF(OracleAbilities4Scenario0[[#This Row],[takes]]&gt;0,OracleAbilities4Scenario0[[#This Row],[wins]]/OracleAbilities4Scenario0[[#This Row],[takes]],0)</f>
        <v>0</v>
      </c>
      <c r="S18" s="18"/>
    </row>
    <row r="19" spans="1:20" x14ac:dyDescent="0.25">
      <c r="A19" s="2" t="s">
        <v>37</v>
      </c>
      <c r="B19" s="2">
        <f t="shared" ref="B19:B20" si="8">L19+L40+L61+L82+L103+L124</f>
        <v>3</v>
      </c>
      <c r="C19" s="2">
        <f t="shared" ref="C19:C20" si="9">M19+M40+M61+M82+M103+M124</f>
        <v>2</v>
      </c>
      <c r="D19" s="12">
        <f>IF(SUM(OracleAbilities4[[#This Row],[takes]]) &gt; 0,OracleAbilities4[[#This Row],[takes]]/SUM(OracleAbilities4[takes]),0)</f>
        <v>3.7037037037037035E-2</v>
      </c>
      <c r="E19" s="12">
        <f>IF(OracleAbilities4[[#This Row],[takes]]&gt;0,OracleAbilities4[[#This Row],[wins]]/OracleAbilities4[[#This Row],[takes]],0)</f>
        <v>0.66666666666666663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9" s="2">
        <f>COUNTIF(Scenario0[winner1-ability4],OracleAbilities4Scenario0[[#This Row],[ability]])+COUNTIF(Scenario0[winner2-ability4],OracleAbilities4Scenario0[[#This Row],[ability]])</f>
        <v>0</v>
      </c>
      <c r="N19" s="12">
        <f>IF(SUM(OracleAbilities4Scenario0[[#This Row],[takes]]) &gt; 0,OracleAbilities4Scenario0[[#This Row],[takes]]/SUM(OracleAbilities4Scenario0[takes]),0)</f>
        <v>0</v>
      </c>
      <c r="O19" s="12">
        <f>IF(OracleAbilities4Scenario0[[#This Row],[takes]]&gt;0,OracleAbilities4Scenario0[[#This Row],[wins]]/OracleAbilities4Scenario0[[#This Row],[takes]],0)</f>
        <v>0</v>
      </c>
      <c r="S19" s="18"/>
    </row>
    <row r="20" spans="1:20" ht="15.75" thickBot="1" x14ac:dyDescent="0.3">
      <c r="A20" s="10" t="s">
        <v>134</v>
      </c>
      <c r="B20" s="2">
        <f t="shared" si="8"/>
        <v>24</v>
      </c>
      <c r="C20" s="2">
        <f t="shared" si="9"/>
        <v>12</v>
      </c>
      <c r="D20" s="26">
        <f>IF(SUM(OracleAbilities4[[#This Row],[takes]]) &gt; 0,OracleAbilities4[[#This Row],[takes]]/SUM(OracleAbilities4[takes]),0)</f>
        <v>0.29629629629629628</v>
      </c>
      <c r="E20" s="26">
        <f>IF(OracleAbilities4[[#This Row],[takes]]&gt;0,OracleAbilities4[[#This Row],[wins]]/OracleAbilities4[[#This Row],[takes]],0)</f>
        <v>0.5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1</v>
      </c>
      <c r="M20" s="25">
        <f>COUNTIF(Scenario0[winner1-ability4],OracleAbilities4Scenario0[[#This Row],[ability]])+COUNTIF(Scenario0[winner2-ability4],OracleAbilities4Scenario0[[#This Row],[ability]])</f>
        <v>1</v>
      </c>
      <c r="N20" s="26">
        <f>IF(SUM(OracleAbilities4Scenario0[[#This Row],[takes]]) &gt; 0,OracleAbilities4Scenario0[[#This Row],[takes]]/SUM(OracleAbilities4Scenario0[takes]),0)</f>
        <v>1</v>
      </c>
      <c r="O20" s="26">
        <f>IF(OracleAbilities4Scenario0[[#This Row],[takes]]&gt;0,OracleAbilities4Scenario0[[#This Row],[wins]]/OracleAbilities4Scenario0[[#This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10</v>
      </c>
      <c r="M24">
        <f>COUNTIF(Scenario1[winner1-ability1],OracleAbilities1Scenario1[[#This Row],[ability]])+COUNTIF(Scenario1[winner2-ability1],OracleAbilities1Scenario1[[#This Row],[ability]])</f>
        <v>6</v>
      </c>
      <c r="N24" s="3">
        <f>IF(SUM(OracleAbilities1Scenario1[[#This Row],[takes]]) &gt; 0,OracleAbilities1Scenario1[[#This Row],[takes]]/SUM(OracleAbilities1Scenario1[takes]),0)</f>
        <v>9.5238095238095233E-2</v>
      </c>
      <c r="O24" s="3">
        <f>IF(OracleAbilities1Scenario1[[#This Row],[takes]]&gt;0,OracleAbilities1Scenario1[[#This Row],[wins]]/OracleAbilities1Scenario1[[#This Row],[takes]],0)</f>
        <v>0.6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39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13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42</v>
      </c>
      <c r="M25">
        <f>COUNTIF(Scenario1[winner1-ability1],OracleAbilities1Scenario1[[#This Row],[ability]])+COUNTIF(Scenario1[winner2-ability1],OracleAbilities1Scenario1[[#This Row],[ability]])</f>
        <v>17</v>
      </c>
      <c r="N25" s="3">
        <f>IF(SUM(OracleAbilities1Scenario1[[#This Row],[takes]]) &gt; 0,OracleAbilities1Scenario1[[#This Row],[takes]]/SUM(OracleAbilities1Scenario1[takes]),0)</f>
        <v>0.4</v>
      </c>
      <c r="O25" s="3">
        <f>IF(OracleAbilities1Scenario1[[#This Row],[takes]]&gt;0,OracleAbilities1Scenario1[[#This Row],[wins]]/OracleAbilities1Scenario1[[#This Row],[takes]],0)</f>
        <v>0.40476190476190477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50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38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53</v>
      </c>
      <c r="M26">
        <f>COUNTIF(Scenario1[winner1-ability1],OracleAbilities1Scenario1[[#This Row],[ability]])+COUNTIF(Scenario1[winner2-ability1],OracleAbilities1Scenario1[[#This Row],[ability]])</f>
        <v>28</v>
      </c>
      <c r="N26" s="3">
        <f>IF(SUM(OracleAbilities1Scenario1[[#This Row],[takes]]) &gt; 0,OracleAbilities1Scenario1[[#This Row],[takes]]/SUM(OracleAbilities1Scenario1[takes]),0)</f>
        <v>0.50476190476190474</v>
      </c>
      <c r="O26" s="3">
        <f>IF(OracleAbilities1Scenario1[[#This Row],[takes]]&gt;0,OracleAbilities1Scenario1[[#This Row],[wins]]/OracleAbilities1Scenario1[[#This Row],[takes]],0)</f>
        <v>0.52830188679245282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16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54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17</v>
      </c>
      <c r="M29" s="2">
        <f>COUNTIF(Scenario1[winner1-ability2],OracleAbilities2Scenario1[[#This Row],[ability]])+COUNTIF(Scenario1[winner2-ability2],OracleAbilities2Scenario1[[#This Row],[ability]])</f>
        <v>16</v>
      </c>
      <c r="N29" s="12">
        <f>IF(SUM(OracleAbilities2Scenario1[[#This Row],[takes]]) &gt; 0,OracleAbilities2Scenario1[[#This Row],[takes]]/SUM(OracleAbilities2Scenario1[takes]),0)</f>
        <v>0.41463414634146339</v>
      </c>
      <c r="O29" s="12">
        <f>IF(OracleAbilities2Scenario1[[#This Row],[takes]]&gt;0,OracleAbilities2Scenario1[[#This Row],[wins]]/OracleAbilities2Scenario1[[#This Row],[takes]],0)</f>
        <v>0.94117647058823528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7</v>
      </c>
      <c r="M30" s="2">
        <f>COUNTIF(Scenario1[winner1-ability2],OracleAbilities2Scenario1[[#This Row],[ability]])+COUNTIF(Scenario1[winner2-ability2],OracleAbilities2Scenario1[[#This Row],[ability]])</f>
        <v>4</v>
      </c>
      <c r="N30" s="3">
        <f>IF(SUM(OracleAbilities2Scenario1[[#This Row],[takes]]) &gt; 0,OracleAbilities2Scenario1[[#This Row],[takes]]/SUM(OracleAbilities2Scenario1[takes]),0)</f>
        <v>0.17073170731707318</v>
      </c>
      <c r="O30" s="3">
        <f>IF(OracleAbilities2Scenario1[[#This Row],[takes]]&gt;0,OracleAbilities2Scenario1[[#This Row],[wins]]/OracleAbilities2Scenario1[[#This Row],[takes]],0)</f>
        <v>0.5714285714285714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17</v>
      </c>
      <c r="M31" s="2">
        <f>COUNTIF(Scenario1[winner1-ability2],OracleAbilities2Scenario1[[#This Row],[ability]])+COUNTIF(Scenario1[winner2-ability2],OracleAbilities2Scenario1[[#This Row],[ability]])</f>
        <v>6</v>
      </c>
      <c r="N31" s="13">
        <f>IF(SUM(OracleAbilities2Scenario1[[#This Row],[takes]]) &gt; 0,OracleAbilities2Scenario1[[#This Row],[takes]]/SUM(OracleAbilities2Scenario1[takes]),0)</f>
        <v>0.41463414634146339</v>
      </c>
      <c r="O31" s="13">
        <f>IF(OracleAbilities2Scenario1[[#This Row],[takes]]&gt;0,OracleAbilities2Scenario1[[#This Row],[wins]]/OracleAbilities2Scenario1[[#This Row],[takes]],0)</f>
        <v>0.35294117647058826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7</v>
      </c>
      <c r="M34" s="1">
        <f>COUNTIF(Scenario1[winner1-ability3],OracleAbilities3Scenario1[[#This Row],[ability]])+COUNTIF(Scenario1[winner2-ability3],OracleAbilities3Scenario1[[#This Row],[ability]])</f>
        <v>5</v>
      </c>
      <c r="N34" s="14">
        <f>IF(SUM(OracleAbilities3Scenario1[[#This Row],[takes]]) &gt; 0,OracleAbilities3Scenario1[[#This Row],[takes]]/SUM(OracleAbilities3Scenario1[takes]),0)</f>
        <v>0.36842105263157893</v>
      </c>
      <c r="O34" s="14">
        <f>IF(OracleAbilities3Scenario1[[#This Row],[takes]]&gt;0,OracleAbilities3Scenario1[[#This Row],[wins]]/OracleAbilities3Scenario1[[#This Row],[takes]],0)</f>
        <v>0.7142857142857143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12</v>
      </c>
      <c r="M35" s="2">
        <f>COUNTIF(Scenario1[winner1-ability3],OracleAbilities3Scenario1[[#This Row],[ability]])+COUNTIF(Scenario1[winner2-ability3],OracleAbilities3Scenario1[[#This Row],[ability]])</f>
        <v>4</v>
      </c>
      <c r="N35" s="12">
        <f>IF(SUM(OracleAbilities3Scenario1[[#This Row],[takes]]) &gt; 0,OracleAbilities3Scenario1[[#This Row],[takes]]/SUM(OracleAbilities3Scenario1[takes]),0)</f>
        <v>0.63157894736842102</v>
      </c>
      <c r="O35" s="12">
        <f>IF(OracleAbilities3Scenario1[[#This Row],[takes]]&gt;0,OracleAbilities3Scenario1[[#This Row],[wins]]/OracleAbilities3Scenario1[[#This Row],[takes]],0)</f>
        <v>0.33333333333333331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6" s="1">
        <f>COUNTIF(Scenario1[winner1-ability3],OracleAbilities3Scenario1[[#This Row],[ability]])+COUNTIF(Scenario1[winner2-ability3],OracleAbilities3Scenario1[[#This Row],[ability]])</f>
        <v>0</v>
      </c>
      <c r="N36" s="15">
        <f>IF(SUM(OracleAbilities3Scenario1[[#This Row],[takes]]) &gt; 0,OracleAbilities3Scenario1[[#This Row],[takes]]/SUM(OracleAbilities3Scenario1[takes]),0)</f>
        <v>0</v>
      </c>
      <c r="O36" s="15">
        <f>IF(OracleAbilities3Scenario1[[#This Row],[takes]]&gt;0,OracleAbilities3Scenario1[[#This Row],[wins]]/OracleAbilities3Scenario1[[#This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4</v>
      </c>
      <c r="M39" s="2">
        <f>COUNTIF(Scenario1[winner1-ability4],OracleAbilities4Scenario1[[#This Row],[ability]])+COUNTIF(Scenario1[winner2-ability4],OracleAbilities4Scenario1[[#This Row],[ability]])</f>
        <v>3</v>
      </c>
      <c r="N39" s="12">
        <f>IF(SUM(OracleAbilities4Scenario1[[#This Row],[takes]]) &gt; 0,OracleAbilities4Scenario1[[#This Row],[takes]]/SUM(OracleAbilities4Scenario1[takes]),0)</f>
        <v>0.5714285714285714</v>
      </c>
      <c r="O39" s="12">
        <f>IF(OracleAbilities4Scenario1[[#This Row],[takes]]&gt;0,OracleAbilities4Scenario1[[#This Row],[wins]]/OracleAbilities4Scenario1[[#This Row],[takes]],0)</f>
        <v>0.75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0" s="2">
        <f>COUNTIF(Scenario1[winner1-ability4],OracleAbilities4Scenario1[[#This Row],[ability]])+COUNTIF(Scenario1[winner2-ability4],OracleAbilities4Scenario1[[#This Row],[ability]])</f>
        <v>0</v>
      </c>
      <c r="N40" s="12">
        <f>IF(SUM(OracleAbilities4Scenario1[[#This Row],[takes]]) &gt; 0,OracleAbilities4Scenario1[[#This Row],[takes]]/SUM(OracleAbilities4Scenario1[takes]),0)</f>
        <v>0</v>
      </c>
      <c r="O40" s="12">
        <f>IF(OracleAbilities4Scenario1[[#This Row],[takes]]&gt;0,OracleAbilities4Scenario1[[#This Row],[wins]]/OracleAbilities4Scenario1[[#This Row],[takes]],0)</f>
        <v>0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3</v>
      </c>
      <c r="M41" s="25">
        <f>COUNTIF(Scenario1[winner1-ability4],OracleAbilities4Scenario1[[#This Row],[ability]])+COUNTIF(Scenario1[winner2-ability4],OracleAbilities4Scenario1[[#This Row],[ability]])</f>
        <v>0</v>
      </c>
      <c r="N41" s="26">
        <f>IF(SUM(OracleAbilities4Scenario1[[#This Row],[takes]]) &gt; 0,OracleAbilities4Scenario1[[#This Row],[takes]]/SUM(OracleAbilities4Scenario1[takes]),0)</f>
        <v>0.42857142857142855</v>
      </c>
      <c r="O41" s="26">
        <f>IF(OracleAbilities4Scenario1[[#This Row],[takes]]&gt;0,OracleAbilities4Scenario1[[#This Row],[wins]]/OracleAbilities4Scenario1[[#This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0</v>
      </c>
      <c r="M45">
        <f>COUNTIF(Scenario2[winner1-ability1],OracleAbilities1Scenario2[[#This Row],[ability]])</f>
        <v>0</v>
      </c>
      <c r="N45" s="3">
        <f>IF(SUM(OracleAbilities1Scenario2[[#This Row],[takes]]) &gt; 0,OracleAbilities1Scenario2[[#This Row],[takes]]/SUM(OracleAbilities1Scenario2[takes]),0)</f>
        <v>0</v>
      </c>
      <c r="O45" s="3">
        <f>IF(OracleAbilities1Scenario2[[#This Row],[takes]]&gt;0,OracleAbilities1Scenario2[[#This Row],[wins]]/OracleAbilities1Scenario2[[#This Row],[takes]],0)</f>
        <v>0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8</v>
      </c>
      <c r="S45" s="18">
        <f>COUNTIFS(Scenario2[winner1],"oracle",Scenario2[winner1-cp],OracleEquipScenario2[[#This Row],[level]])+COUNTIFS(Scenario2[loser1],"oracle",Scenario2[loser1-cp],OracleEquipScenario2[[#This Row],[level]])</f>
        <v>1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4</v>
      </c>
      <c r="M46">
        <f>COUNTIF(Scenario2[winner1-ability1],OracleAbilities1Scenario2[[#This Row],[ability]])</f>
        <v>2</v>
      </c>
      <c r="N46" s="3">
        <f>IF(SUM(OracleAbilities1Scenario2[[#This Row],[takes]]) &gt; 0,OracleAbilities1Scenario2[[#This Row],[takes]]/SUM(OracleAbilities1Scenario2[takes]),0)</f>
        <v>0.2857142857142857</v>
      </c>
      <c r="O46" s="3">
        <f>IF(OracleAbilities1Scenario2[[#This Row],[takes]]&gt;0,OracleAbilities1Scenario2[[#This Row],[wins]]/OracleAbilities1Scenario2[[#This Row],[takes]],0)</f>
        <v>0.5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6</v>
      </c>
      <c r="S46" s="18">
        <f>COUNTIFS(Scenario2[winner1],"oracle",Scenario2[winner1-cp],OracleEquipScenario2[[#This Row],[level]])+COUNTIFS(Scenario2[loser1],"oracle",Scenario2[loser1-cp],OracleEquipScenario2[[#This Row],[level]])</f>
        <v>4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10</v>
      </c>
      <c r="M47">
        <f>COUNTIF(Scenario2[winner1-ability1],OracleAbilities1Scenario2[[#This Row],[ability]])</f>
        <v>4</v>
      </c>
      <c r="N47" s="3">
        <f>IF(SUM(OracleAbilities1Scenario2[[#This Row],[takes]]) &gt; 0,OracleAbilities1Scenario2[[#This Row],[takes]]/SUM(OracleAbilities1Scenario2[takes]),0)</f>
        <v>0.7142857142857143</v>
      </c>
      <c r="O47" s="3">
        <f>IF(OracleAbilities1Scenario2[[#This Row],[takes]]&gt;0,OracleAbilities1Scenario2[[#This Row],[wins]]/OracleAbilities1Scenario2[[#This Row],[takes]],0)</f>
        <v>0.4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0</v>
      </c>
      <c r="S47" s="18">
        <f>COUNTIFS(Scenario2[winner1],"oracle",Scenario2[winner1-cp],OracleEquipScenario2[[#This Row],[level]])+COUNTIFS(Scenario2[loser1],"oracle",Scenario2[loser1-cp],OracleEquipScenario2[[#This Row],[level]])</f>
        <v>9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4</v>
      </c>
      <c r="M50" s="2">
        <f>COUNTIF(Scenario2[winner1-ability2],OracleAbilities2Scenario2[[#This Row],[ability]])</f>
        <v>4</v>
      </c>
      <c r="N50" s="12">
        <f>IF(SUM(OracleAbilities2Scenario2[[#This Row],[takes]]) &gt; 0,OracleAbilities2Scenario2[[#This Row],[takes]]/SUM(OracleAbilities2Scenario2[takes]),0)</f>
        <v>0.5</v>
      </c>
      <c r="O50" s="12">
        <f>IF(OracleAbilities2Scenario2[[#This Row],[takes]]&gt;0,OracleAbilities2Scenario2[[#This Row],[wins]]/OracleAbilities2Scenario2[[#This Row],[takes]],0)</f>
        <v>1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0</v>
      </c>
      <c r="M51" s="2">
        <f>COUNTIF(Scenario2[winner1-ability2],OracleAbilities2Scenario2[[#This Row],[ability]])</f>
        <v>0</v>
      </c>
      <c r="N51" s="3">
        <f>IF(SUM(OracleAbilities2Scenario2[[#This Row],[takes]]) &gt; 0,OracleAbilities2Scenario2[[#This Row],[takes]]/SUM(OracleAbilities2Scenario2[takes]),0)</f>
        <v>0</v>
      </c>
      <c r="O51" s="3">
        <f>IF(OracleAbilities2Scenario2[[#This Row],[takes]]&gt;0,OracleAbilities2Scenario2[[#This Row],[wins]]/OracleAbilities2Scenario2[[#This Row],[takes]],0)</f>
        <v>0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4</v>
      </c>
      <c r="M52" s="2">
        <f>COUNTIF(Scenario2[winner1-ability2],OracleAbilities2Scenario2[[#This Row],[ability]])</f>
        <v>1</v>
      </c>
      <c r="N52" s="13">
        <f>IF(SUM(OracleAbilities2Scenario2[[#This Row],[takes]]) &gt; 0,OracleAbilities2Scenario2[[#This Row],[takes]]/SUM(OracleAbilities2Scenario2[takes]),0)</f>
        <v>0.5</v>
      </c>
      <c r="O52" s="13">
        <f>IF(OracleAbilities2Scenario2[[#This Row],[takes]]&gt;0,OracleAbilities2Scenario2[[#This Row],[wins]]/OracleAbilities2Scenario2[[#This Row],[takes]],0)</f>
        <v>0.25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3</v>
      </c>
      <c r="M55" s="1">
        <f>COUNTIF(Scenario2[winner1-ability3],OracleAbilities3Scenario2[[#This Row],[ability]])</f>
        <v>3</v>
      </c>
      <c r="N55" s="14">
        <f>IF(SUM(OracleAbilities3Scenario2[[#This Row],[takes]]) &gt; 0,OracleAbilities3Scenario2[[#This Row],[takes]]/SUM(OracleAbilities3Scenario2[takes]),0)</f>
        <v>1</v>
      </c>
      <c r="O55" s="14">
        <f>IF(OracleAbilities3Scenario2[[#This Row],[takes]]&gt;0,OracleAbilities3Scenario2[[#This Row],[wins]]/OracleAbilities3Scenario2[[#This Row],[takes]],0)</f>
        <v>1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0</v>
      </c>
      <c r="M56" s="2">
        <f>COUNTIF(Scenario2[winner1-ability3],OracleAbilities3Scenario2[[#This Row],[ability]])</f>
        <v>0</v>
      </c>
      <c r="N56" s="12">
        <f>IF(SUM(OracleAbilities3Scenario2[[#This Row],[takes]]) &gt; 0,OracleAbilities3Scenario2[[#This Row],[takes]]/SUM(OracleAbilities3Scenario2[takes]),0)</f>
        <v>0</v>
      </c>
      <c r="O56" s="12">
        <f>IF(OracleAbilities3Scenario2[[#This Row],[takes]]&gt;0,OracleAbilities3Scenario2[[#This Row],[wins]]/OracleAbilities3Scenario2[[#This Row],[takes]],0)</f>
        <v>0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0</v>
      </c>
      <c r="M57" s="1">
        <f>COUNTIF(Scenario2[winner1-ability3],OracleAbilities3Scenario2[[#This Row],[ability]])</f>
        <v>0</v>
      </c>
      <c r="N57" s="15">
        <f>IF(SUM(OracleAbilities3Scenario2[[#This Row],[takes]]) &gt; 0,OracleAbilities3Scenario2[[#This Row],[takes]]/SUM(OracleAbilities3Scenario2[takes]),0)</f>
        <v>0</v>
      </c>
      <c r="O57" s="15">
        <f>IF(OracleAbilities3Scenario2[[#This Row],[takes]]&gt;0,OracleAbilities3Scenario2[[#This Row],[wins]]/OracleAbilities3Scenario2[[#This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0</v>
      </c>
      <c r="M60" s="2">
        <f>COUNTIF(Scenario2[winner1-ability4],OracleAbilities4Scenario2[[#This Row],[ability]])</f>
        <v>0</v>
      </c>
      <c r="N60" s="12">
        <f>IF(SUM(OracleAbilities4Scenario2[[#This Row],[takes]]) &gt; 0,OracleAbilities4Scenario2[[#This Row],[takes]]/SUM(OracleAbilities4Scenario2[takes]),0)</f>
        <v>0</v>
      </c>
      <c r="O60" s="12">
        <f>IF(OracleAbilities4Scenario2[[#This Row],[takes]]&gt;0,OracleAbilities4Scenario2[[#This Row],[wins]]/OracleAbilities4Scenario2[[#This Row],[takes]],0)</f>
        <v>0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0</v>
      </c>
      <c r="M62" s="25">
        <f>COUNTIF(Scenario2[winner1-ability4],OracleAbilities4Scenario2[[#This Row],[ability]])</f>
        <v>0</v>
      </c>
      <c r="N62" s="26">
        <f>IF(SUM(OracleAbilities4Scenario2[[#This Row],[takes]]) &gt; 0,OracleAbilities4Scenario2[[#This Row],[takes]]/SUM(OracleAbilities4Scenario2[takes]),0)</f>
        <v>0</v>
      </c>
      <c r="O62" s="26">
        <f>IF(OracleAbilities4Scenario2[[#This Row],[takes]]&gt;0,OracleAbilities4Scenario2[[#This Row],[wins]]/OracleAbilities4Scenario2[[#This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0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4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14</v>
      </c>
      <c r="M67">
        <f>COUNTIF(Scenario3[winner1-ability1],OracleAbilities1Scenario3[[#This Row],[ability]])</f>
        <v>5</v>
      </c>
      <c r="N67" s="3">
        <f>IF(SUM(OracleAbilities1Scenario3[[#This Row],[takes]]) &gt; 0,OracleAbilities1Scenario3[[#This Row],[takes]]/SUM(OracleAbilities1Scenario3[takes]),0)</f>
        <v>0.66666666666666663</v>
      </c>
      <c r="O67" s="3">
        <f>IF(OracleAbilities1Scenario3[[#This Row],[takes]]&gt;0,OracleAbilities1Scenario3[[#This Row],[wins]]/OracleAbilities1Scenario3[[#This Row],[takes]],0)</f>
        <v>0.35714285714285715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6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5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7</v>
      </c>
      <c r="M68">
        <f>COUNTIF(Scenario3[winner1-ability1],OracleAbilities1Scenario3[[#This Row],[ability]])</f>
        <v>2</v>
      </c>
      <c r="N68" s="3">
        <f>IF(SUM(OracleAbilities1Scenario3[[#This Row],[takes]]) &gt; 0,OracleAbilities1Scenario3[[#This Row],[takes]]/SUM(OracleAbilities1Scenario3[takes]),0)</f>
        <v>0.33333333333333331</v>
      </c>
      <c r="O68" s="3">
        <f>IF(OracleAbilities1Scenario3[[#This Row],[takes]]&gt;0,OracleAbilities1Scenario3[[#This Row],[wins]]/OracleAbilities1Scenario3[[#This Row],[takes]],0)</f>
        <v>0.2857142857142857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11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15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6</v>
      </c>
      <c r="M71" s="2">
        <f>COUNTIF(Scenario3[winner1-ability2],OracleAbilities2Scenario3[[#This Row],[ability]])</f>
        <v>2</v>
      </c>
      <c r="N71" s="12">
        <f>IF(SUM(OracleAbilities2Scenario3[[#This Row],[takes]]) &gt; 0,OracleAbilities2Scenario3[[#This Row],[takes]]/SUM(OracleAbilities2Scenario3[takes]),0)</f>
        <v>0.33333333333333331</v>
      </c>
      <c r="O71" s="12">
        <f>IF(OracleAbilities2Scenario3[[#This Row],[takes]]&gt;0,OracleAbilities2Scenario3[[#This Row],[wins]]/OracleAbilities2Scenario3[[#This Row],[takes]],0)</f>
        <v>0.33333333333333331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11</v>
      </c>
      <c r="M72" s="2">
        <f>COUNTIF(Scenario3[winner1-ability2],OracleAbilities2Scenario3[[#This Row],[ability]])</f>
        <v>5</v>
      </c>
      <c r="N72" s="3">
        <f>IF(SUM(OracleAbilities2Scenario3[[#This Row],[takes]]) &gt; 0,OracleAbilities2Scenario3[[#This Row],[takes]]/SUM(OracleAbilities2Scenario3[takes]),0)</f>
        <v>0.61111111111111116</v>
      </c>
      <c r="O72" s="3">
        <f>IF(OracleAbilities2Scenario3[[#This Row],[takes]]&gt;0,OracleAbilities2Scenario3[[#This Row],[wins]]/OracleAbilities2Scenario3[[#This Row],[takes]],0)</f>
        <v>0.45454545454545453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</v>
      </c>
      <c r="M73" s="2">
        <f>COUNTIF(Scenario3[winner1-ability2],OracleAbilities2Scenario3[[#This Row],[ability]])</f>
        <v>0</v>
      </c>
      <c r="N73" s="13">
        <f>IF(SUM(OracleAbilities2Scenario3[[#This Row],[takes]]) &gt; 0,OracleAbilities2Scenario3[[#This Row],[takes]]/SUM(OracleAbilities2Scenario3[takes]),0)</f>
        <v>5.5555555555555552E-2</v>
      </c>
      <c r="O73" s="13">
        <f>IF(OracleAbilities2Scenario3[[#This Row],[takes]]&gt;0,OracleAbilities2Scenario3[[#This Row],[wins]]/OracleAbilities2Scenario3[[#This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7</v>
      </c>
      <c r="M76" s="1">
        <f>COUNTIF(Scenario3[winner1-ability3],OracleAbilities3Scenario3[[#This Row],[ability]])</f>
        <v>4</v>
      </c>
      <c r="N76" s="14">
        <f>IF(SUM(OracleAbilities3Scenario3[[#This Row],[takes]]) &gt; 0,OracleAbilities3Scenario3[[#This Row],[takes]]/SUM(OracleAbilities3Scenario3[takes]),0)</f>
        <v>0.5</v>
      </c>
      <c r="O76" s="14">
        <f>IF(OracleAbilities3Scenario3[[#This Row],[takes]]&gt;0,OracleAbilities3Scenario3[[#This Row],[wins]]/OracleAbilities3Scenario3[[#This Row],[takes]],0)</f>
        <v>0.5714285714285714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7</v>
      </c>
      <c r="M77" s="2">
        <f>COUNTIF(Scenario3[winner1-ability3],OracleAbilities3Scenario3[[#This Row],[ability]])</f>
        <v>2</v>
      </c>
      <c r="N77" s="12">
        <f>IF(SUM(OracleAbilities3Scenario3[[#This Row],[takes]]) &gt; 0,OracleAbilities3Scenario3[[#This Row],[takes]]/SUM(OracleAbilities3Scenario3[takes]),0)</f>
        <v>0.5</v>
      </c>
      <c r="O77" s="12">
        <f>IF(OracleAbilities3Scenario3[[#This Row],[takes]]&gt;0,OracleAbilities3Scenario3[[#This Row],[wins]]/OracleAbilities3Scenario3[[#This Row],[takes]],0)</f>
        <v>0.2857142857142857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8" s="1">
        <f>COUNTIF(Scenario3[winner1-ability3],OracleAbilities3Scenario3[[#This Row],[ability]])</f>
        <v>0</v>
      </c>
      <c r="N78" s="15">
        <f>IF(SUM(OracleAbilities3Scenario3[[#This Row],[takes]]) &gt; 0,OracleAbilities3Scenario3[[#This Row],[takes]]/SUM(OracleAbilities3Scenario3[takes]),0)</f>
        <v>0</v>
      </c>
      <c r="O78" s="15">
        <f>IF(OracleAbilities3Scenario3[[#This Row],[takes]]&gt;0,OracleAbilities3Scenario3[[#This Row],[wins]]/OracleAbilities3Scenario3[[#This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6</v>
      </c>
      <c r="M81" s="2">
        <f>COUNTIF(Scenario3[winner1-ability4],OracleAbilities4Scenario3[[#This Row],[ability]])</f>
        <v>1</v>
      </c>
      <c r="N81" s="12">
        <f>IF(SUM(OracleAbilities4Scenario3[[#This Row],[takes]]) &gt; 0,OracleAbilities4Scenario3[[#This Row],[takes]]/SUM(OracleAbilities4Scenario3[takes]),0)</f>
        <v>0.6</v>
      </c>
      <c r="O81" s="12">
        <f>IF(OracleAbilities4Scenario3[[#This Row],[takes]]&gt;0,OracleAbilities4Scenario3[[#This Row],[wins]]/OracleAbilities4Scenario3[[#This Row],[takes]],0)</f>
        <v>0.16666666666666666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2" s="2">
        <f>COUNTIF(Scenario3[winner1-ability4],OracleAbilities4Scenario3[[#This Row],[ability]])</f>
        <v>0</v>
      </c>
      <c r="N82" s="12">
        <f>IF(SUM(OracleAbilities4Scenario3[[#This Row],[takes]]) &gt; 0,OracleAbilities4Scenario3[[#This Row],[takes]]/SUM(OracleAbilities4Scenario3[takes]),0)</f>
        <v>0</v>
      </c>
      <c r="O82" s="12">
        <f>IF(OracleAbilities4Scenario3[[#This Row],[takes]]&gt;0,OracleAbilities4Scenario3[[#This Row],[wins]]/OracleAbilities4Scenario3[[#This Row],[takes]],0)</f>
        <v>0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4</v>
      </c>
      <c r="M83" s="2">
        <f>COUNTIF(Scenario3[winner1-ability4],OracleAbilities4Scenario3[[#This Row],[ability]])</f>
        <v>2</v>
      </c>
      <c r="N83" s="26">
        <f>IF(SUM(OracleAbilities4Scenario3[[#This Row],[takes]]) &gt; 0,OracleAbilities4Scenario3[[#This Row],[takes]]/SUM(OracleAbilities4Scenario3[takes]),0)</f>
        <v>0.4</v>
      </c>
      <c r="O83" s="26">
        <f>IF(OracleAbilities4Scenario3[[#This Row],[takes]]&gt;0,OracleAbilities4Scenario3[[#This Row],[wins]]/OracleAbilities4Scenario3[[#This Row],[takes]],0)</f>
        <v>0.5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0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5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28</v>
      </c>
      <c r="M88">
        <f>COUNTIF(Scenario4[winner1-ability1],OracleAbilities1Scenario4[[#This Row],[ability]])</f>
        <v>10</v>
      </c>
      <c r="N88" s="3">
        <f>IF(SUM(OracleAbilities1Scenario4[[#This Row],[takes]]) &gt; 0,OracleAbilities1Scenario4[[#This Row],[takes]]/SUM(OracleAbilities1Scenario4[takes]),0)</f>
        <v>0.8</v>
      </c>
      <c r="O88" s="3">
        <f>IF(OracleAbilities1Scenario4[[#This Row],[takes]]&gt;0,OracleAbilities1Scenario4[[#This Row],[wins]]/OracleAbilities1Scenario4[[#This Row],[takes]],0)</f>
        <v>0.35714285714285715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4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3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7</v>
      </c>
      <c r="M89">
        <f>COUNTIF(Scenario4[winner1-ability1],OracleAbilities1Scenario4[[#This Row],[ability]])</f>
        <v>3</v>
      </c>
      <c r="N89" s="3">
        <f>IF(SUM(OracleAbilities1Scenario4[[#This Row],[takes]]) &gt; 0,OracleAbilities1Scenario4[[#This Row],[takes]]/SUM(OracleAbilities1Scenario4[takes]),0)</f>
        <v>0.2</v>
      </c>
      <c r="O89" s="3">
        <f>IF(OracleAbilities1Scenario4[[#This Row],[takes]]&gt;0,OracleAbilities1Scenario4[[#This Row],[wins]]/OracleAbilities1Scenario4[[#This Row],[takes]],0)</f>
        <v>0.42857142857142855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26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32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3</v>
      </c>
      <c r="M92" s="2">
        <f>COUNTIF(Scenario4[winner1-ability2],OracleAbilities2Scenario4[[#This Row],[ability]])</f>
        <v>1</v>
      </c>
      <c r="N92" s="12">
        <f>IF(SUM(OracleAbilities2Scenario4[[#This Row],[takes]]) &gt; 0,OracleAbilities2Scenario4[[#This Row],[takes]]/SUM(OracleAbilities2Scenario4[takes]),0)</f>
        <v>8.5714285714285715E-2</v>
      </c>
      <c r="O92" s="12">
        <f>IF(OracleAbilities2Scenario4[[#This Row],[takes]]&gt;0,OracleAbilities2Scenario4[[#This Row],[wins]]/OracleAbilities2Scenario4[[#This Row],[takes]],0)</f>
        <v>0.33333333333333331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25</v>
      </c>
      <c r="M93" s="2">
        <f>COUNTIF(Scenario4[winner1-ability2],OracleAbilities2Scenario4[[#This Row],[ability]])</f>
        <v>11</v>
      </c>
      <c r="N93" s="3">
        <f>IF(SUM(OracleAbilities2Scenario4[[#This Row],[takes]]) &gt; 0,OracleAbilities2Scenario4[[#This Row],[takes]]/SUM(OracleAbilities2Scenario4[takes]),0)</f>
        <v>0.7142857142857143</v>
      </c>
      <c r="O93" s="3">
        <f>IF(OracleAbilities2Scenario4[[#This Row],[takes]]&gt;0,OracleAbilities2Scenario4[[#This Row],[wins]]/OracleAbilities2Scenario4[[#This Row],[takes]],0)</f>
        <v>0.44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7</v>
      </c>
      <c r="M94" s="2">
        <f>COUNTIF(Scenario4[winner1-ability2],OracleAbilities2Scenario4[[#This Row],[ability]])</f>
        <v>1</v>
      </c>
      <c r="N94" s="13">
        <f>IF(SUM(OracleAbilities2Scenario4[[#This Row],[takes]]) &gt; 0,OracleAbilities2Scenario4[[#This Row],[takes]]/SUM(OracleAbilities2Scenario4[takes]),0)</f>
        <v>0.2</v>
      </c>
      <c r="O94" s="13">
        <f>IF(OracleAbilities2Scenario4[[#This Row],[takes]]&gt;0,OracleAbilities2Scenario4[[#This Row],[wins]]/OracleAbilities2Scenario4[[#This Row],[takes]],0)</f>
        <v>0.14285714285714285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12</v>
      </c>
      <c r="M97" s="1">
        <f>COUNTIF(Scenario4[winner1-ability3],OracleAbilities3Scenario4[[#This Row],[ability]])</f>
        <v>7</v>
      </c>
      <c r="N97" s="14">
        <f>IF(SUM(OracleAbilities3Scenario4[[#This Row],[takes]]) &gt; 0,OracleAbilities3Scenario4[[#This Row],[takes]]/SUM(OracleAbilities3Scenario4[takes]),0)</f>
        <v>0.34285714285714286</v>
      </c>
      <c r="O97" s="14">
        <f>IF(OracleAbilities3Scenario4[[#This Row],[takes]]&gt;0,OracleAbilities3Scenario4[[#This Row],[wins]]/OracleAbilities3Scenario4[[#This Row],[takes]],0)</f>
        <v>0.58333333333333337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21</v>
      </c>
      <c r="M98" s="2">
        <f>COUNTIF(Scenario4[winner1-ability3],OracleAbilities3Scenario4[[#This Row],[ability]])</f>
        <v>5</v>
      </c>
      <c r="N98" s="12">
        <f>IF(SUM(OracleAbilities3Scenario4[[#This Row],[takes]]) &gt; 0,OracleAbilities3Scenario4[[#This Row],[takes]]/SUM(OracleAbilities3Scenario4[takes]),0)</f>
        <v>0.6</v>
      </c>
      <c r="O98" s="12">
        <f>IF(OracleAbilities3Scenario4[[#This Row],[takes]]&gt;0,OracleAbilities3Scenario4[[#This Row],[wins]]/OracleAbilities3Scenario4[[#This Row],[takes]],0)</f>
        <v>0.23809523809523808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2</v>
      </c>
      <c r="M99" s="1">
        <f>COUNTIF(Scenario4[winner1-ability3],OracleAbilities3Scenario4[[#This Row],[ability]])</f>
        <v>1</v>
      </c>
      <c r="N99" s="15">
        <f>IF(SUM(OracleAbilities3Scenario4[[#This Row],[takes]]) &gt; 0,OracleAbilities3Scenario4[[#This Row],[takes]]/SUM(OracleAbilities3Scenario4[takes]),0)</f>
        <v>5.7142857142857141E-2</v>
      </c>
      <c r="O99" s="15">
        <f>IF(OracleAbilities3Scenario4[[#This Row],[takes]]&gt;0,OracleAbilities3Scenario4[[#This Row],[wins]]/OracleAbilities3Scenario4[[#This Row],[takes]],0)</f>
        <v>0.5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29</v>
      </c>
      <c r="M102" s="2">
        <f>COUNTIF(Scenario4[winner1-ability4],OracleAbilities4Scenario4[[#This Row],[ability]])</f>
        <v>11</v>
      </c>
      <c r="N102" s="12">
        <f>IF(SUM(OracleAbilities4Scenario4[[#This Row],[takes]]) &gt; 0,OracleAbilities4Scenario4[[#This Row],[takes]]/SUM(OracleAbilities4Scenario4[takes]),0)</f>
        <v>0.8529411764705882</v>
      </c>
      <c r="O102" s="12">
        <f>IF(OracleAbilities4Scenario4[[#This Row],[takes]]&gt;0,OracleAbilities4Scenario4[[#This Row],[wins]]/OracleAbilities4Scenario4[[#This Row],[takes]],0)</f>
        <v>0.37931034482758619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2</v>
      </c>
      <c r="M103" s="2">
        <f>COUNTIF(Scenario4[winner1-ability4],OracleAbilities4Scenario4[[#This Row],[ability]])</f>
        <v>1</v>
      </c>
      <c r="N103" s="12">
        <f>IF(SUM(OracleAbilities4Scenario4[[#This Row],[takes]]) &gt; 0,OracleAbilities4Scenario4[[#This Row],[takes]]/SUM(OracleAbilities4Scenario4[takes]),0)</f>
        <v>5.8823529411764705E-2</v>
      </c>
      <c r="O103" s="12">
        <f>IF(OracleAbilities4Scenario4[[#This Row],[takes]]&gt;0,OracleAbilities4Scenario4[[#This Row],[wins]]/OracleAbilities4Scenario4[[#This Row],[takes]],0)</f>
        <v>0.5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3</v>
      </c>
      <c r="M104" s="2">
        <f>COUNTIF(Scenario4[winner1-ability4],OracleAbilities4Scenario4[[#This Row],[ability]])</f>
        <v>1</v>
      </c>
      <c r="N104" s="26">
        <f>IF(SUM(OracleAbilities4Scenario4[[#This Row],[takes]]) &gt; 0,OracleAbilities4Scenario4[[#This Row],[takes]]/SUM(OracleAbilities4Scenario4[takes]),0)</f>
        <v>8.8235294117647065E-2</v>
      </c>
      <c r="O104" s="26">
        <f>IF(OracleAbilities4Scenario4[[#This Row],[takes]]&gt;0,OracleAbilities4Scenario4[[#This Row],[wins]]/OracleAbilities4Scenario4[[#This Row],[takes]],0)</f>
        <v>0.33333333333333331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0</v>
      </c>
      <c r="M108">
        <f>COUNTIF(Scenario5[winner1-ability1],OracleAbilities1Scenario5[[#This Row],[ability]])+COUNTIF(Scenario5[winner2-ability1],OracleAbilities1Scenario5[[#This Row],[ability]])</f>
        <v>0</v>
      </c>
      <c r="N108" s="3">
        <f>IF(SUM(OracleAbilities1Scenario5[[#This Row],[takes]]) &gt; 0,OracleAbilities1Scenario5[[#This Row],[takes]]/SUM(OracleAbilities1Scenario5[takes]),0)</f>
        <v>0</v>
      </c>
      <c r="O108" s="3">
        <f>IF(OracleAbilities1Scenario5[[#This Row],[takes]]&gt;0,OracleAbilities1Scenario5[[#This Row],[wins]]/OracleAbilities1Scenario5[[#This Row],[takes]],0)</f>
        <v>0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40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23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77</v>
      </c>
      <c r="M109">
        <f>COUNTIF(Scenario5[winner1-ability1],OracleAbilities1Scenario5[[#This Row],[ability]])+COUNTIF(Scenario5[winner2-ability1],OracleAbilities1Scenario5[[#This Row],[ability]])</f>
        <v>33</v>
      </c>
      <c r="N109" s="3">
        <f>IF(SUM(OracleAbilities1Scenario5[[#This Row],[takes]]) &gt; 0,OracleAbilities1Scenario5[[#This Row],[takes]]/SUM(OracleAbilities1Scenario5[takes]),0)</f>
        <v>0.73333333333333328</v>
      </c>
      <c r="O109" s="3">
        <f>IF(OracleAbilities1Scenario5[[#This Row],[takes]]&gt;0,OracleAbilities1Scenario5[[#This Row],[wins]]/OracleAbilities1Scenario5[[#This Row],[takes]],0)</f>
        <v>0.42857142857142855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45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46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28</v>
      </c>
      <c r="M110">
        <f>COUNTIF(Scenario5[winner1-ability1],OracleAbilities1Scenario5[[#This Row],[ability]])+COUNTIF(Scenario5[winner2-ability1],OracleAbilities1Scenario5[[#This Row],[ability]])</f>
        <v>13</v>
      </c>
      <c r="N110" s="3">
        <f>IF(SUM(OracleAbilities1Scenario5[[#This Row],[takes]]) &gt; 0,OracleAbilities1Scenario5[[#This Row],[takes]]/SUM(OracleAbilities1Scenario5[takes]),0)</f>
        <v>0.26666666666666666</v>
      </c>
      <c r="O110" s="3">
        <f>IF(OracleAbilities1Scenario5[[#This Row],[takes]]&gt;0,OracleAbilities1Scenario5[[#This Row],[wins]]/OracleAbilities1Scenario5[[#This Row],[takes]],0)</f>
        <v>0.4642857142857143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20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36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20</v>
      </c>
      <c r="M113" s="2">
        <f>COUNTIF(Scenario5[winner1-ability2],OracleAbilities2Scenario5[[#This Row],[ability]])+COUNTIF(Scenario5[winner2-ability2],OracleAbilities2Scenario5[[#This Row],[ability]])</f>
        <v>12</v>
      </c>
      <c r="N113" s="12">
        <f>IF(SUM(OracleAbilities2Scenario5[[#This Row],[takes]]) &gt; 0,OracleAbilities2Scenario5[[#This Row],[takes]]/SUM(OracleAbilities2Scenario5[takes]),0)</f>
        <v>0.32786885245901637</v>
      </c>
      <c r="O113" s="12">
        <f>IF(OracleAbilities2Scenario5[[#This Row],[takes]]&gt;0,OracleAbilities2Scenario5[[#This Row],[wins]]/OracleAbilities2Scenario5[[#This Row],[takes]],0)</f>
        <v>0.6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34</v>
      </c>
      <c r="M114" s="2">
        <f>COUNTIF(Scenario5[winner1-ability2],OracleAbilities2Scenario5[[#This Row],[ability]])+COUNTIF(Scenario5[winner2-ability2],OracleAbilities2Scenario5[[#This Row],[ability]])</f>
        <v>20</v>
      </c>
      <c r="N114" s="3">
        <f>IF(SUM(OracleAbilities2Scenario5[[#This Row],[takes]]) &gt; 0,OracleAbilities2Scenario5[[#This Row],[takes]]/SUM(OracleAbilities2Scenario5[takes]),0)</f>
        <v>0.55737704918032782</v>
      </c>
      <c r="O114" s="3">
        <f>IF(OracleAbilities2Scenario5[[#This Row],[takes]]&gt;0,OracleAbilities2Scenario5[[#This Row],[wins]]/OracleAbilities2Scenario5[[#This Row],[takes]],0)</f>
        <v>0.58823529411764708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7</v>
      </c>
      <c r="M115" s="2">
        <f>COUNTIF(Scenario5[winner1-ability2],OracleAbilities2Scenario5[[#This Row],[ability]])+COUNTIF(Scenario5[winner2-ability2],OracleAbilities2Scenario5[[#This Row],[ability]])</f>
        <v>2</v>
      </c>
      <c r="N115" s="13">
        <f>IF(SUM(OracleAbilities2Scenario5[[#This Row],[takes]]) &gt; 0,OracleAbilities2Scenario5[[#This Row],[takes]]/SUM(OracleAbilities2Scenario5[takes]),0)</f>
        <v>0.11475409836065574</v>
      </c>
      <c r="O115" s="13">
        <f>IF(OracleAbilities2Scenario5[[#This Row],[takes]]&gt;0,OracleAbilities2Scenario5[[#This Row],[wins]]/OracleAbilities2Scenario5[[#This Row],[takes]],0)</f>
        <v>0.2857142857142857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30</v>
      </c>
      <c r="M118" s="1">
        <f>COUNTIF(Scenario5[winner1-ability3],OracleAbilities3Scenario5[[#This Row],[ability]])+COUNTIF(Scenario5[winner2-ability3],OracleAbilities3Scenario5[[#This Row],[ability]])</f>
        <v>20</v>
      </c>
      <c r="N118" s="14">
        <f>IF(SUM(OracleAbilities3Scenario5[[#This Row],[takes]]) &gt; 0,OracleAbilities3Scenario5[[#This Row],[takes]]/SUM(OracleAbilities3Scenario5[takes]),0)</f>
        <v>0.65217391304347827</v>
      </c>
      <c r="O118" s="14">
        <f>IF(OracleAbilities3Scenario5[[#This Row],[takes]]&gt;0,OracleAbilities3Scenario5[[#This Row],[wins]]/OracleAbilities3Scenario5[[#This Row],[takes]],0)</f>
        <v>0.66666666666666663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14</v>
      </c>
      <c r="M119" s="2">
        <f>COUNTIF(Scenario5[winner1-ability3],OracleAbilities3Scenario5[[#This Row],[ability]])+COUNTIF(Scenario5[winner2-ability3],OracleAbilities3Scenario5[[#This Row],[ability]])</f>
        <v>7</v>
      </c>
      <c r="N119" s="12">
        <f>IF(SUM(OracleAbilities3Scenario5[[#This Row],[takes]]) &gt; 0,OracleAbilities3Scenario5[[#This Row],[takes]]/SUM(OracleAbilities3Scenario5[takes]),0)</f>
        <v>0.30434782608695654</v>
      </c>
      <c r="O119" s="12">
        <f>IF(OracleAbilities3Scenario5[[#This Row],[takes]]&gt;0,OracleAbilities3Scenario5[[#This Row],[wins]]/OracleAbilities3Scenario5[[#This Row],[takes]],0)</f>
        <v>0.5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2</v>
      </c>
      <c r="M120" s="1">
        <f>COUNTIF(Scenario5[winner1-ability3],OracleAbilities3Scenario5[[#This Row],[ability]])+COUNTIF(Scenario5[winner2-ability3],OracleAbilities3Scenario5[[#This Row],[ability]])</f>
        <v>1</v>
      </c>
      <c r="N120" s="15">
        <f>IF(SUM(OracleAbilities3Scenario5[[#This Row],[takes]]) &gt; 0,OracleAbilities3Scenario5[[#This Row],[takes]]/SUM(OracleAbilities3Scenario5[takes]),0)</f>
        <v>4.3478260869565216E-2</v>
      </c>
      <c r="O120" s="15">
        <f>IF(OracleAbilities3Scenario5[[#This Row],[takes]]&gt;0,OracleAbilities3Scenario5[[#This Row],[wins]]/OracleAbilities3Scenario5[[#This Row],[takes]],0)</f>
        <v>0.5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15</v>
      </c>
      <c r="M123" s="2">
        <f>COUNTIF(Scenario5[winner1-ability4],OracleAbilities4Scenario5[[#This Row],[ability]])+COUNTIF(Scenario5[winner2-ability4],OracleAbilities4Scenario5[[#This Row],[ability]])</f>
        <v>9</v>
      </c>
      <c r="N123" s="12">
        <f>IF(SUM(OracleAbilities4Scenario5[[#This Row],[takes]]) &gt; 0,OracleAbilities4Scenario5[[#This Row],[takes]]/SUM(OracleAbilities4Scenario5[takes]),0)</f>
        <v>0.51724137931034486</v>
      </c>
      <c r="O123" s="12">
        <f>IF(OracleAbilities4Scenario5[[#This Row],[takes]]&gt;0,OracleAbilities4Scenario5[[#This Row],[wins]]/OracleAbilities4Scenario5[[#This Row],[takes]],0)</f>
        <v>0.6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</v>
      </c>
      <c r="M124" s="2">
        <f>COUNTIF(Scenario5[winner1-ability4],OracleAbilities4Scenario5[[#This Row],[ability]])+COUNTIF(Scenario5[winner2-ability4],OracleAbilities4Scenario5[[#This Row],[ability]])</f>
        <v>1</v>
      </c>
      <c r="N124" s="12">
        <f>IF(SUM(OracleAbilities4Scenario5[[#This Row],[takes]]) &gt; 0,OracleAbilities4Scenario5[[#This Row],[takes]]/SUM(OracleAbilities4Scenario5[takes]),0)</f>
        <v>3.4482758620689655E-2</v>
      </c>
      <c r="O124" s="12">
        <f>IF(OracleAbilities4Scenario5[[#This Row],[takes]]&gt;0,OracleAbilities4Scenario5[[#This Row],[wins]]/OracleAbilities4Scenario5[[#This Row],[takes]],0)</f>
        <v>1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13</v>
      </c>
      <c r="M125" s="2">
        <f>COUNTIF(Scenario5[winner1-ability4],OracleAbilities4Scenario5[[#This Row],[ability]])+COUNTIF(Scenario5[winner2-ability4],OracleAbilities4Scenario5[[#This Row],[ability]])</f>
        <v>8</v>
      </c>
      <c r="N125" s="26">
        <f>IF(SUM(OracleAbilities4Scenario5[[#This Row],[takes]]) &gt; 0,OracleAbilities4Scenario5[[#This Row],[takes]]/SUM(OracleAbilities4Scenario5[takes]),0)</f>
        <v>0.44827586206896552</v>
      </c>
      <c r="O125" s="26">
        <f>IF(OracleAbilities4Scenario5[[#This Row],[takes]]&gt;0,OracleAbilities4Scenario5[[#This Row],[wins]]/OracleAbilities4Scenario5[[#This Row],[takes]],0)</f>
        <v>0.61538461538461542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E26" sqref="E26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0.35064935064935066</v>
      </c>
    </row>
    <row r="3" spans="1:22" x14ac:dyDescent="0.25">
      <c r="A3" t="s">
        <v>44</v>
      </c>
      <c r="B3">
        <f>L3+L24+L45+L66+L87+L108</f>
        <v>190</v>
      </c>
      <c r="C3">
        <f>M3+M24+M45+M66+M87+M108</f>
        <v>87</v>
      </c>
      <c r="D3" s="3">
        <f>IF(SUM(AvatarAbilities1[[#This Row],[takes]]) &gt; 0,AvatarAbilities1[[#This Row],[takes]]/SUM(AvatarAbilities1[takes]),0)</f>
        <v>0.4935064935064935</v>
      </c>
      <c r="E3" s="3">
        <f>IF(AvatarAbilities1[[#This Row],[takes]]&gt;0,AvatarAbilities1[[#This Row],[wins]]/AvatarAbilities1[[#This Row],[takes]],0)</f>
        <v>0.45789473684210524</v>
      </c>
      <c r="G3">
        <v>1</v>
      </c>
      <c r="H3">
        <f>R3+R24+R45+R66+R87+R108</f>
        <v>116</v>
      </c>
      <c r="I3" s="18">
        <f>S3+S24+S45+S66+S87+S108</f>
        <v>261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47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79</v>
      </c>
      <c r="U3" t="s">
        <v>200</v>
      </c>
      <c r="V3" s="16">
        <f>H5/SUM(AvatarEquip[bracers])</f>
        <v>0.34805194805194806</v>
      </c>
    </row>
    <row r="4" spans="1:22" x14ac:dyDescent="0.25">
      <c r="A4" t="s">
        <v>135</v>
      </c>
      <c r="B4">
        <f t="shared" ref="B4:B5" si="0">L4+L25+L46+L67+L88+L109</f>
        <v>130</v>
      </c>
      <c r="C4">
        <f t="shared" ref="C4:C5" si="1">M4+M25+M46+M67+M88+M109</f>
        <v>65</v>
      </c>
      <c r="D4" s="3">
        <f>IF(SUM(AvatarAbilities1[[#This Row],[takes]]) &gt; 0,AvatarAbilities1[[#This Row],[takes]]/SUM(AvatarAbilities1[takes]),0)</f>
        <v>0.33766233766233766</v>
      </c>
      <c r="E4" s="3">
        <f>IF(AvatarAbilities1[[#This Row],[takes]]&gt;0,AvatarAbilities1[[#This Row],[wins]]/AvatarAbilities1[[#This Row],[takes]],0)</f>
        <v>0.5</v>
      </c>
      <c r="G4">
        <v>2</v>
      </c>
      <c r="H4">
        <f t="shared" ref="H4:H5" si="2">R4+R25+R46+R67+R88+R109</f>
        <v>135</v>
      </c>
      <c r="I4" s="18">
        <f t="shared" ref="I4:I5" si="3">S4+S25+S46+S67+S88+S109</f>
        <v>56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101</v>
      </c>
      <c r="M4">
        <f>COUNTIF(Scenario0[winner1-ability1],AvatarAbilities1Scenario0[[#This Row],[ability]])+COUNTIF(Scenario0[winner2-ability1],AvatarAbilities1Scenario0[[#This Row],[ability]])</f>
        <v>52</v>
      </c>
      <c r="N4" s="3">
        <f>IF(SUM(AvatarAbilities1Scenario0[[#This Row],[takes]]) &gt; 0,AvatarAbilities1Scenario0[[#This Row],[takes]]/SUM(AvatarAbilities1Scenario0[takes]),0)</f>
        <v>0.96190476190476193</v>
      </c>
      <c r="O4" s="3">
        <f>IF(AvatarAbilities1Scenario0[[#This Row],[takes]]&gt;0,AvatarAbilities1Scenario0[[#This Row],[wins]]/AvatarAbilities1Scenario0[[#This Row],[takes]],0)</f>
        <v>0.51485148514851486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40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15</v>
      </c>
      <c r="U4" t="s">
        <v>179</v>
      </c>
      <c r="V4" s="3">
        <f>AvatarEquip[[#This Row],[chestpiece]]/SUM(AvatarEquip[chestpiece])</f>
        <v>0.14545454545454545</v>
      </c>
    </row>
    <row r="5" spans="1:22" x14ac:dyDescent="0.25">
      <c r="A5" t="s">
        <v>73</v>
      </c>
      <c r="B5">
        <f t="shared" si="0"/>
        <v>65</v>
      </c>
      <c r="C5">
        <f t="shared" si="1"/>
        <v>28</v>
      </c>
      <c r="D5" s="3">
        <f>IF(SUM(AvatarAbilities1[[#This Row],[takes]]) &gt; 0,AvatarAbilities1[[#This Row],[takes]]/SUM(AvatarAbilities1[takes]),0)</f>
        <v>0.16883116883116883</v>
      </c>
      <c r="E5" s="3">
        <f>IF(AvatarAbilities1[[#This Row],[takes]]&gt;0,AvatarAbilities1[[#This Row],[wins]]/AvatarAbilities1[[#This Row],[takes]],0)</f>
        <v>0.43076923076923079</v>
      </c>
      <c r="G5">
        <v>3</v>
      </c>
      <c r="H5">
        <f t="shared" si="2"/>
        <v>134</v>
      </c>
      <c r="I5" s="18">
        <f t="shared" si="3"/>
        <v>68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4</v>
      </c>
      <c r="M5">
        <f>COUNTIF(Scenario0[winner1-ability1],AvatarAbilities1Scenario0[[#This Row],[ability]])+COUNTIF(Scenario0[winner2-ability1],AvatarAbilities1Scenario0[[#This Row],[ability]])</f>
        <v>2</v>
      </c>
      <c r="N5" s="3">
        <f>IF(SUM(AvatarAbilities1Scenario0[[#This Row],[takes]]) &gt; 0,AvatarAbilities1Scenario0[[#This Row],[takes]]/SUM(AvatarAbilities1Scenario0[takes]),0)</f>
        <v>3.8095238095238099E-2</v>
      </c>
      <c r="O5" s="3">
        <f>IF(AvatarAbilities1Scenario0[[#This Row],[takes]]&gt;0,AvatarAbilities1Scenario0[[#This Row],[wins]]/AvatarAbilities1Scenario0[[#This Row],[takes]],0)</f>
        <v>0.5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18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11</v>
      </c>
      <c r="U5" t="s">
        <v>180</v>
      </c>
      <c r="V5" s="16">
        <f>AvatarEquip[[#This Row],[chestpiece]]/SUM(AvatarEquip[chestpiece])</f>
        <v>0.17662337662337663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0.81818181818181823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0.51948051948051943</v>
      </c>
    </row>
    <row r="8" spans="1:22" x14ac:dyDescent="0.25">
      <c r="A8" s="2" t="s">
        <v>74</v>
      </c>
      <c r="B8" s="2">
        <f>L8+L29+L50+L71+L92+L113</f>
        <v>97</v>
      </c>
      <c r="C8" s="2">
        <f>M8+M29+M50+M71+M92+M113</f>
        <v>55</v>
      </c>
      <c r="D8" s="12">
        <f>IF(SUM(AvatarAbilities2[[#This Row],[takes]]) &gt; 0,AvatarAbilities2[[#This Row],[takes]]/SUM(AvatarAbilities2[takes]),0)</f>
        <v>0.30793650793650795</v>
      </c>
      <c r="E8" s="12">
        <f>IF(AvatarAbilities2[[#This Row],[takes]]&gt;0,AvatarAbilities2[[#This Row],[wins]]/AvatarAbilities2[[#This Row],[takes]],0)</f>
        <v>0.5670103092783505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39</v>
      </c>
      <c r="M8" s="2">
        <f>COUNTIF(Scenario0[winner1-ability2],AvatarAbilities2Scenario0[[#This Row],[ability]])+COUNTIF(Scenario0[winner2-ability2],AvatarAbilities2Scenario0[[#This Row],[ability]])</f>
        <v>29</v>
      </c>
      <c r="N8" s="12">
        <f>IF(SUM(AvatarAbilities2Scenario0[[#This Row],[takes]]) &gt; 0,AvatarAbilities2Scenario0[[#This Row],[takes]]/SUM(AvatarAbilities2Scenario0[takes]),0)</f>
        <v>0.46987951807228917</v>
      </c>
      <c r="O8" s="12">
        <f>IF(AvatarAbilities2Scenario0[[#This Row],[takes]]&gt;0,AvatarAbilities2Scenario0[[#This Row],[wins]]/AvatarAbilities2Scenario0[[#This Row],[takes]],0)</f>
        <v>0.74358974358974361</v>
      </c>
      <c r="S8" s="18"/>
      <c r="U8" t="s">
        <v>178</v>
      </c>
      <c r="V8" s="16">
        <f>SUM(AvatarAbilities4[takes])/SUM(AvatarAbilities1[takes])</f>
        <v>0.29350649350649349</v>
      </c>
    </row>
    <row r="9" spans="1:22" x14ac:dyDescent="0.25">
      <c r="A9" t="s">
        <v>136</v>
      </c>
      <c r="B9" s="2">
        <f t="shared" ref="B9:B10" si="4">L9+L30+L51+L72+L93+L114</f>
        <v>129</v>
      </c>
      <c r="C9" s="2">
        <f t="shared" ref="C9:C10" si="5">M9+M30+M51+M72+M93+M114</f>
        <v>52</v>
      </c>
      <c r="D9" s="3">
        <f>IF(SUM(AvatarAbilities2[[#This Row],[takes]]) &gt; 0,AvatarAbilities2[[#This Row],[takes]]/SUM(AvatarAbilities2[takes]),0)</f>
        <v>0.40952380952380951</v>
      </c>
      <c r="E9" s="3">
        <f>IF(AvatarAbilities2[[#This Row],[takes]]&gt;0,AvatarAbilities2[[#This Row],[wins]]/AvatarAbilities2[[#This Row],[takes]],0)</f>
        <v>0.40310077519379844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20</v>
      </c>
      <c r="M9" s="2">
        <f>COUNTIF(Scenario0[winner1-ability2],AvatarAbilities2Scenario0[[#This Row],[ability]])+COUNTIF(Scenario0[winner2-ability2],AvatarAbilities2Scenario0[[#This Row],[ability]])</f>
        <v>6</v>
      </c>
      <c r="N9" s="3">
        <f>IF(SUM(AvatarAbilities2Scenario0[[#This Row],[takes]]) &gt; 0,AvatarAbilities2Scenario0[[#This Row],[takes]]/SUM(AvatarAbilities2Scenario0[takes]),0)</f>
        <v>0.24096385542168675</v>
      </c>
      <c r="O9" s="3">
        <f>IF(AvatarAbilities2Scenario0[[#This Row],[takes]]&gt;0,AvatarAbilities2Scenario0[[#This Row],[wins]]/AvatarAbilities2Scenario0[[#This Row],[takes]],0)</f>
        <v>0.3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2.6519480519480521</v>
      </c>
    </row>
    <row r="10" spans="1:22" x14ac:dyDescent="0.25">
      <c r="A10" s="10" t="s">
        <v>99</v>
      </c>
      <c r="B10" s="2">
        <f t="shared" si="4"/>
        <v>89</v>
      </c>
      <c r="C10" s="2">
        <f t="shared" si="5"/>
        <v>50</v>
      </c>
      <c r="D10" s="13">
        <f>IF(SUM(AvatarAbilities2[[#This Row],[takes]]) &gt; 0,AvatarAbilities2[[#This Row],[takes]]/SUM(AvatarAbilities2[takes]),0)</f>
        <v>0.28253968253968254</v>
      </c>
      <c r="E10" s="13">
        <f>IF(AvatarAbilities2[[#This Row],[takes]]&gt;0,AvatarAbilities2[[#This Row],[wins]]/AvatarAbilities2[[#This Row],[takes]],0)</f>
        <v>0.5617977528089888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24</v>
      </c>
      <c r="M10" s="2">
        <f>COUNTIF(Scenario0[winner1-ability2],AvatarAbilities2Scenario0[[#This Row],[ability]])+COUNTIF(Scenario0[winner2-ability2],AvatarAbilities2Scenario0[[#This Row],[ability]])</f>
        <v>14</v>
      </c>
      <c r="N10" s="13">
        <f>IF(SUM(AvatarAbilities2Scenario0[[#This Row],[takes]]) &gt; 0,AvatarAbilities2Scenario0[[#This Row],[takes]]/SUM(AvatarAbilities2Scenario0[takes]),0)</f>
        <v>0.28915662650602408</v>
      </c>
      <c r="O10" s="13">
        <f>IF(AvatarAbilities2Scenario0[[#This Row],[takes]]&gt;0,AvatarAbilities2Scenario0[[#This Row],[wins]]/AvatarAbilities2Scenario0[[#This Row],[takes]],0)</f>
        <v>0.58333333333333337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87</v>
      </c>
      <c r="C13" s="1">
        <f>M13+M34+M55+M76+M97+M118</f>
        <v>54</v>
      </c>
      <c r="D13" s="14">
        <f>IF(SUM(AvatarAbilities3[[#This Row],[takes]]) &gt; 0,AvatarAbilities3[[#This Row],[takes]]/SUM(AvatarAbilities3[takes]),0)</f>
        <v>0.435</v>
      </c>
      <c r="E13" s="14">
        <f>IF(AvatarAbilities3[[#This Row],[takes]]&gt;0,AvatarAbilities3[[#This Row],[wins]]/AvatarAbilities3[[#This Row],[takes]],0)</f>
        <v>0.62068965517241381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16</v>
      </c>
      <c r="M13" s="1">
        <f>COUNTIF(Scenario0[winner1-ability3],AvatarAbilities3Scenario0[[#This Row],[ability]])+COUNTIF(Scenario0[winner2-ability3],AvatarAbilities3Scenario0[[#This Row],[ability]])</f>
        <v>13</v>
      </c>
      <c r="N13" s="14">
        <f>IF(SUM(AvatarAbilities3Scenario0[[#This Row],[takes]]) &gt; 0,AvatarAbilities3Scenario0[[#This Row],[takes]]/SUM(AvatarAbilities3Scenario0[takes]),0)</f>
        <v>0.43243243243243246</v>
      </c>
      <c r="O13" s="14">
        <f>IF(AvatarAbilities3Scenario0[[#This Row],[takes]]&gt;0,AvatarAbilities3Scenario0[[#This Row],[wins]]/AvatarAbilities3Scenario0[[#This Row],[takes]],0)</f>
        <v>0.8125</v>
      </c>
      <c r="S13" s="18"/>
    </row>
    <row r="14" spans="1:22" x14ac:dyDescent="0.25">
      <c r="A14" s="2" t="s">
        <v>100</v>
      </c>
      <c r="B14" s="2">
        <f t="shared" ref="B14:B15" si="6">L14+L35+L56+L77+L98+L119</f>
        <v>41</v>
      </c>
      <c r="C14" s="2">
        <f t="shared" ref="C14:C15" si="7">M14+M35+M56+M77+M98+M119</f>
        <v>14</v>
      </c>
      <c r="D14" s="12">
        <f>IF(SUM(AvatarAbilities3[[#This Row],[takes]]) &gt; 0,AvatarAbilities3[[#This Row],[takes]]/SUM(AvatarAbilities3[takes]),0)</f>
        <v>0.20499999999999999</v>
      </c>
      <c r="E14" s="12">
        <f>IF(AvatarAbilities3[[#This Row],[takes]]&gt;0,AvatarAbilities3[[#This Row],[wins]]/AvatarAbilities3[[#This Row],[takes]],0)</f>
        <v>0.34146341463414637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6</v>
      </c>
      <c r="M14" s="2">
        <f>COUNTIF(Scenario0[winner1-ability3],AvatarAbilities3Scenario0[[#This Row],[ability]])+COUNTIF(Scenario0[winner2-ability3],AvatarAbilities3Scenario0[[#This Row],[ability]])</f>
        <v>5</v>
      </c>
      <c r="N14" s="12">
        <f>IF(SUM(AvatarAbilities3Scenario0[[#This Row],[takes]]) &gt; 0,AvatarAbilities3Scenario0[[#This Row],[takes]]/SUM(AvatarAbilities3Scenario0[takes]),0)</f>
        <v>0.16216216216216217</v>
      </c>
      <c r="O14" s="12">
        <f>IF(AvatarAbilities3Scenario0[[#This Row],[takes]]&gt;0,AvatarAbilities3Scenario0[[#This Row],[wins]]/AvatarAbilities3Scenario0[[#This Row],[takes]],0)</f>
        <v>0.83333333333333337</v>
      </c>
      <c r="S14" s="18"/>
    </row>
    <row r="15" spans="1:22" x14ac:dyDescent="0.25">
      <c r="A15" s="11" t="s">
        <v>75</v>
      </c>
      <c r="B15" s="1">
        <f t="shared" si="6"/>
        <v>72</v>
      </c>
      <c r="C15" s="1">
        <f t="shared" si="7"/>
        <v>41</v>
      </c>
      <c r="D15" s="15">
        <f>IF(SUM(AvatarAbilities3[[#This Row],[takes]]) &gt; 0,AvatarAbilities3[[#This Row],[takes]]/SUM(AvatarAbilities3[takes]),0)</f>
        <v>0.36</v>
      </c>
      <c r="E15" s="15">
        <f>IF(AvatarAbilities3[[#This Row],[takes]]&gt;0,AvatarAbilities3[[#This Row],[wins]]/AvatarAbilities3[[#This Row],[takes]],0)</f>
        <v>0.56944444444444442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15</v>
      </c>
      <c r="M15" s="1">
        <f>COUNTIF(Scenario0[winner1-ability3],AvatarAbilities3Scenario0[[#This Row],[ability]])+COUNTIF(Scenario0[winner2-ability3],AvatarAbilities3Scenario0[[#This Row],[ability]])</f>
        <v>12</v>
      </c>
      <c r="N15" s="15">
        <f>IF(SUM(AvatarAbilities3Scenario0[[#This Row],[takes]]) &gt; 0,AvatarAbilities3Scenario0[[#This Row],[takes]]/SUM(AvatarAbilities3Scenario0[takes]),0)</f>
        <v>0.40540540540540543</v>
      </c>
      <c r="O15" s="15">
        <f>IF(AvatarAbilities3Scenario0[[#This Row],[takes]]&gt;0,AvatarAbilities3Scenario0[[#This Row],[wins]]/AvatarAbilities3Scenario0[[#This Row],[takes]],0)</f>
        <v>0.8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34</v>
      </c>
      <c r="C18" s="2">
        <f>M18+M39+M60+M81+M102+M123</f>
        <v>20</v>
      </c>
      <c r="D18" s="12">
        <f>IF(SUM(AvatarAbilities4[[#This Row],[takes]]) &gt; 0,AvatarAbilities4[[#This Row],[takes]]/SUM(AvatarAbilities4[takes]),0)</f>
        <v>0.30088495575221241</v>
      </c>
      <c r="E18" s="12">
        <f>IF(AvatarAbilities4[[#This Row],[takes]]&gt;0,AvatarAbilities4[[#This Row],[wins]]/AvatarAbilities4[[#This Row],[takes]],0)</f>
        <v>0.58823529411764708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5</v>
      </c>
      <c r="M18" s="2">
        <f>COUNTIF(Scenario0[winner1-ability4],AvatarAbilities4Scenario0[[#This Row],[ability]])+COUNTIF(Scenario0[winner2-ability4],AvatarAbilities4Scenario0[[#This Row],[ability]])</f>
        <v>5</v>
      </c>
      <c r="N18" s="12">
        <f>IF(SUM(AvatarAbilities4Scenario0[[#This Row],[takes]]) &gt; 0,AvatarAbilities4Scenario0[[#This Row],[takes]]/SUM(AvatarAbilities4Scenario0[takes]),0)</f>
        <v>0.38461538461538464</v>
      </c>
      <c r="O18" s="12">
        <f>IF(AvatarAbilities4Scenario0[[#This Row],[takes]]&gt;0,AvatarAbilities4Scenario0[[#This Row],[wins]]/AvatarAbilities4Scenario0[[#This Row],[takes]],0)</f>
        <v>1</v>
      </c>
      <c r="S18" s="18"/>
    </row>
    <row r="19" spans="1:20" x14ac:dyDescent="0.25">
      <c r="A19" s="2" t="s">
        <v>101</v>
      </c>
      <c r="B19" s="2">
        <f t="shared" ref="B19:B20" si="8">L19+L40+L61+L82+L103+L124</f>
        <v>38</v>
      </c>
      <c r="C19" s="2">
        <f t="shared" ref="C19:C20" si="9">M19+M40+M61+M82+M103+M124</f>
        <v>19</v>
      </c>
      <c r="D19" s="12">
        <f>IF(SUM(AvatarAbilities4[[#This Row],[takes]]) &gt; 0,AvatarAbilities4[[#This Row],[takes]]/SUM(AvatarAbilities4[takes]),0)</f>
        <v>0.33628318584070799</v>
      </c>
      <c r="E19" s="12">
        <f>IF(AvatarAbilities4[[#This Row],[takes]]&gt;0,AvatarAbilities4[[#This Row],[wins]]/AvatarAbilities4[[#This Row],[takes]],0)</f>
        <v>0.5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6</v>
      </c>
      <c r="M19" s="2">
        <f>COUNTIF(Scenario0[winner1-ability4],AvatarAbilities4Scenario0[[#This Row],[ability]])+COUNTIF(Scenario0[winner2-ability4],AvatarAbilities4Scenario0[[#This Row],[ability]])</f>
        <v>6</v>
      </c>
      <c r="N19" s="12">
        <f>IF(SUM(AvatarAbilities4Scenario0[[#This Row],[takes]]) &gt; 0,AvatarAbilities4Scenario0[[#This Row],[takes]]/SUM(AvatarAbilities4Scenario0[takes]),0)</f>
        <v>0.46153846153846156</v>
      </c>
      <c r="O19" s="12">
        <f>IF(AvatarAbilities4Scenario0[[#This Row],[takes]]&gt;0,AvatarAbilities4Scenario0[[#This Row],[wins]]/AvatarAbilities4Scenario0[[#This Row],[takes]],0)</f>
        <v>1</v>
      </c>
      <c r="S19" s="18"/>
    </row>
    <row r="20" spans="1:20" ht="15.75" thickBot="1" x14ac:dyDescent="0.3">
      <c r="A20" s="10" t="s">
        <v>139</v>
      </c>
      <c r="B20" s="2">
        <f t="shared" si="8"/>
        <v>41</v>
      </c>
      <c r="C20" s="2">
        <f t="shared" si="9"/>
        <v>17</v>
      </c>
      <c r="D20" s="26">
        <f>IF(SUM(AvatarAbilities4[[#This Row],[takes]]) &gt; 0,AvatarAbilities4[[#This Row],[takes]]/SUM(AvatarAbilities4[takes]),0)</f>
        <v>0.36283185840707965</v>
      </c>
      <c r="E20" s="26">
        <f>IF(AvatarAbilities4[[#This Row],[takes]]&gt;0,AvatarAbilities4[[#This Row],[wins]]/AvatarAbilities4[[#This Row],[takes]],0)</f>
        <v>0.41463414634146339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2</v>
      </c>
      <c r="M20" s="25">
        <f>COUNTIF(Scenario0[winner1-ability4],AvatarAbilities4Scenario0[[#This Row],[ability]])+COUNTIF(Scenario0[winner2-ability4],AvatarAbilities4Scenario0[[#This Row],[ability]])</f>
        <v>1</v>
      </c>
      <c r="N20" s="26">
        <f>IF(SUM(AvatarAbilities4Scenario0[[#This Row],[takes]]) &gt; 0,AvatarAbilities4Scenario0[[#This Row],[takes]]/SUM(AvatarAbilities4Scenario0[takes]),0)</f>
        <v>0.15384615384615385</v>
      </c>
      <c r="O20" s="26">
        <f>IF(AvatarAbilities4Scenario0[[#This Row],[takes]]&gt;0,AvatarAbilities4Scenario0[[#This Row],[wins]]/AvatarAbilities4Scenario0[[#This Row],[takes]],0)</f>
        <v>0.5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55</v>
      </c>
      <c r="M24">
        <f>COUNTIF(Scenario1[winner1-ability1],AvatarAbilities1Scenario1[[#This Row],[ability]])+COUNTIF(Scenario1[winner2-ability1],AvatarAbilities1Scenario1[[#This Row],[ability]])</f>
        <v>28</v>
      </c>
      <c r="N24" s="3">
        <f>IF(SUM(AvatarAbilities1Scenario1[[#This Row],[takes]]) &gt; 0,AvatarAbilities1Scenario1[[#This Row],[takes]]/SUM(AvatarAbilities1Scenario1[takes]),0)</f>
        <v>0.52380952380952384</v>
      </c>
      <c r="O24" s="3">
        <f>IF(AvatarAbilities1Scenario1[[#This Row],[takes]]&gt;0,AvatarAbilities1Scenario1[[#This Row],[wins]]/AvatarAbilities1Scenario1[[#This Row],[takes]],0)</f>
        <v>0.50909090909090904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28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80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8</v>
      </c>
      <c r="M25">
        <f>COUNTIF(Scenario1[winner1-ability1],AvatarAbilities1Scenario1[[#This Row],[ability]])+COUNTIF(Scenario1[winner2-ability1],AvatarAbilities1Scenario1[[#This Row],[ability]])</f>
        <v>7</v>
      </c>
      <c r="N25" s="3">
        <f>IF(SUM(AvatarAbilities1Scenario1[[#This Row],[takes]]) &gt; 0,AvatarAbilities1Scenario1[[#This Row],[takes]]/SUM(AvatarAbilities1Scenario1[takes]),0)</f>
        <v>7.6190476190476197E-2</v>
      </c>
      <c r="O25" s="3">
        <f>IF(AvatarAbilities1Scenario1[[#This Row],[takes]]&gt;0,AvatarAbilities1Scenario1[[#This Row],[wins]]/AvatarAbilities1Scenario1[[#This Row],[takes]],0)</f>
        <v>0.875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49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18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42</v>
      </c>
      <c r="M26">
        <f>COUNTIF(Scenario1[winner1-ability1],AvatarAbilities1Scenario1[[#This Row],[ability]])+COUNTIF(Scenario1[winner2-ability1],AvatarAbilities1Scenario1[[#This Row],[ability]])</f>
        <v>19</v>
      </c>
      <c r="N26" s="3">
        <f>IF(SUM(AvatarAbilities1Scenario1[[#This Row],[takes]]) &gt; 0,AvatarAbilities1Scenario1[[#This Row],[takes]]/SUM(AvatarAbilities1Scenario1[takes]),0)</f>
        <v>0.4</v>
      </c>
      <c r="O26" s="3">
        <f>IF(AvatarAbilities1Scenario1[[#This Row],[takes]]&gt;0,AvatarAbilities1Scenario1[[#This Row],[wins]]/AvatarAbilities1Scenario1[[#This Row],[takes]],0)</f>
        <v>0.45238095238095238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28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7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33</v>
      </c>
      <c r="M29" s="2">
        <f>COUNTIF(Scenario1[winner1-ability2],AvatarAbilities2Scenario1[[#This Row],[ability]])+COUNTIF(Scenario1[winner2-ability2],AvatarAbilities2Scenario1[[#This Row],[ability]])</f>
        <v>19</v>
      </c>
      <c r="N29" s="12">
        <f>IF(SUM(AvatarAbilities2Scenario1[[#This Row],[takes]]) &gt; 0,AvatarAbilities2Scenario1[[#This Row],[takes]]/SUM(AvatarAbilities2Scenario1[takes]),0)</f>
        <v>0.44</v>
      </c>
      <c r="O29" s="12">
        <f>IF(AvatarAbilities2Scenario1[[#This Row],[takes]]&gt;0,AvatarAbilities2Scenario1[[#This Row],[wins]]/AvatarAbilities2Scenario1[[#This Row],[takes]],0)</f>
        <v>0.5757575757575758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14</v>
      </c>
      <c r="M30" s="2">
        <f>COUNTIF(Scenario1[winner1-ability2],AvatarAbilities2Scenario1[[#This Row],[ability]])+COUNTIF(Scenario1[winner2-ability2],AvatarAbilities2Scenario1[[#This Row],[ability]])</f>
        <v>7</v>
      </c>
      <c r="N30" s="3">
        <f>IF(SUM(AvatarAbilities2Scenario1[[#This Row],[takes]]) &gt; 0,AvatarAbilities2Scenario1[[#This Row],[takes]]/SUM(AvatarAbilities2Scenario1[takes]),0)</f>
        <v>0.18666666666666668</v>
      </c>
      <c r="O30" s="3">
        <f>IF(AvatarAbilities2Scenario1[[#This Row],[takes]]&gt;0,AvatarAbilities2Scenario1[[#This Row],[wins]]/AvatarAbilities2Scenario1[[#This Row],[takes]],0)</f>
        <v>0.5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28</v>
      </c>
      <c r="M31" s="2">
        <f>COUNTIF(Scenario1[winner1-ability2],AvatarAbilities2Scenario1[[#This Row],[ability]])+COUNTIF(Scenario1[winner2-ability2],AvatarAbilities2Scenario1[[#This Row],[ability]])</f>
        <v>16</v>
      </c>
      <c r="N31" s="13">
        <f>IF(SUM(AvatarAbilities2Scenario1[[#This Row],[takes]]) &gt; 0,AvatarAbilities2Scenario1[[#This Row],[takes]]/SUM(AvatarAbilities2Scenario1[takes]),0)</f>
        <v>0.37333333333333335</v>
      </c>
      <c r="O31" s="13">
        <f>IF(AvatarAbilities2Scenario1[[#This Row],[takes]]&gt;0,AvatarAbilities2Scenario1[[#This Row],[wins]]/AvatarAbilities2Scenario1[[#This Row],[takes]],0)</f>
        <v>0.5714285714285714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9</v>
      </c>
      <c r="M34" s="1">
        <f>COUNTIF(Scenario1[winner1-ability3],AvatarAbilities3Scenario1[[#This Row],[ability]])+COUNTIF(Scenario1[winner2-ability3],AvatarAbilities3Scenario1[[#This Row],[ability]])</f>
        <v>8</v>
      </c>
      <c r="N34" s="14">
        <f>IF(SUM(AvatarAbilities3Scenario1[[#This Row],[takes]]) &gt; 0,AvatarAbilities3Scenario1[[#This Row],[takes]]/SUM(AvatarAbilities3Scenario1[takes]),0)</f>
        <v>0.25</v>
      </c>
      <c r="O34" s="14">
        <f>IF(AvatarAbilities3Scenario1[[#This Row],[takes]]&gt;0,AvatarAbilities3Scenario1[[#This Row],[wins]]/AvatarAbilities3Scenario1[[#This Row],[takes]],0)</f>
        <v>0.88888888888888884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11</v>
      </c>
      <c r="M35" s="2">
        <f>COUNTIF(Scenario1[winner1-ability3],AvatarAbilities3Scenario1[[#This Row],[ability]])+COUNTIF(Scenario1[winner2-ability3],AvatarAbilities3Scenario1[[#This Row],[ability]])</f>
        <v>6</v>
      </c>
      <c r="N35" s="12">
        <f>IF(SUM(AvatarAbilities3Scenario1[[#This Row],[takes]]) &gt; 0,AvatarAbilities3Scenario1[[#This Row],[takes]]/SUM(AvatarAbilities3Scenario1[takes]),0)</f>
        <v>0.30555555555555558</v>
      </c>
      <c r="O35" s="12">
        <f>IF(AvatarAbilities3Scenario1[[#This Row],[takes]]&gt;0,AvatarAbilities3Scenario1[[#This Row],[wins]]/AvatarAbilities3Scenario1[[#This Row],[takes]],0)</f>
        <v>0.54545454545454541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16</v>
      </c>
      <c r="M36" s="1">
        <f>COUNTIF(Scenario1[winner1-ability3],AvatarAbilities3Scenario1[[#This Row],[ability]])+COUNTIF(Scenario1[winner2-ability3],AvatarAbilities3Scenario1[[#This Row],[ability]])</f>
        <v>8</v>
      </c>
      <c r="N36" s="15">
        <f>IF(SUM(AvatarAbilities3Scenario1[[#This Row],[takes]]) &gt; 0,AvatarAbilities3Scenario1[[#This Row],[takes]]/SUM(AvatarAbilities3Scenario1[takes]),0)</f>
        <v>0.44444444444444442</v>
      </c>
      <c r="O36" s="15">
        <f>IF(AvatarAbilities3Scenario1[[#This Row],[takes]]&gt;0,AvatarAbilities3Scenario1[[#This Row],[wins]]/AvatarAbilities3Scenario1[[#This Row],[takes]],0)</f>
        <v>0.5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</v>
      </c>
      <c r="M39" s="2">
        <f>COUNTIF(Scenario1[winner1-ability4],AvatarAbilities4Scenario1[[#This Row],[ability]])+COUNTIF(Scenario1[winner2-ability4],AvatarAbilities4Scenario1[[#This Row],[ability]])</f>
        <v>1</v>
      </c>
      <c r="N39" s="12">
        <f>IF(SUM(AvatarAbilities4Scenario1[[#This Row],[takes]]) &gt; 0,AvatarAbilities4Scenario1[[#This Row],[takes]]/SUM(AvatarAbilities4Scenario1[takes]),0)</f>
        <v>7.1428571428571425E-2</v>
      </c>
      <c r="O39" s="12">
        <f>IF(AvatarAbilities4Scenario1[[#This Row],[takes]]&gt;0,AvatarAbilities4Scenario1[[#This Row],[wins]]/AvatarAbilities4Scenario1[[#This Row],[takes]],0)</f>
        <v>1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8</v>
      </c>
      <c r="M40" s="2">
        <f>COUNTIF(Scenario1[winner1-ability4],AvatarAbilities4Scenario1[[#This Row],[ability]])+COUNTIF(Scenario1[winner2-ability4],AvatarAbilities4Scenario1[[#This Row],[ability]])</f>
        <v>2</v>
      </c>
      <c r="N40" s="12">
        <f>IF(SUM(AvatarAbilities4Scenario1[[#This Row],[takes]]) &gt; 0,AvatarAbilities4Scenario1[[#This Row],[takes]]/SUM(AvatarAbilities4Scenario1[takes]),0)</f>
        <v>0.5714285714285714</v>
      </c>
      <c r="O40" s="12">
        <f>IF(AvatarAbilities4Scenario1[[#This Row],[takes]]&gt;0,AvatarAbilities4Scenario1[[#This Row],[wins]]/AvatarAbilities4Scenario1[[#This Row],[takes]],0)</f>
        <v>0.25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5</v>
      </c>
      <c r="M41" s="25">
        <f>COUNTIF(Scenario1[winner1-ability4],AvatarAbilities4Scenario1[[#This Row],[ability]])+COUNTIF(Scenario1[winner2-ability4],AvatarAbilities4Scenario1[[#This Row],[ability]])</f>
        <v>4</v>
      </c>
      <c r="N41" s="26">
        <f>IF(SUM(AvatarAbilities4Scenario1[[#This Row],[takes]]) &gt; 0,AvatarAbilities4Scenario1[[#This Row],[takes]]/SUM(AvatarAbilities4Scenario1[takes]),0)</f>
        <v>0.35714285714285715</v>
      </c>
      <c r="O41" s="26">
        <f>IF(AvatarAbilities4Scenario1[[#This Row],[takes]]&gt;0,AvatarAbilities4Scenario1[[#This Row],[wins]]/AvatarAbilities4Scenario1[[#This Row],[takes]],0)</f>
        <v>0.8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4</v>
      </c>
      <c r="M45">
        <f>COUNTIF(Scenario2[winner1-ability1],AvatarAbilities1Scenario2[[#This Row],[ability]])</f>
        <v>3</v>
      </c>
      <c r="N45" s="3">
        <f>IF(SUM(AvatarAbilities1Scenario2[[#This Row],[takes]]) &gt; 0,AvatarAbilities1Scenario2[[#This Row],[takes]]/SUM(AvatarAbilities1Scenario2[takes]),0)</f>
        <v>0.2857142857142857</v>
      </c>
      <c r="O45" s="3">
        <f>IF(AvatarAbilities1Scenario2[[#This Row],[takes]]&gt;0,AvatarAbilities1Scenario2[[#This Row],[wins]]/AvatarAbilities1Scenario2[[#This Row],[takes]],0)</f>
        <v>0.75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1</v>
      </c>
      <c r="S45" s="18">
        <f>COUNTIFS(Scenario2[winner1],"avatar",Scenario2[winner1-cp],AvatarEquipScenario2[[#This Row],[level]])+COUNTIFS(Scenario2[loser1],"avatar",Scenario2[loser1-cp],AvatarEquipScenario2[[#This Row],[level]])</f>
        <v>10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10</v>
      </c>
      <c r="M46">
        <f>COUNTIF(Scenario2[winner1-ability1],AvatarAbilities1Scenario2[[#This Row],[ability]])</f>
        <v>2</v>
      </c>
      <c r="N46" s="3">
        <f>IF(SUM(AvatarAbilities1Scenario2[[#This Row],[takes]]) &gt; 0,AvatarAbilities1Scenario2[[#This Row],[takes]]/SUM(AvatarAbilities1Scenario2[takes]),0)</f>
        <v>0.7142857142857143</v>
      </c>
      <c r="O46" s="3">
        <f>IF(AvatarAbilities1Scenario2[[#This Row],[takes]]&gt;0,AvatarAbilities1Scenario2[[#This Row],[wins]]/AvatarAbilities1Scenario2[[#This Row],[takes]],0)</f>
        <v>0.2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6</v>
      </c>
      <c r="S46" s="18">
        <f>COUNTIFS(Scenario2[winner1],"avatar",Scenario2[winner1-cp],AvatarEquipScenario2[[#This Row],[level]])+COUNTIFS(Scenario2[loser1],"avatar",Scenario2[loser1-cp],AvatarEquipScenario2[[#This Row],[level]])</f>
        <v>1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0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0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7</v>
      </c>
      <c r="S47" s="18">
        <f>COUNTIFS(Scenario2[winner1],"avatar",Scenario2[winner1-cp],AvatarEquipScenario2[[#This Row],[level]])+COUNTIFS(Scenario2[loser1],"avatar",Scenario2[loser1-cp],AvatarEquipScenario2[[#This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4</v>
      </c>
      <c r="M50" s="2">
        <f>COUNTIF(Scenario2[winner1-ability2],AvatarAbilities2Scenario2[[#This Row],[ability]])</f>
        <v>0</v>
      </c>
      <c r="N50" s="12">
        <f>IF(SUM(AvatarAbilities2Scenario2[[#This Row],[takes]]) &gt; 0,AvatarAbilities2Scenario2[[#This Row],[takes]]/SUM(AvatarAbilities2Scenario2[takes]),0)</f>
        <v>0.36363636363636365</v>
      </c>
      <c r="O50" s="12">
        <f>IF(AvatarAbilities2Scenario2[[#This Row],[takes]]&gt;0,AvatarAbilities2Scenario2[[#This Row],[wins]]/AvatarAbilities2Scenario2[[#This Row],[takes]],0)</f>
        <v>0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4</v>
      </c>
      <c r="M51" s="2">
        <f>COUNTIF(Scenario2[winner1-ability2],AvatarAbilities2Scenario2[[#This Row],[ability]])</f>
        <v>2</v>
      </c>
      <c r="N51" s="3">
        <f>IF(SUM(AvatarAbilities2Scenario2[[#This Row],[takes]]) &gt; 0,AvatarAbilities2Scenario2[[#This Row],[takes]]/SUM(AvatarAbilities2Scenario2[takes]),0)</f>
        <v>0.36363636363636365</v>
      </c>
      <c r="O51" s="3">
        <f>IF(AvatarAbilities2Scenario2[[#This Row],[takes]]&gt;0,AvatarAbilities2Scenario2[[#This Row],[wins]]/AvatarAbilities2Scenario2[[#This Row],[takes]],0)</f>
        <v>0.5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3</v>
      </c>
      <c r="M52" s="2">
        <f>COUNTIF(Scenario2[winner1-ability2],AvatarAbilities2Scenario2[[#This Row],[ability]])</f>
        <v>1</v>
      </c>
      <c r="N52" s="13">
        <f>IF(SUM(AvatarAbilities2Scenario2[[#This Row],[takes]]) &gt; 0,AvatarAbilities2Scenario2[[#This Row],[takes]]/SUM(AvatarAbilities2Scenario2[takes]),0)</f>
        <v>0.27272727272727271</v>
      </c>
      <c r="O52" s="13">
        <f>IF(AvatarAbilities2Scenario2[[#This Row],[takes]]&gt;0,AvatarAbilities2Scenario2[[#This Row],[wins]]/AvatarAbilities2Scenario2[[#This Row],[takes]],0)</f>
        <v>0.33333333333333331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5</v>
      </c>
      <c r="M55" s="1">
        <f>COUNTIF(Scenario2[winner1-ability3],AvatarAbilities3Scenario2[[#This Row],[ability]])</f>
        <v>3</v>
      </c>
      <c r="N55" s="14">
        <f>IF(SUM(AvatarAbilities3Scenario2[[#This Row],[takes]]) &gt; 0,AvatarAbilities3Scenario2[[#This Row],[takes]]/SUM(AvatarAbilities3Scenario2[takes]),0)</f>
        <v>0.5</v>
      </c>
      <c r="O55" s="14">
        <f>IF(AvatarAbilities3Scenario2[[#This Row],[takes]]&gt;0,AvatarAbilities3Scenario2[[#This Row],[wins]]/AvatarAbilities3Scenario2[[#This Row],[takes]],0)</f>
        <v>0.6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2</v>
      </c>
      <c r="M56" s="2">
        <f>COUNTIF(Scenario2[winner1-ability3],AvatarAbilities3Scenario2[[#This Row],[ability]])</f>
        <v>0</v>
      </c>
      <c r="N56" s="12">
        <f>IF(SUM(AvatarAbilities3Scenario2[[#This Row],[takes]]) &gt; 0,AvatarAbilities3Scenario2[[#This Row],[takes]]/SUM(AvatarAbilities3Scenario2[takes]),0)</f>
        <v>0.2</v>
      </c>
      <c r="O56" s="12">
        <f>IF(AvatarAbilities3Scenario2[[#This Row],[takes]]&gt;0,AvatarAbilities3Scenario2[[#This Row],[wins]]/AvatarAbilities3Scenario2[[#This Row],[takes]],0)</f>
        <v>0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3</v>
      </c>
      <c r="M57" s="1">
        <f>COUNTIF(Scenario2[winner1-ability3],AvatarAbilities3Scenario2[[#This Row],[ability]])</f>
        <v>0</v>
      </c>
      <c r="N57" s="15">
        <f>IF(SUM(AvatarAbilities3Scenario2[[#This Row],[takes]]) &gt; 0,AvatarAbilities3Scenario2[[#This Row],[takes]]/SUM(AvatarAbilities3Scenario2[takes]),0)</f>
        <v>0.3</v>
      </c>
      <c r="O57" s="15">
        <f>IF(AvatarAbilities3Scenario2[[#This Row],[takes]]&gt;0,AvatarAbilities3Scenario2[[#This Row],[wins]]/AvatarAbilities3Scenario2[[#This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2</v>
      </c>
      <c r="M60" s="2">
        <f>COUNTIF(Scenario2[winner1-ability4],AvatarAbilities4Scenario2[[#This Row],[ability]])</f>
        <v>1</v>
      </c>
      <c r="N60" s="12">
        <f>IF(SUM(AvatarAbilities4Scenario2[[#This Row],[takes]]) &gt; 0,AvatarAbilities4Scenario2[[#This Row],[takes]]/SUM(AvatarAbilities4Scenario2[takes]),0)</f>
        <v>0.4</v>
      </c>
      <c r="O60" s="12">
        <f>IF(AvatarAbilities4Scenario2[[#This Row],[takes]]&gt;0,AvatarAbilities4Scenario2[[#This Row],[wins]]/AvatarAbilities4Scenario2[[#This Row],[takes]],0)</f>
        <v>0.5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0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0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3</v>
      </c>
      <c r="M62" s="25">
        <f>COUNTIF(Scenario2[winner1-ability4],AvatarAbilities4Scenario2[[#This Row],[ability]])</f>
        <v>1</v>
      </c>
      <c r="N62" s="26">
        <f>IF(SUM(AvatarAbilities4Scenario2[[#This Row],[takes]]) &gt; 0,AvatarAbilities4Scenario2[[#This Row],[takes]]/SUM(AvatarAbilities4Scenario2[takes]),0)</f>
        <v>0.6</v>
      </c>
      <c r="O62" s="26">
        <f>IF(AvatarAbilities4Scenario2[[#This Row],[takes]]&gt;0,AvatarAbilities4Scenario2[[#This Row],[wins]]/AvatarAbilities4Scenario2[[#This Row],[takes]],0)</f>
        <v>0.33333333333333331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16</v>
      </c>
      <c r="M66">
        <f>COUNTIF(Scenario3[winner1-ability1],AvatarAbilities1Scenario3[[#This Row],[ability]])</f>
        <v>8</v>
      </c>
      <c r="N66" s="3">
        <f>IF(SUM(AvatarAbilities1Scenario3[[#This Row],[takes]]) &gt; 0,AvatarAbilities1Scenario3[[#This Row],[takes]]/SUM(AvatarAbilities1Scenario3[takes]),0)</f>
        <v>0.76190476190476186</v>
      </c>
      <c r="O66" s="3">
        <f>IF(AvatarAbilities1Scenario3[[#This Row],[takes]]&gt;0,AvatarAbilities1Scenario3[[#This Row],[wins]]/AvatarAbilities1Scenario3[[#This Row],[takes]],0)</f>
        <v>0.5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4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4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2</v>
      </c>
      <c r="M67">
        <f>COUNTIF(Scenario3[winner1-ability1],AvatarAbilities1Scenario3[[#This Row],[ability]])</f>
        <v>0</v>
      </c>
      <c r="N67" s="3">
        <f>IF(SUM(AvatarAbilities1Scenario3[[#This Row],[takes]]) &gt; 0,AvatarAbilities1Scenario3[[#This Row],[takes]]/SUM(AvatarAbilities1Scenario3[takes]),0)</f>
        <v>9.5238095238095233E-2</v>
      </c>
      <c r="O67" s="3">
        <f>IF(AvatarAbilities1Scenario3[[#This Row],[takes]]&gt;0,AvatarAbilities1Scenario3[[#This Row],[wins]]/AvatarAbilities1Scenario3[[#This Row],[takes]],0)</f>
        <v>0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2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2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3</v>
      </c>
      <c r="M68">
        <f>COUNTIF(Scenario3[winner1-ability1],AvatarAbilities1Scenario3[[#This Row],[ability]])</f>
        <v>0</v>
      </c>
      <c r="N68" s="3">
        <f>IF(SUM(AvatarAbilities1Scenario3[[#This Row],[takes]]) &gt; 0,AvatarAbilities1Scenario3[[#This Row],[takes]]/SUM(AvatarAbilities1Scenario3[takes]),0)</f>
        <v>0.14285714285714285</v>
      </c>
      <c r="O68" s="3">
        <f>IF(AvatarAbilities1Scenario3[[#This Row],[takes]]&gt;0,AvatarAbilities1Scenario3[[#This Row],[wins]]/AvatarAbilities1Scenario3[[#This Row],[takes]],0)</f>
        <v>0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15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15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3</v>
      </c>
      <c r="M71" s="2">
        <f>COUNTIF(Scenario3[winner1-ability2],AvatarAbilities2Scenario3[[#This Row],[ability]])</f>
        <v>0</v>
      </c>
      <c r="N71" s="12">
        <f>IF(SUM(AvatarAbilities2Scenario3[[#This Row],[takes]]) &gt; 0,AvatarAbilities2Scenario3[[#This Row],[takes]]/SUM(AvatarAbilities2Scenario3[takes]),0)</f>
        <v>0.15</v>
      </c>
      <c r="O71" s="12">
        <f>IF(AvatarAbilities2Scenario3[[#This Row],[takes]]&gt;0,AvatarAbilities2Scenario3[[#This Row],[wins]]/AvatarAbilities2Scenario3[[#This Row],[takes]],0)</f>
        <v>0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15</v>
      </c>
      <c r="M72" s="2">
        <f>COUNTIF(Scenario3[winner1-ability2],AvatarAbilities2Scenario3[[#This Row],[ability]])</f>
        <v>7</v>
      </c>
      <c r="N72" s="3">
        <f>IF(SUM(AvatarAbilities2Scenario3[[#This Row],[takes]]) &gt; 0,AvatarAbilities2Scenario3[[#This Row],[takes]]/SUM(AvatarAbilities2Scenario3[takes]),0)</f>
        <v>0.75</v>
      </c>
      <c r="O72" s="3">
        <f>IF(AvatarAbilities2Scenario3[[#This Row],[takes]]&gt;0,AvatarAbilities2Scenario3[[#This Row],[wins]]/AvatarAbilities2Scenario3[[#This Row],[takes]],0)</f>
        <v>0.46666666666666667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2</v>
      </c>
      <c r="M73" s="2">
        <f>COUNTIF(Scenario3[winner1-ability2],AvatarAbilities2Scenario3[[#This Row],[ability]])</f>
        <v>0</v>
      </c>
      <c r="N73" s="13">
        <f>IF(SUM(AvatarAbilities2Scenario3[[#This Row],[takes]]) &gt; 0,AvatarAbilities2Scenario3[[#This Row],[takes]]/SUM(AvatarAbilities2Scenario3[takes]),0)</f>
        <v>0.1</v>
      </c>
      <c r="O73" s="13">
        <f>IF(AvatarAbilities2Scenario3[[#This Row],[takes]]&gt;0,AvatarAbilities2Scenario3[[#This Row],[wins]]/AvatarAbilities2Scenario3[[#This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11</v>
      </c>
      <c r="M76" s="1">
        <f>COUNTIF(Scenario3[winner1-ability3],AvatarAbilities3Scenario3[[#This Row],[ability]])</f>
        <v>7</v>
      </c>
      <c r="N76" s="14">
        <f>IF(SUM(AvatarAbilities3Scenario3[[#This Row],[takes]]) &gt; 0,AvatarAbilities3Scenario3[[#This Row],[takes]]/SUM(AvatarAbilities3Scenario3[takes]),0)</f>
        <v>0.6470588235294118</v>
      </c>
      <c r="O76" s="14">
        <f>IF(AvatarAbilities3Scenario3[[#This Row],[takes]]&gt;0,AvatarAbilities3Scenario3[[#This Row],[wins]]/AvatarAbilities3Scenario3[[#This Row],[takes]],0)</f>
        <v>0.63636363636363635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3</v>
      </c>
      <c r="M77" s="2">
        <f>COUNTIF(Scenario3[winner1-ability3],AvatarAbilities3Scenario3[[#This Row],[ability]])</f>
        <v>0</v>
      </c>
      <c r="N77" s="12">
        <f>IF(SUM(AvatarAbilities3Scenario3[[#This Row],[takes]]) &gt; 0,AvatarAbilities3Scenario3[[#This Row],[takes]]/SUM(AvatarAbilities3Scenario3[takes]),0)</f>
        <v>0.17647058823529413</v>
      </c>
      <c r="O77" s="12">
        <f>IF(AvatarAbilities3Scenario3[[#This Row],[takes]]&gt;0,AvatarAbilities3Scenario3[[#This Row],[wins]]/AvatarAbilities3Scenario3[[#This Row],[takes]],0)</f>
        <v>0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3</v>
      </c>
      <c r="M78" s="1">
        <f>COUNTIF(Scenario3[winner1-ability3],AvatarAbilities3Scenario3[[#This Row],[ability]])</f>
        <v>0</v>
      </c>
      <c r="N78" s="15">
        <f>IF(SUM(AvatarAbilities3Scenario3[[#This Row],[takes]]) &gt; 0,AvatarAbilities3Scenario3[[#This Row],[takes]]/SUM(AvatarAbilities3Scenario3[takes]),0)</f>
        <v>0.17647058823529413</v>
      </c>
      <c r="O78" s="15">
        <f>IF(AvatarAbilities3Scenario3[[#This Row],[takes]]&gt;0,AvatarAbilities3Scenario3[[#This Row],[wins]]/AvatarAbilities3Scenario3[[#This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6</v>
      </c>
      <c r="M81" s="2">
        <f>COUNTIF(Scenario3[winner1-ability4],AvatarAbilities4Scenario3[[#This Row],[ability]])</f>
        <v>4</v>
      </c>
      <c r="N81" s="12">
        <f>IF(SUM(AvatarAbilities4Scenario3[[#This Row],[takes]]) &gt; 0,AvatarAbilities4Scenario3[[#This Row],[takes]]/SUM(AvatarAbilities4Scenario3[takes]),0)</f>
        <v>0.46153846153846156</v>
      </c>
      <c r="O81" s="12">
        <f>IF(AvatarAbilities4Scenario3[[#This Row],[takes]]&gt;0,AvatarAbilities4Scenario3[[#This Row],[wins]]/AvatarAbilities4Scenario3[[#This Row],[takes]],0)</f>
        <v>0.66666666666666663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1</v>
      </c>
      <c r="M82" s="2">
        <f>COUNTIF(Scenario3[winner1-ability4],AvatarAbilities4Scenario3[[#This Row],[ability]])</f>
        <v>0</v>
      </c>
      <c r="N82" s="12">
        <f>IF(SUM(AvatarAbilities4Scenario3[[#This Row],[takes]]) &gt; 0,AvatarAbilities4Scenario3[[#This Row],[takes]]/SUM(AvatarAbilities4Scenario3[takes]),0)</f>
        <v>7.6923076923076927E-2</v>
      </c>
      <c r="O82" s="12">
        <f>IF(AvatarAbilities4Scenario3[[#This Row],[takes]]&gt;0,AvatarAbilities4Scenario3[[#This Row],[wins]]/AvatarAbilities4Scenario3[[#This Row],[takes]],0)</f>
        <v>0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6</v>
      </c>
      <c r="M83" s="2">
        <f>COUNTIF(Scenario3[winner1-ability4],AvatarAbilities4Scenario3[[#This Row],[ability]])</f>
        <v>2</v>
      </c>
      <c r="N83" s="26">
        <f>IF(SUM(AvatarAbilities4Scenario3[[#This Row],[takes]]) &gt; 0,AvatarAbilities4Scenario3[[#This Row],[takes]]/SUM(AvatarAbilities4Scenario3[takes]),0)</f>
        <v>0.46153846153846156</v>
      </c>
      <c r="O83" s="26">
        <f>IF(AvatarAbilities4Scenario3[[#This Row],[takes]]&gt;0,AvatarAbilities4Scenario3[[#This Row],[wins]]/AvatarAbilities4Scenario3[[#This Row],[takes]],0)</f>
        <v>0.33333333333333331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33</v>
      </c>
      <c r="M87">
        <f>COUNTIF(Scenario4[winner1-ability1],AvatarAbilities1Scenario4[[#This Row],[ability]])</f>
        <v>6</v>
      </c>
      <c r="N87" s="3">
        <f>IF(SUM(AvatarAbilities1Scenario4[[#This Row],[takes]]) &gt; 0,AvatarAbilities1Scenario4[[#This Row],[takes]]/SUM(AvatarAbilities1Scenario4[takes]),0)</f>
        <v>0.94285714285714284</v>
      </c>
      <c r="O87" s="3">
        <f>IF(AvatarAbilities1Scenario4[[#This Row],[takes]]&gt;0,AvatarAbilities1Scenario4[[#This Row],[wins]]/AvatarAbilities1Scenario4[[#This Row],[takes]],0)</f>
        <v>0.18181818181818182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10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10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0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5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5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2</v>
      </c>
      <c r="M89">
        <f>COUNTIF(Scenario4[winner1-ability1],AvatarAbilities1Scenario4[[#This Row],[ability]])</f>
        <v>1</v>
      </c>
      <c r="N89" s="3">
        <f>IF(SUM(AvatarAbilities1Scenario4[[#This Row],[takes]]) &gt; 0,AvatarAbilities1Scenario4[[#This Row],[takes]]/SUM(AvatarAbilities1Scenario4[takes]),0)</f>
        <v>5.7142857142857141E-2</v>
      </c>
      <c r="O89" s="3">
        <f>IF(AvatarAbilities1Scenario4[[#This Row],[takes]]&gt;0,AvatarAbilities1Scenario4[[#This Row],[wins]]/AvatarAbilities1Scenario4[[#This Row],[takes]],0)</f>
        <v>0.5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20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20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5</v>
      </c>
      <c r="M92" s="2">
        <f>COUNTIF(Scenario4[winner1-ability2],AvatarAbilities2Scenario4[[#This Row],[ability]])</f>
        <v>1</v>
      </c>
      <c r="N92" s="12">
        <f>IF(SUM(AvatarAbilities2Scenario4[[#This Row],[takes]]) &gt; 0,AvatarAbilities2Scenario4[[#This Row],[takes]]/SUM(AvatarAbilities2Scenario4[takes]),0)</f>
        <v>0.14285714285714285</v>
      </c>
      <c r="O92" s="12">
        <f>IF(AvatarAbilities2Scenario4[[#This Row],[takes]]&gt;0,AvatarAbilities2Scenario4[[#This Row],[wins]]/AvatarAbilities2Scenario4[[#This Row],[takes]],0)</f>
        <v>0.2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28</v>
      </c>
      <c r="M93" s="2">
        <f>COUNTIF(Scenario4[winner1-ability2],AvatarAbilities2Scenario4[[#This Row],[ability]])</f>
        <v>6</v>
      </c>
      <c r="N93" s="3">
        <f>IF(SUM(AvatarAbilities2Scenario4[[#This Row],[takes]]) &gt; 0,AvatarAbilities2Scenario4[[#This Row],[takes]]/SUM(AvatarAbilities2Scenario4[takes]),0)</f>
        <v>0.8</v>
      </c>
      <c r="O93" s="3">
        <f>IF(AvatarAbilities2Scenario4[[#This Row],[takes]]&gt;0,AvatarAbilities2Scenario4[[#This Row],[wins]]/AvatarAbilities2Scenario4[[#This Row],[takes]],0)</f>
        <v>0.21428571428571427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2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5.7142857142857141E-2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19</v>
      </c>
      <c r="M97" s="1">
        <f>COUNTIF(Scenario4[winner1-ability3],AvatarAbilities3Scenario4[[#This Row],[ability]])</f>
        <v>6</v>
      </c>
      <c r="N97" s="14">
        <f>IF(SUM(AvatarAbilities3Scenario4[[#This Row],[takes]]) &gt; 0,AvatarAbilities3Scenario4[[#This Row],[takes]]/SUM(AvatarAbilities3Scenario4[takes]),0)</f>
        <v>0.5757575757575758</v>
      </c>
      <c r="O97" s="14">
        <f>IF(AvatarAbilities3Scenario4[[#This Row],[takes]]&gt;0,AvatarAbilities3Scenario4[[#This Row],[wins]]/AvatarAbilities3Scenario4[[#This Row],[takes]],0)</f>
        <v>0.31578947368421051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11</v>
      </c>
      <c r="M98" s="2">
        <f>COUNTIF(Scenario4[winner1-ability3],AvatarAbilities3Scenario4[[#This Row],[ability]])</f>
        <v>1</v>
      </c>
      <c r="N98" s="12">
        <f>IF(SUM(AvatarAbilities3Scenario4[[#This Row],[takes]]) &gt; 0,AvatarAbilities3Scenario4[[#This Row],[takes]]/SUM(AvatarAbilities3Scenario4[takes]),0)</f>
        <v>0.33333333333333331</v>
      </c>
      <c r="O98" s="12">
        <f>IF(AvatarAbilities3Scenario4[[#This Row],[takes]]&gt;0,AvatarAbilities3Scenario4[[#This Row],[wins]]/AvatarAbilities3Scenario4[[#This Row],[takes]],0)</f>
        <v>9.0909090909090912E-2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3</v>
      </c>
      <c r="M99" s="1">
        <f>COUNTIF(Scenario4[winner1-ability3],AvatarAbilities3Scenario4[[#This Row],[ability]])</f>
        <v>0</v>
      </c>
      <c r="N99" s="15">
        <f>IF(SUM(AvatarAbilities3Scenario4[[#This Row],[takes]]) &gt; 0,AvatarAbilities3Scenario4[[#This Row],[takes]]/SUM(AvatarAbilities3Scenario4[takes]),0)</f>
        <v>9.0909090909090912E-2</v>
      </c>
      <c r="O99" s="15">
        <f>IF(AvatarAbilities3Scenario4[[#This Row],[takes]]&gt;0,AvatarAbilities3Scenario4[[#This Row],[wins]]/AvatarAbilities3Scenario4[[#This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14</v>
      </c>
      <c r="M102" s="2">
        <f>COUNTIF(Scenario4[winner1-ability4],AvatarAbilities4Scenario4[[#This Row],[ability]])</f>
        <v>3</v>
      </c>
      <c r="N102" s="12">
        <f>IF(SUM(AvatarAbilities4Scenario4[[#This Row],[takes]]) &gt; 0,AvatarAbilities4Scenario4[[#This Row],[takes]]/SUM(AvatarAbilities4Scenario4[takes]),0)</f>
        <v>0.45161290322580644</v>
      </c>
      <c r="O102" s="12">
        <f>IF(AvatarAbilities4Scenario4[[#This Row],[takes]]&gt;0,AvatarAbilities4Scenario4[[#This Row],[wins]]/AvatarAbilities4Scenario4[[#This Row],[takes]],0)</f>
        <v>0.21428571428571427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2</v>
      </c>
      <c r="M103" s="2">
        <f>COUNTIF(Scenario4[winner1-ability4],AvatarAbilities4Scenario4[[#This Row],[ability]])</f>
        <v>0</v>
      </c>
      <c r="N103" s="12">
        <f>IF(SUM(AvatarAbilities4Scenario4[[#This Row],[takes]]) &gt; 0,AvatarAbilities4Scenario4[[#This Row],[takes]]/SUM(AvatarAbilities4Scenario4[takes]),0)</f>
        <v>6.4516129032258063E-2</v>
      </c>
      <c r="O103" s="12">
        <f>IF(AvatarAbilities4Scenario4[[#This Row],[takes]]&gt;0,AvatarAbilities4Scenario4[[#This Row],[wins]]/AvatarAbilities4Scenario4[[#This Row],[takes]],0)</f>
        <v>0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15</v>
      </c>
      <c r="M104" s="2">
        <f>COUNTIF(Scenario4[winner1-ability4],AvatarAbilities4Scenario4[[#This Row],[ability]])</f>
        <v>4</v>
      </c>
      <c r="N104" s="26">
        <f>IF(SUM(AvatarAbilities4Scenario4[[#This Row],[takes]]) &gt; 0,AvatarAbilities4Scenario4[[#This Row],[takes]]/SUM(AvatarAbilities4Scenario4[takes]),0)</f>
        <v>0.4838709677419355</v>
      </c>
      <c r="O104" s="26">
        <f>IF(AvatarAbilities4Scenario4[[#This Row],[takes]]&gt;0,AvatarAbilities4Scenario4[[#This Row],[wins]]/AvatarAbilities4Scenario4[[#This Row],[takes]],0)</f>
        <v>0.26666666666666666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82</v>
      </c>
      <c r="M108">
        <f>COUNTIF(Scenario5[winner1-ability1],AvatarAbilities1Scenario5[[#This Row],[ability]])+COUNTIF(Scenario5[winner2-ability1],AvatarAbilities1Scenario5[[#This Row],[ability]])</f>
        <v>42</v>
      </c>
      <c r="N108" s="3">
        <f>IF(SUM(AvatarAbilities1Scenario5[[#This Row],[takes]]) &gt; 0,AvatarAbilities1Scenario5[[#This Row],[takes]]/SUM(AvatarAbilities1Scenario5[takes]),0)</f>
        <v>0.78095238095238095</v>
      </c>
      <c r="O108" s="3">
        <f>IF(AvatarAbilities1Scenario5[[#This Row],[takes]]&gt;0,AvatarAbilities1Scenario5[[#This Row],[wins]]/AvatarAbilities1Scenario5[[#This Row],[takes]],0)</f>
        <v>0.51219512195121952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26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78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9</v>
      </c>
      <c r="M109">
        <f>COUNTIF(Scenario5[winner1-ability1],AvatarAbilities1Scenario5[[#This Row],[ability]])+COUNTIF(Scenario5[winner2-ability1],AvatarAbilities1Scenario5[[#This Row],[ability]])</f>
        <v>4</v>
      </c>
      <c r="N109" s="3">
        <f>IF(SUM(AvatarAbilities1Scenario5[[#This Row],[takes]]) &gt; 0,AvatarAbilities1Scenario5[[#This Row],[takes]]/SUM(AvatarAbilities1Scenario5[takes]),0)</f>
        <v>8.5714285714285715E-2</v>
      </c>
      <c r="O109" s="3">
        <f>IF(AvatarAbilities1Scenario5[[#This Row],[takes]]&gt;0,AvatarAbilities1Scenario5[[#This Row],[wins]]/AvatarAbilities1Scenario5[[#This Row],[takes]],0)</f>
        <v>0.44444444444444442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33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15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14</v>
      </c>
      <c r="M110">
        <f>COUNTIF(Scenario5[winner1-ability1],AvatarAbilities1Scenario5[[#This Row],[ability]])+COUNTIF(Scenario5[winner2-ability1],AvatarAbilities1Scenario5[[#This Row],[ability]])</f>
        <v>6</v>
      </c>
      <c r="N110" s="3">
        <f>IF(SUM(AvatarAbilities1Scenario5[[#This Row],[takes]]) &gt; 0,AvatarAbilities1Scenario5[[#This Row],[takes]]/SUM(AvatarAbilities1Scenario5[takes]),0)</f>
        <v>0.13333333333333333</v>
      </c>
      <c r="O110" s="3">
        <f>IF(AvatarAbilities1Scenario5[[#This Row],[takes]]&gt;0,AvatarAbilities1Scenario5[[#This Row],[wins]]/AvatarAbilities1Scenario5[[#This Row],[takes]],0)</f>
        <v>0.42857142857142855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46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12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13</v>
      </c>
      <c r="M113" s="2">
        <f>COUNTIF(Scenario5[winner1-ability2],AvatarAbilities2Scenario5[[#This Row],[ability]])+COUNTIF(Scenario5[winner2-ability2],AvatarAbilities2Scenario5[[#This Row],[ability]])</f>
        <v>6</v>
      </c>
      <c r="N113" s="12">
        <f>IF(SUM(AvatarAbilities2Scenario5[[#This Row],[takes]]) &gt; 0,AvatarAbilities2Scenario5[[#This Row],[takes]]/SUM(AvatarAbilities2Scenario5[takes]),0)</f>
        <v>0.14285714285714285</v>
      </c>
      <c r="O113" s="12">
        <f>IF(AvatarAbilities2Scenario5[[#This Row],[takes]]&gt;0,AvatarAbilities2Scenario5[[#This Row],[wins]]/AvatarAbilities2Scenario5[[#This Row],[takes]],0)</f>
        <v>0.46153846153846156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48</v>
      </c>
      <c r="M114" s="2">
        <f>COUNTIF(Scenario5[winner1-ability2],AvatarAbilities2Scenario5[[#This Row],[ability]])+COUNTIF(Scenario5[winner2-ability2],AvatarAbilities2Scenario5[[#This Row],[ability]])</f>
        <v>24</v>
      </c>
      <c r="N114" s="3">
        <f>IF(SUM(AvatarAbilities2Scenario5[[#This Row],[takes]]) &gt; 0,AvatarAbilities2Scenario5[[#This Row],[takes]]/SUM(AvatarAbilities2Scenario5[takes]),0)</f>
        <v>0.52747252747252749</v>
      </c>
      <c r="O114" s="3">
        <f>IF(AvatarAbilities2Scenario5[[#This Row],[takes]]&gt;0,AvatarAbilities2Scenario5[[#This Row],[wins]]/AvatarAbilities2Scenario5[[#This Row],[takes]],0)</f>
        <v>0.5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30</v>
      </c>
      <c r="M115" s="2">
        <f>COUNTIF(Scenario5[winner1-ability2],AvatarAbilities2Scenario5[[#This Row],[ability]])+COUNTIF(Scenario5[winner2-ability2],AvatarAbilities2Scenario5[[#This Row],[ability]])</f>
        <v>19</v>
      </c>
      <c r="N115" s="13">
        <f>IF(SUM(AvatarAbilities2Scenario5[[#This Row],[takes]]) &gt; 0,AvatarAbilities2Scenario5[[#This Row],[takes]]/SUM(AvatarAbilities2Scenario5[takes]),0)</f>
        <v>0.32967032967032966</v>
      </c>
      <c r="O115" s="13">
        <f>IF(AvatarAbilities2Scenario5[[#This Row],[takes]]&gt;0,AvatarAbilities2Scenario5[[#This Row],[wins]]/AvatarAbilities2Scenario5[[#This Row],[takes]],0)</f>
        <v>0.6333333333333333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27</v>
      </c>
      <c r="M118" s="1">
        <f>COUNTIF(Scenario5[winner1-ability3],AvatarAbilities3Scenario5[[#This Row],[ability]])+COUNTIF(Scenario5[winner2-ability3],AvatarAbilities3Scenario5[[#This Row],[ability]])</f>
        <v>17</v>
      </c>
      <c r="N118" s="14">
        <f>IF(SUM(AvatarAbilities3Scenario5[[#This Row],[takes]]) &gt; 0,AvatarAbilities3Scenario5[[#This Row],[takes]]/SUM(AvatarAbilities3Scenario5[takes]),0)</f>
        <v>0.40298507462686567</v>
      </c>
      <c r="O118" s="14">
        <f>IF(AvatarAbilities3Scenario5[[#This Row],[takes]]&gt;0,AvatarAbilities3Scenario5[[#This Row],[wins]]/AvatarAbilities3Scenario5[[#This Row],[takes]],0)</f>
        <v>0.62962962962962965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8</v>
      </c>
      <c r="M119" s="2">
        <f>COUNTIF(Scenario5[winner1-ability3],AvatarAbilities3Scenario5[[#This Row],[ability]])+COUNTIF(Scenario5[winner2-ability3],AvatarAbilities3Scenario5[[#This Row],[ability]])</f>
        <v>2</v>
      </c>
      <c r="N119" s="12">
        <f>IF(SUM(AvatarAbilities3Scenario5[[#This Row],[takes]]) &gt; 0,AvatarAbilities3Scenario5[[#This Row],[takes]]/SUM(AvatarAbilities3Scenario5[takes]),0)</f>
        <v>0.11940298507462686</v>
      </c>
      <c r="O119" s="12">
        <f>IF(AvatarAbilities3Scenario5[[#This Row],[takes]]&gt;0,AvatarAbilities3Scenario5[[#This Row],[wins]]/AvatarAbilities3Scenario5[[#This Row],[takes]],0)</f>
        <v>0.25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32</v>
      </c>
      <c r="M120" s="1">
        <f>COUNTIF(Scenario5[winner1-ability3],AvatarAbilities3Scenario5[[#This Row],[ability]])+COUNTIF(Scenario5[winner2-ability3],AvatarAbilities3Scenario5[[#This Row],[ability]])</f>
        <v>21</v>
      </c>
      <c r="N120" s="15">
        <f>IF(SUM(AvatarAbilities3Scenario5[[#This Row],[takes]]) &gt; 0,AvatarAbilities3Scenario5[[#This Row],[takes]]/SUM(AvatarAbilities3Scenario5[takes]),0)</f>
        <v>0.47761194029850745</v>
      </c>
      <c r="O120" s="15">
        <f>IF(AvatarAbilities3Scenario5[[#This Row],[takes]]&gt;0,AvatarAbilities3Scenario5[[#This Row],[wins]]/AvatarAbilities3Scenario5[[#This Row],[takes]],0)</f>
        <v>0.65625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6</v>
      </c>
      <c r="M123" s="2">
        <f>COUNTIF(Scenario5[winner1-ability4],AvatarAbilities4Scenario5[[#This Row],[ability]])+COUNTIF(Scenario5[winner2-ability4],AvatarAbilities4Scenario5[[#This Row],[ability]])</f>
        <v>6</v>
      </c>
      <c r="N123" s="12">
        <f>IF(SUM(AvatarAbilities4Scenario5[[#This Row],[takes]]) &gt; 0,AvatarAbilities4Scenario5[[#This Row],[takes]]/SUM(AvatarAbilities4Scenario5[takes]),0)</f>
        <v>0.16216216216216217</v>
      </c>
      <c r="O123" s="12">
        <f>IF(AvatarAbilities4Scenario5[[#This Row],[takes]]&gt;0,AvatarAbilities4Scenario5[[#This Row],[wins]]/AvatarAbilities4Scenario5[[#This Row],[takes]],0)</f>
        <v>1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21</v>
      </c>
      <c r="M124" s="2">
        <f>COUNTIF(Scenario5[winner1-ability4],AvatarAbilities4Scenario5[[#This Row],[ability]])+COUNTIF(Scenario5[winner2-ability4],AvatarAbilities4Scenario5[[#This Row],[ability]])</f>
        <v>11</v>
      </c>
      <c r="N124" s="12">
        <f>IF(SUM(AvatarAbilities4Scenario5[[#This Row],[takes]]) &gt; 0,AvatarAbilities4Scenario5[[#This Row],[takes]]/SUM(AvatarAbilities4Scenario5[takes]),0)</f>
        <v>0.56756756756756754</v>
      </c>
      <c r="O124" s="12">
        <f>IF(AvatarAbilities4Scenario5[[#This Row],[takes]]&gt;0,AvatarAbilities4Scenario5[[#This Row],[wins]]/AvatarAbilities4Scenario5[[#This Row],[takes]],0)</f>
        <v>0.52380952380952384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10</v>
      </c>
      <c r="M125" s="2">
        <f>COUNTIF(Scenario5[winner1-ability4],AvatarAbilities4Scenario5[[#This Row],[ability]])+COUNTIF(Scenario5[winner2-ability4],AvatarAbilities4Scenario5[[#This Row],[ability]])</f>
        <v>5</v>
      </c>
      <c r="N125" s="26">
        <f>IF(SUM(AvatarAbilities4Scenario5[[#This Row],[takes]]) &gt; 0,AvatarAbilities4Scenario5[[#This Row],[takes]]/SUM(AvatarAbilities4Scenario5[takes]),0)</f>
        <v>0.27027027027027029</v>
      </c>
      <c r="O125" s="26">
        <f>IF(AvatarAbilities4Scenario5[[#This Row],[takes]]&gt;0,AvatarAbilities4Scenario5[[#This Row],[wins]]/AvatarAbilities4Scenario5[[#This Row],[takes]],0)</f>
        <v>0.5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I27" sqref="I27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0.29350649350649349</v>
      </c>
    </row>
    <row r="3" spans="1:22" x14ac:dyDescent="0.25">
      <c r="A3" t="s">
        <v>47</v>
      </c>
      <c r="B3">
        <f>L3+L24+L45+L66+L87+L108</f>
        <v>110</v>
      </c>
      <c r="C3">
        <f>M3+M24+M45+M66+M87+M108</f>
        <v>54</v>
      </c>
      <c r="D3" s="3">
        <f>IF(SUM(ShadowAbilities1[[#This Row],[takes]]) &gt; 0,ShadowAbilities1[[#This Row],[takes]]/SUM(ShadowAbilities1[takes]),0)</f>
        <v>0.2857142857142857</v>
      </c>
      <c r="E3" s="3">
        <f>IF(ShadowAbilities1[[#This Row],[takes]]&gt;0,ShadowAbilities1[[#This Row],[wins]]/ShadowAbilities1[[#This Row],[takes]],0)</f>
        <v>0.49090909090909091</v>
      </c>
      <c r="G3">
        <v>1</v>
      </c>
      <c r="H3">
        <f>R3+R24+R45+R66+R87+R108</f>
        <v>15</v>
      </c>
      <c r="I3" s="18">
        <f>S3+S24+S45+S66+S87+S108</f>
        <v>266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83</v>
      </c>
      <c r="M3">
        <f>COUNTIF(Scenario0[winner1-ability1],ShadowAbilities1Scenario0[[#This Row],[ability]])+COUNTIF(Scenario0[winner2-ability1],ShadowAbilities1Scenario0[[#This Row],[ability]])</f>
        <v>47</v>
      </c>
      <c r="N3" s="3">
        <f>IF(SUM(ShadowAbilities1Scenario0[[#This Row],[takes]]) &gt; 0,ShadowAbilities1Scenario0[[#This Row],[takes]]/SUM(ShadowAbilities1Scenario0[takes]),0)</f>
        <v>0.79047619047619044</v>
      </c>
      <c r="O3" s="3">
        <f>IF(ShadowAbilities1Scenario0[[#This Row],[takes]]&gt;0,ShadowAbilities1Scenario0[[#This Row],[wins]]/ShadowAbilities1Scenario0[[#This Row],[takes]],0)</f>
        <v>0.5662650602409639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12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83</v>
      </c>
      <c r="U3" t="s">
        <v>202</v>
      </c>
      <c r="V3" s="16">
        <f>H5/SUM(ShadowEquip[bow])</f>
        <v>0.66753246753246753</v>
      </c>
    </row>
    <row r="4" spans="1:22" x14ac:dyDescent="0.25">
      <c r="A4" t="s">
        <v>86</v>
      </c>
      <c r="B4">
        <f t="shared" ref="B4:B5" si="0">L4+L25+L46+L67+L88+L109</f>
        <v>165</v>
      </c>
      <c r="C4">
        <f t="shared" ref="C4:C5" si="1">M4+M25+M46+M67+M88+M109</f>
        <v>66</v>
      </c>
      <c r="D4" s="3">
        <f>IF(SUM(ShadowAbilities1[[#This Row],[takes]]) &gt; 0,ShadowAbilities1[[#This Row],[takes]]/SUM(ShadowAbilities1[takes]),0)</f>
        <v>0.42857142857142855</v>
      </c>
      <c r="E4" s="3">
        <f>IF(ShadowAbilities1[[#This Row],[takes]]&gt;0,ShadowAbilities1[[#This Row],[wins]]/ShadowAbilities1[[#This Row],[takes]],0)</f>
        <v>0.4</v>
      </c>
      <c r="G4">
        <v>2</v>
      </c>
      <c r="H4">
        <f t="shared" ref="H4:H5" si="2">R4+R25+R46+R67+R88+R109</f>
        <v>113</v>
      </c>
      <c r="I4" s="18">
        <f t="shared" ref="I4:I5" si="3">S4+S25+S46+S67+S88+S109</f>
        <v>60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15</v>
      </c>
      <c r="M4">
        <f>COUNTIF(Scenario0[winner1-ability1],ShadowAbilities1Scenario0[[#This Row],[ability]])+COUNTIF(Scenario0[winner2-ability1],ShadowAbilities1Scenario0[[#This Row],[ability]])</f>
        <v>8</v>
      </c>
      <c r="N4" s="3">
        <f>IF(SUM(ShadowAbilities1Scenario0[[#This Row],[takes]]) &gt; 0,ShadowAbilities1Scenario0[[#This Row],[takes]]/SUM(ShadowAbilities1Scenario0[takes]),0)</f>
        <v>0.14285714285714285</v>
      </c>
      <c r="O4" s="3">
        <f>IF(ShadowAbilities1Scenario0[[#This Row],[takes]]&gt;0,ShadowAbilities1Scenario0[[#This Row],[wins]]/ShadowAbilities1Scenario0[[#This Row],[takes]],0)</f>
        <v>0.53333333333333333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55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19</v>
      </c>
      <c r="U4" t="s">
        <v>179</v>
      </c>
      <c r="V4" s="3">
        <f>ShadowEquip[[#This Row],[chestpiece]]/SUM(ShadowEquip[chestpiece])</f>
        <v>0.15584415584415584</v>
      </c>
    </row>
    <row r="5" spans="1:22" x14ac:dyDescent="0.25">
      <c r="A5" t="s">
        <v>140</v>
      </c>
      <c r="B5">
        <f t="shared" si="0"/>
        <v>110</v>
      </c>
      <c r="C5">
        <f t="shared" si="1"/>
        <v>64</v>
      </c>
      <c r="D5" s="3">
        <f>IF(SUM(ShadowAbilities1[[#This Row],[takes]]) &gt; 0,ShadowAbilities1[[#This Row],[takes]]/SUM(ShadowAbilities1[takes]),0)</f>
        <v>0.2857142857142857</v>
      </c>
      <c r="E5" s="3">
        <f>IF(ShadowAbilities1[[#This Row],[takes]]&gt;0,ShadowAbilities1[[#This Row],[wins]]/ShadowAbilities1[[#This Row],[takes]],0)</f>
        <v>0.58181818181818179</v>
      </c>
      <c r="G5">
        <v>3</v>
      </c>
      <c r="H5">
        <f t="shared" si="2"/>
        <v>257</v>
      </c>
      <c r="I5" s="18">
        <f t="shared" si="3"/>
        <v>59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7</v>
      </c>
      <c r="M5">
        <f>COUNTIF(Scenario0[winner1-ability1],ShadowAbilities1Scenario0[[#This Row],[ability]])+COUNTIF(Scenario0[winner2-ability1],ShadowAbilities1Scenario0[[#This Row],[ability]])</f>
        <v>4</v>
      </c>
      <c r="N5" s="3">
        <f>IF(SUM(ShadowAbilities1Scenario0[[#This Row],[takes]]) &gt; 0,ShadowAbilities1Scenario0[[#This Row],[takes]]/SUM(ShadowAbilities1Scenario0[takes]),0)</f>
        <v>6.6666666666666666E-2</v>
      </c>
      <c r="O5" s="3">
        <f>IF(ShadowAbilities1Scenario0[[#This Row],[takes]]&gt;0,ShadowAbilities1Scenario0[[#This Row],[wins]]/ShadowAbilities1Scenario0[[#This Row],[takes]],0)</f>
        <v>0.5714285714285714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38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3</v>
      </c>
      <c r="U5" t="s">
        <v>180</v>
      </c>
      <c r="V5" s="16">
        <f>ShadowEquip[[#This Row],[chestpiece]]/SUM(ShadowEquip[chestpiece])</f>
        <v>0.15324675324675324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0.41558441558441561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0.31168831168831168</v>
      </c>
    </row>
    <row r="8" spans="1:22" x14ac:dyDescent="0.25">
      <c r="A8" s="2" t="s">
        <v>141</v>
      </c>
      <c r="B8" s="2">
        <f>L8+L29+L50+L71+L92+L113</f>
        <v>90</v>
      </c>
      <c r="C8" s="2">
        <f>M8+M29+M50+M71+M92+M113</f>
        <v>41</v>
      </c>
      <c r="D8" s="12">
        <f>IF(SUM(ShadowAbilities2[[#This Row],[takes]]) &gt; 0,ShadowAbilities2[[#This Row],[takes]]/SUM(ShadowAbilities2[takes]),0)</f>
        <v>0.5625</v>
      </c>
      <c r="E8" s="12">
        <f>IF(ShadowAbilities2[[#This Row],[takes]]&gt;0,ShadowAbilities2[[#This Row],[wins]]/ShadowAbilities2[[#This Row],[takes]],0)</f>
        <v>0.45555555555555555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9</v>
      </c>
      <c r="M8" s="2">
        <f>COUNTIF(Scenario0[winner1-ability2],ShadowAbilities2Scenario0[[#This Row],[ability]])+COUNTIF(Scenario0[winner2-ability2],ShadowAbilities2Scenario0[[#This Row],[ability]])</f>
        <v>6</v>
      </c>
      <c r="N8" s="12">
        <f>IF(SUM(ShadowAbilities2Scenario0[[#This Row],[takes]]) &gt; 0,ShadowAbilities2Scenario0[[#This Row],[takes]]/SUM(ShadowAbilities2Scenario0[takes]),0)</f>
        <v>0.6428571428571429</v>
      </c>
      <c r="O8" s="12">
        <f>IF(ShadowAbilities2Scenario0[[#This Row],[takes]]&gt;0,ShadowAbilities2Scenario0[[#This Row],[wins]]/ShadowAbilities2Scenario0[[#This Row],[takes]],0)</f>
        <v>0.66666666666666663</v>
      </c>
      <c r="S8" s="18"/>
      <c r="U8" t="s">
        <v>178</v>
      </c>
      <c r="V8" s="16">
        <f>SUM(ShadowAbilities4[takes])/SUM(ShadowAbilities1[takes])</f>
        <v>0.22337662337662337</v>
      </c>
    </row>
    <row r="9" spans="1:22" x14ac:dyDescent="0.25">
      <c r="A9" t="s">
        <v>92</v>
      </c>
      <c r="B9" s="2">
        <f t="shared" ref="B9:B10" si="4">L9+L30+L51+L72+L93+L114</f>
        <v>30</v>
      </c>
      <c r="C9" s="2">
        <f t="shared" ref="C9:C10" si="5">M9+M30+M51+M72+M93+M114</f>
        <v>11</v>
      </c>
      <c r="D9" s="3">
        <f>IF(SUM(ShadowAbilities2[[#This Row],[takes]]) &gt; 0,ShadowAbilities2[[#This Row],[takes]]/SUM(ShadowAbilities2[takes]),0)</f>
        <v>0.1875</v>
      </c>
      <c r="E9" s="3">
        <f>IF(ShadowAbilities2[[#This Row],[takes]]&gt;0,ShadowAbilities2[[#This Row],[wins]]/ShadowAbilities2[[#This Row],[takes]],0)</f>
        <v>0.36666666666666664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2</v>
      </c>
      <c r="M9" s="2">
        <f>COUNTIF(Scenario0[winner1-ability2],ShadowAbilities2Scenario0[[#This Row],[ability]])+COUNTIF(Scenario0[winner2-ability2],ShadowAbilities2Scenario0[[#This Row],[ability]])</f>
        <v>1</v>
      </c>
      <c r="N9" s="3">
        <f>IF(SUM(ShadowAbilities2Scenario0[[#This Row],[takes]]) &gt; 0,ShadowAbilities2Scenario0[[#This Row],[takes]]/SUM(ShadowAbilities2Scenario0[takes]),0)</f>
        <v>0.14285714285714285</v>
      </c>
      <c r="O9" s="3">
        <f>IF(ShadowAbilities2Scenario0[[#This Row],[takes]]&gt;0,ShadowAbilities2Scenario0[[#This Row],[wins]]/ShadowAbilities2Scenario0[[#This Row],[takes]],0)</f>
        <v>0.5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2.220779220779221</v>
      </c>
    </row>
    <row r="10" spans="1:22" x14ac:dyDescent="0.25">
      <c r="A10" s="10" t="s">
        <v>76</v>
      </c>
      <c r="B10" s="2">
        <f t="shared" si="4"/>
        <v>40</v>
      </c>
      <c r="C10" s="2">
        <f t="shared" si="5"/>
        <v>20</v>
      </c>
      <c r="D10" s="13">
        <f>IF(SUM(ShadowAbilities2[[#This Row],[takes]]) &gt; 0,ShadowAbilities2[[#This Row],[takes]]/SUM(ShadowAbilities2[takes]),0)</f>
        <v>0.25</v>
      </c>
      <c r="E10" s="13">
        <f>IF(ShadowAbilities2[[#This Row],[takes]]&gt;0,ShadowAbilities2[[#This Row],[wins]]/ShadowAbilities2[[#This Row],[takes]],0)</f>
        <v>0.5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3</v>
      </c>
      <c r="M10" s="2">
        <f>COUNTIF(Scenario0[winner1-ability2],ShadowAbilities2Scenario0[[#This Row],[ability]])+COUNTIF(Scenario0[winner2-ability2],ShadowAbilities2Scenario0[[#This Row],[ability]])</f>
        <v>3</v>
      </c>
      <c r="N10" s="13">
        <f>IF(SUM(ShadowAbilities2Scenario0[[#This Row],[takes]]) &gt; 0,ShadowAbilities2Scenario0[[#This Row],[takes]]/SUM(ShadowAbilities2Scenario0[takes]),0)</f>
        <v>0.21428571428571427</v>
      </c>
      <c r="O10" s="13">
        <f>IF(ShadowAbilities2Scenario0[[#This Row],[takes]]&gt;0,ShadowAbilities2Scenario0[[#This Row],[wins]]/ShadowAbilities2Scenario0[[#This Row],[takes]],0)</f>
        <v>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36</v>
      </c>
      <c r="C13" s="1">
        <f>M13+M34+M55+M76+M97+M118</f>
        <v>17</v>
      </c>
      <c r="D13" s="14">
        <f>IF(SUM(ShadowAbilities3[[#This Row],[takes]]) &gt; 0,ShadowAbilities3[[#This Row],[takes]]/SUM(ShadowAbilities3[takes]),0)</f>
        <v>0.3</v>
      </c>
      <c r="E13" s="14">
        <f>IF(ShadowAbilities3[[#This Row],[takes]]&gt;0,ShadowAbilities3[[#This Row],[wins]]/ShadowAbilities3[[#This Row],[takes]],0)</f>
        <v>0.47222222222222221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3" s="1">
        <f>COUNTIF(Scenario0[winner1-ability3],ShadowAbilities3Scenario0[[#This Row],[ability]])+COUNTIF(Scenario0[winner2-ability3],ShadowAbilities3Scenario0[[#This Row],[ability]])</f>
        <v>0</v>
      </c>
      <c r="N13" s="14">
        <f>IF(SUM(ShadowAbilities3Scenario0[[#This Row],[takes]]) &gt; 0,ShadowAbilities3Scenario0[[#This Row],[takes]]/SUM(ShadowAbilities3Scenario0[takes]),0)</f>
        <v>0</v>
      </c>
      <c r="O13" s="14">
        <f>IF(ShadowAbilities3Scenario0[[#This Row],[takes]]&gt;0,ShadowAbilities3Scenario0[[#This Row],[wins]]/ShadowAbilities3Scenario0[[#This Row],[takes]],0)</f>
        <v>0</v>
      </c>
      <c r="S13" s="18"/>
    </row>
    <row r="14" spans="1:22" x14ac:dyDescent="0.25">
      <c r="A14" s="2" t="s">
        <v>142</v>
      </c>
      <c r="B14" s="2">
        <f t="shared" ref="B14:B15" si="6">L14+L35+L56+L77+L98+L119</f>
        <v>40</v>
      </c>
      <c r="C14" s="2">
        <f t="shared" ref="C14:C15" si="7">M14+M35+M56+M77+M98+M119</f>
        <v>13</v>
      </c>
      <c r="D14" s="12">
        <f>IF(SUM(ShadowAbilities3[[#This Row],[takes]]) &gt; 0,ShadowAbilities3[[#This Row],[takes]]/SUM(ShadowAbilities3[takes]),0)</f>
        <v>0.33333333333333331</v>
      </c>
      <c r="E14" s="12">
        <f>IF(ShadowAbilities3[[#This Row],[takes]]&gt;0,ShadowAbilities3[[#This Row],[wins]]/ShadowAbilities3[[#This Row],[takes]],0)</f>
        <v>0.32500000000000001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4" s="2">
        <f>COUNTIF(Scenario0[winner1-ability3],ShadowAbilities3Scenario0[[#This Row],[ability]])+COUNTIF(Scenario0[winner2-ability3],ShadowAbilities3Scenario0[[#This Row],[ability]])</f>
        <v>0</v>
      </c>
      <c r="N14" s="12">
        <f>IF(SUM(ShadowAbilities3Scenario0[[#This Row],[takes]]) &gt; 0,ShadowAbilities3Scenario0[[#This Row],[takes]]/SUM(ShadowAbilities3Scenario0[takes]),0)</f>
        <v>0</v>
      </c>
      <c r="O14" s="12">
        <f>IF(ShadowAbilities3Scenario0[[#This Row],[takes]]&gt;0,ShadowAbilities3Scenario0[[#This Row],[wins]]/ShadowAbilities3Scenario0[[#This Row],[takes]],0)</f>
        <v>0</v>
      </c>
      <c r="S14" s="18"/>
    </row>
    <row r="15" spans="1:22" x14ac:dyDescent="0.25">
      <c r="A15" s="11" t="s">
        <v>93</v>
      </c>
      <c r="B15" s="1">
        <f t="shared" si="6"/>
        <v>44</v>
      </c>
      <c r="C15" s="1">
        <f t="shared" si="7"/>
        <v>22</v>
      </c>
      <c r="D15" s="15">
        <f>IF(SUM(ShadowAbilities3[[#This Row],[takes]]) &gt; 0,ShadowAbilities3[[#This Row],[takes]]/SUM(ShadowAbilities3[takes]),0)</f>
        <v>0.36666666666666664</v>
      </c>
      <c r="E15" s="15">
        <f>IF(ShadowAbilities3[[#This Row],[takes]]&gt;0,ShadowAbilities3[[#This Row],[wins]]/ShadowAbilities3[[#This Row],[takes]],0)</f>
        <v>0.5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5" s="1">
        <f>COUNTIF(Scenario0[winner1-ability3],ShadowAbilities3Scenario0[[#This Row],[ability]])+COUNTIF(Scenario0[winner2-ability3],ShadowAbilities3Scenario0[[#This Row],[ability]])</f>
        <v>1</v>
      </c>
      <c r="N15" s="15">
        <f>IF(SUM(ShadowAbilities3Scenario0[[#This Row],[takes]]) &gt; 0,ShadowAbilities3Scenario0[[#This Row],[takes]]/SUM(ShadowAbilities3Scenario0[takes]),0)</f>
        <v>1</v>
      </c>
      <c r="O15" s="15">
        <f>IF(ShadowAbilities3Scenario0[[#This Row],[takes]]&gt;0,ShadowAbilities3Scenario0[[#This Row],[wins]]/ShadowAbilities3Scenario0[[#This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31</v>
      </c>
      <c r="C18" s="2">
        <f>M18+M39+M60+M81+M102+M123</f>
        <v>10</v>
      </c>
      <c r="D18" s="12">
        <f>IF(SUM(ShadowAbilities4[[#This Row],[takes]]) &gt; 0,ShadowAbilities4[[#This Row],[takes]]/SUM(ShadowAbilities4[takes]),0)</f>
        <v>0.36046511627906974</v>
      </c>
      <c r="E18" s="12">
        <f>IF(ShadowAbilities4[[#This Row],[takes]]&gt;0,ShadowAbilities4[[#This Row],[wins]]/ShadowAbilities4[[#This Row],[takes]],0)</f>
        <v>0.32258064516129031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25">
      <c r="A19" s="2" t="s">
        <v>144</v>
      </c>
      <c r="B19" s="2">
        <f t="shared" ref="B19:B20" si="8">L19+L40+L61+L82+L103+L124</f>
        <v>23</v>
      </c>
      <c r="C19" s="2">
        <f t="shared" ref="C19:C20" si="9">M19+M40+M61+M82+M103+M124</f>
        <v>7</v>
      </c>
      <c r="D19" s="12">
        <f>IF(SUM(ShadowAbilities4[[#This Row],[takes]]) &gt; 0,ShadowAbilities4[[#This Row],[takes]]/SUM(ShadowAbilities4[takes]),0)</f>
        <v>0.26744186046511625</v>
      </c>
      <c r="E19" s="12">
        <f>IF(ShadowAbilities4[[#This Row],[takes]]&gt;0,ShadowAbilities4[[#This Row],[wins]]/ShadowAbilities4[[#This Row],[takes]],0)</f>
        <v>0.30434782608695654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0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.75" thickBot="1" x14ac:dyDescent="0.3">
      <c r="A20" s="10" t="s">
        <v>94</v>
      </c>
      <c r="B20" s="2">
        <f t="shared" si="8"/>
        <v>32</v>
      </c>
      <c r="C20" s="2">
        <f t="shared" si="9"/>
        <v>11</v>
      </c>
      <c r="D20" s="26">
        <f>IF(SUM(ShadowAbilities4[[#This Row],[takes]]) &gt; 0,ShadowAbilities4[[#This Row],[takes]]/SUM(ShadowAbilities4[takes]),0)</f>
        <v>0.37209302325581395</v>
      </c>
      <c r="E20" s="26">
        <f>IF(ShadowAbilities4[[#This Row],[takes]]&gt;0,ShadowAbilities4[[#This Row],[wins]]/ShadowAbilities4[[#This Row],[takes]],0)</f>
        <v>0.34375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18</v>
      </c>
      <c r="M24">
        <f>COUNTIF(Scenario1[winner1-ability1],ShadowAbilities1Scenario1[[#This Row],[ability]])+COUNTIF(Scenario1[winner2-ability1],ShadowAbilities1Scenario1[[#This Row],[ability]])</f>
        <v>5</v>
      </c>
      <c r="N24" s="3">
        <f>IF(SUM(ShadowAbilities1Scenario1[[#This Row],[takes]]) &gt; 0,ShadowAbilities1Scenario1[[#This Row],[takes]]/SUM(ShadowAbilities1Scenario1[takes]),0)</f>
        <v>0.17142857142857143</v>
      </c>
      <c r="O24" s="3">
        <f>IF(ShadowAbilities1Scenario1[[#This Row],[takes]]&gt;0,ShadowAbilities1Scenario1[[#This Row],[wins]]/ShadowAbilities1Scenario1[[#This Row],[takes]],0)</f>
        <v>0.27777777777777779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2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88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48</v>
      </c>
      <c r="M25">
        <f>COUNTIF(Scenario1[winner1-ability1],ShadowAbilities1Scenario1[[#This Row],[ability]])+COUNTIF(Scenario1[winner2-ability1],ShadowAbilities1Scenario1[[#This Row],[ability]])</f>
        <v>27</v>
      </c>
      <c r="N25" s="3">
        <f>IF(SUM(ShadowAbilities1Scenario1[[#This Row],[takes]]) &gt; 0,ShadowAbilities1Scenario1[[#This Row],[takes]]/SUM(ShadowAbilities1Scenario1[takes]),0)</f>
        <v>0.45714285714285713</v>
      </c>
      <c r="O25" s="3">
        <f>IF(ShadowAbilities1Scenario1[[#This Row],[takes]]&gt;0,ShadowAbilities1Scenario1[[#This Row],[wins]]/ShadowAbilities1Scenario1[[#This Row],[takes]],0)</f>
        <v>0.5625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49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13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39</v>
      </c>
      <c r="M26">
        <f>COUNTIF(Scenario1[winner1-ability1],ShadowAbilities1Scenario1[[#This Row],[ability]])+COUNTIF(Scenario1[winner2-ability1],ShadowAbilities1Scenario1[[#This Row],[ability]])</f>
        <v>19</v>
      </c>
      <c r="N26" s="3">
        <f>IF(SUM(ShadowAbilities1Scenario1[[#This Row],[takes]]) &gt; 0,ShadowAbilities1Scenario1[[#This Row],[takes]]/SUM(ShadowAbilities1Scenario1[takes]),0)</f>
        <v>0.37142857142857144</v>
      </c>
      <c r="O26" s="3">
        <f>IF(ShadowAbilities1Scenario1[[#This Row],[takes]]&gt;0,ShadowAbilities1Scenario1[[#This Row],[wins]]/ShadowAbilities1Scenario1[[#This Row],[takes]],0)</f>
        <v>0.48717948717948717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54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4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3</v>
      </c>
      <c r="M29" s="2">
        <f>COUNTIF(Scenario1[winner1-ability2],ShadowAbilities2Scenario1[[#This Row],[ability]])+COUNTIF(Scenario1[winner2-ability2],ShadowAbilities2Scenario1[[#This Row],[ability]])</f>
        <v>2</v>
      </c>
      <c r="N29" s="12">
        <f>IF(SUM(ShadowAbilities2Scenario1[[#This Row],[takes]]) &gt; 0,ShadowAbilities2Scenario1[[#This Row],[takes]]/SUM(ShadowAbilities2Scenario1[takes]),0)</f>
        <v>0.3</v>
      </c>
      <c r="O29" s="12">
        <f>IF(ShadowAbilities2Scenario1[[#This Row],[takes]]&gt;0,ShadowAbilities2Scenario1[[#This Row],[wins]]/ShadowAbilities2Scenario1[[#This Row],[takes]],0)</f>
        <v>0.66666666666666663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3</v>
      </c>
      <c r="M30" s="2">
        <f>COUNTIF(Scenario1[winner1-ability2],ShadowAbilities2Scenario1[[#This Row],[ability]])+COUNTIF(Scenario1[winner2-ability2],ShadowAbilities2Scenario1[[#This Row],[ability]])</f>
        <v>1</v>
      </c>
      <c r="N30" s="3">
        <f>IF(SUM(ShadowAbilities2Scenario1[[#This Row],[takes]]) &gt; 0,ShadowAbilities2Scenario1[[#This Row],[takes]]/SUM(ShadowAbilities2Scenario1[takes]),0)</f>
        <v>0.3</v>
      </c>
      <c r="O30" s="3">
        <f>IF(ShadowAbilities2Scenario1[[#This Row],[takes]]&gt;0,ShadowAbilities2Scenario1[[#This Row],[wins]]/ShadowAbilities2Scenario1[[#This Row],[takes]],0)</f>
        <v>0.33333333333333331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4</v>
      </c>
      <c r="M31" s="2">
        <f>COUNTIF(Scenario1[winner1-ability2],ShadowAbilities2Scenario1[[#This Row],[ability]])+COUNTIF(Scenario1[winner2-ability2],ShadowAbilities2Scenario1[[#This Row],[ability]])</f>
        <v>2</v>
      </c>
      <c r="N31" s="13">
        <f>IF(SUM(ShadowAbilities2Scenario1[[#This Row],[takes]]) &gt; 0,ShadowAbilities2Scenario1[[#This Row],[takes]]/SUM(ShadowAbilities2Scenario1[takes]),0)</f>
        <v>0.4</v>
      </c>
      <c r="O31" s="13">
        <f>IF(ShadowAbilities2Scenario1[[#This Row],[takes]]&gt;0,ShadowAbilities2Scenario1[[#This Row],[wins]]/ShadowAbilities2Scenario1[[#This Row],[takes]],0)</f>
        <v>0.5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2</v>
      </c>
      <c r="M34" s="1">
        <f>COUNTIF(Scenario1[winner1-ability3],ShadowAbilities3Scenario1[[#This Row],[ability]])+COUNTIF(Scenario1[winner2-ability3],ShadowAbilities3Scenario1[[#This Row],[ability]])</f>
        <v>1</v>
      </c>
      <c r="N34" s="14">
        <f>IF(SUM(ShadowAbilities3Scenario1[[#This Row],[takes]]) &gt; 0,ShadowAbilities3Scenario1[[#This Row],[takes]]/SUM(ShadowAbilities3Scenario1[takes]),0)</f>
        <v>0.4</v>
      </c>
      <c r="O34" s="14">
        <f>IF(ShadowAbilities3Scenario1[[#This Row],[takes]]&gt;0,ShadowAbilities3Scenario1[[#This Row],[wins]]/ShadowAbilities3Scenario1[[#This Row],[takes]],0)</f>
        <v>0.5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5" s="2">
        <f>COUNTIF(Scenario1[winner1-ability3],ShadowAbilities3Scenario1[[#This Row],[ability]])+COUNTIF(Scenario1[winner2-ability3],ShadowAbilities3Scenario1[[#This Row],[ability]])</f>
        <v>0</v>
      </c>
      <c r="N35" s="12">
        <f>IF(SUM(ShadowAbilities3Scenario1[[#This Row],[takes]]) &gt; 0,ShadowAbilities3Scenario1[[#This Row],[takes]]/SUM(ShadowAbilities3Scenario1[takes]),0)</f>
        <v>0.2</v>
      </c>
      <c r="O35" s="12">
        <f>IF(ShadowAbilities3Scenario1[[#This Row],[takes]]&gt;0,ShadowAbilities3Scenario1[[#This Row],[wins]]/ShadowAbilities3Scenario1[[#This Row],[takes]],0)</f>
        <v>0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2</v>
      </c>
      <c r="M36" s="1">
        <f>COUNTIF(Scenario1[winner1-ability3],ShadowAbilities3Scenario1[[#This Row],[ability]])+COUNTIF(Scenario1[winner2-ability3],ShadowAbilities3Scenario1[[#This Row],[ability]])</f>
        <v>0</v>
      </c>
      <c r="N36" s="15">
        <f>IF(SUM(ShadowAbilities3Scenario1[[#This Row],[takes]]) &gt; 0,ShadowAbilities3Scenario1[[#This Row],[takes]]/SUM(ShadowAbilities3Scenario1[takes]),0)</f>
        <v>0.4</v>
      </c>
      <c r="O36" s="15">
        <f>IF(ShadowAbilities3Scenario1[[#This Row],[takes]]&gt;0,ShadowAbilities3Scenario1[[#This Row],[wins]]/ShadowAbilities3Scenario1[[#This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39" s="2">
        <f>COUNTIF(Scenario1[winner1-ability4],ShadowAbilities4Scenario1[[#This Row],[ability]])+COUNTIF(Scenario1[winner2-ability4],ShadowAbilities4Scenario1[[#This Row],[ability]])</f>
        <v>0</v>
      </c>
      <c r="N39" s="12">
        <f>IF(SUM(ShadowAbilities4Scenario1[[#This Row],[takes]]) &gt; 0,ShadowAbilities4Scenario1[[#This Row],[takes]]/SUM(ShadowAbilities4Scenario1[takes]),0)</f>
        <v>0.33333333333333331</v>
      </c>
      <c r="O39" s="12">
        <f>IF(ShadowAbilities4Scenario1[[#This Row],[takes]]&gt;0,ShadowAbilities4Scenario1[[#This Row],[wins]]/ShadowAbilities4Scenario1[[#This Row],[takes]],0)</f>
        <v>0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40" s="2">
        <f>COUNTIF(Scenario1[winner1-ability4],ShadowAbilities4Scenario1[[#This Row],[ability]])+COUNTIF(Scenario1[winner2-ability4],ShadowAbilities4Scenario1[[#This Row],[ability]])</f>
        <v>0</v>
      </c>
      <c r="N40" s="12">
        <f>IF(SUM(ShadowAbilities4Scenario1[[#This Row],[takes]]) &gt; 0,ShadowAbilities4Scenario1[[#This Row],[takes]]/SUM(ShadowAbilities4Scenario1[takes]),0)</f>
        <v>0.33333333333333331</v>
      </c>
      <c r="O40" s="12">
        <f>IF(ShadowAbilities4Scenario1[[#This Row],[takes]]&gt;0,ShadowAbilities4Scenario1[[#This Row],[wins]]/ShadowAbilities4Scenario1[[#This Row],[takes]],0)</f>
        <v>0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0.33333333333333331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9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7</v>
      </c>
      <c r="M46">
        <f>COUNTIF(Scenario2[winner1-ability1],ShadowAbilities1Scenario2[[#This Row],[ability]])</f>
        <v>1</v>
      </c>
      <c r="N46" s="3">
        <f>IF(SUM(ShadowAbilities1Scenario2[[#This Row],[takes]]) &gt; 0,ShadowAbilities1Scenario2[[#This Row],[takes]]/SUM(ShadowAbilities1Scenario2[takes]),0)</f>
        <v>0.5</v>
      </c>
      <c r="O46" s="3">
        <f>IF(ShadowAbilities1Scenario2[[#This Row],[takes]]&gt;0,ShadowAbilities1Scenario2[[#This Row],[wins]]/ShadowAbilities1Scenario2[[#This Row],[takes]],0)</f>
        <v>0.14285714285714285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0</v>
      </c>
      <c r="S46" s="18">
        <f>COUNTIFS(Scenario2[winner1],"shadow",Scenario2[winner1-cp],ShadowEquipScenario2[[#This Row],[level]])+COUNTIFS(Scenario2[loser1],"shadow",Scenario2[loser1-cp],ShadowEquipScenario2[[#This Row],[level]])</f>
        <v>2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7</v>
      </c>
      <c r="M47">
        <f>COUNTIF(Scenario2[winner1-ability1],ShadowAbilities1Scenario2[[#This Row],[ability]])</f>
        <v>5</v>
      </c>
      <c r="N47" s="3">
        <f>IF(SUM(ShadowAbilities1Scenario2[[#This Row],[takes]]) &gt; 0,ShadowAbilities1Scenario2[[#This Row],[takes]]/SUM(ShadowAbilities1Scenario2[takes]),0)</f>
        <v>0.5</v>
      </c>
      <c r="O47" s="3">
        <f>IF(ShadowAbilities1Scenario2[[#This Row],[takes]]&gt;0,ShadowAbilities1Scenario2[[#This Row],[wins]]/ShadowAbilities1Scenario2[[#This Row],[takes]],0)</f>
        <v>0.7142857142857143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14</v>
      </c>
      <c r="S47" s="18">
        <f>COUNTIFS(Scenario2[winner1],"shadow",Scenario2[winner1-cp],ShadowEquipScenario2[[#This Row],[level]])+COUNTIFS(Scenario2[loser1],"shadow",Scenario2[loser1-cp],ShadowEquipScenario2[[#This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7</v>
      </c>
      <c r="M50" s="2">
        <f>COUNTIF(Scenario2[winner1-ability2],ShadowAbilities2Scenario2[[#This Row],[ability]])</f>
        <v>2</v>
      </c>
      <c r="N50" s="12">
        <f>IF(SUM(ShadowAbilities2Scenario2[[#This Row],[takes]]) &gt; 0,ShadowAbilities2Scenario2[[#This Row],[takes]]/SUM(ShadowAbilities2Scenario2[takes]),0)</f>
        <v>0.7</v>
      </c>
      <c r="O50" s="12">
        <f>IF(ShadowAbilities2Scenario2[[#This Row],[takes]]&gt;0,ShadowAbilities2Scenario2[[#This Row],[wins]]/ShadowAbilities2Scenario2[[#This Row],[takes]],0)</f>
        <v>0.2857142857142857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2</v>
      </c>
      <c r="M51" s="2">
        <f>COUNTIF(Scenario2[winner1-ability2],ShadowAbilities2Scenario2[[#This Row],[ability]])</f>
        <v>1</v>
      </c>
      <c r="N51" s="3">
        <f>IF(SUM(ShadowAbilities2Scenario2[[#This Row],[takes]]) &gt; 0,ShadowAbilities2Scenario2[[#This Row],[takes]]/SUM(ShadowAbilities2Scenario2[takes]),0)</f>
        <v>0.2</v>
      </c>
      <c r="O51" s="3">
        <f>IF(ShadowAbilities2Scenario2[[#This Row],[takes]]&gt;0,ShadowAbilities2Scenario2[[#This Row],[wins]]/ShadowAbilities2Scenario2[[#This Row],[takes]],0)</f>
        <v>0.5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1</v>
      </c>
      <c r="M52" s="2">
        <f>COUNTIF(Scenario2[winner1-ability2],ShadowAbilities2Scenario2[[#This Row],[ability]])</f>
        <v>1</v>
      </c>
      <c r="N52" s="13">
        <f>IF(SUM(ShadowAbilities2Scenario2[[#This Row],[takes]]) &gt; 0,ShadowAbilities2Scenario2[[#This Row],[takes]]/SUM(ShadowAbilities2Scenario2[takes]),0)</f>
        <v>0.1</v>
      </c>
      <c r="O52" s="13">
        <f>IF(ShadowAbilities2Scenario2[[#This Row],[takes]]&gt;0,ShadowAbilities2Scenario2[[#This Row],[wins]]/ShadowAbilities2Scenario2[[#This Row],[takes]],0)</f>
        <v>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2</v>
      </c>
      <c r="M55" s="1">
        <f>COUNTIF(Scenario2[winner1-ability3],ShadowAbilities3Scenario2[[#This Row],[ability]])</f>
        <v>0</v>
      </c>
      <c r="N55" s="14">
        <f>IF(SUM(ShadowAbilities3Scenario2[[#This Row],[takes]]) &gt; 0,ShadowAbilities3Scenario2[[#This Row],[takes]]/SUM(ShadowAbilities3Scenario2[takes]),0)</f>
        <v>0.33333333333333331</v>
      </c>
      <c r="O55" s="14">
        <f>IF(ShadowAbilities3Scenario2[[#This Row],[takes]]&gt;0,ShadowAbilities3Scenario2[[#This Row],[wins]]/ShadowAbilities3Scenario2[[#This Row],[takes]],0)</f>
        <v>0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1</v>
      </c>
      <c r="M56" s="2">
        <f>COUNTIF(Scenario2[winner1-ability3],ShadowAbilities3Scenario2[[#This Row],[ability]])</f>
        <v>1</v>
      </c>
      <c r="N56" s="12">
        <f>IF(SUM(ShadowAbilities3Scenario2[[#This Row],[takes]]) &gt; 0,ShadowAbilities3Scenario2[[#This Row],[takes]]/SUM(ShadowAbilities3Scenario2[takes]),0)</f>
        <v>0.16666666666666666</v>
      </c>
      <c r="O56" s="12">
        <f>IF(ShadowAbilities3Scenario2[[#This Row],[takes]]&gt;0,ShadowAbilities3Scenario2[[#This Row],[wins]]/ShadowAbilities3Scenario2[[#This Row],[takes]],0)</f>
        <v>1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3</v>
      </c>
      <c r="M57" s="1">
        <f>COUNTIF(Scenario2[winner1-ability3],ShadowAbilities3Scenario2[[#This Row],[ability]])</f>
        <v>0</v>
      </c>
      <c r="N57" s="15">
        <f>IF(SUM(ShadowAbilities3Scenario2[[#This Row],[takes]]) &gt; 0,ShadowAbilities3Scenario2[[#This Row],[takes]]/SUM(ShadowAbilities3Scenario2[takes]),0)</f>
        <v>0.5</v>
      </c>
      <c r="O57" s="15">
        <f>IF(ShadowAbilities3Scenario2[[#This Row],[takes]]&gt;0,ShadowAbilities3Scenario2[[#This Row],[wins]]/ShadowAbilities3Scenario2[[#This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1</v>
      </c>
      <c r="M60" s="2">
        <f>COUNTIF(Scenario2[winner1-ability4],ShadowAbilities4Scenario2[[#This Row],[ability]])</f>
        <v>1</v>
      </c>
      <c r="N60" s="12">
        <f>IF(SUM(ShadowAbilities4Scenario2[[#This Row],[takes]]) &gt; 0,ShadowAbilities4Scenario2[[#This Row],[takes]]/SUM(ShadowAbilities4Scenario2[takes]),0)</f>
        <v>0.2</v>
      </c>
      <c r="O60" s="12">
        <f>IF(ShadowAbilities4Scenario2[[#This Row],[takes]]&gt;0,ShadowAbilities4Scenario2[[#This Row],[wins]]/ShadowAbilities4Scenario2[[#This Row],[takes]],0)</f>
        <v>1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2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0.4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2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0.4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6">
        <f>COUNTIF(Scenario3[winner1-ability1],ShadowAbilities1Scenario3[[#This Row],[ability]])</f>
        <v>0</v>
      </c>
      <c r="N66" s="3">
        <f>IF(SUM(ShadowAbilities1Scenario3[[#This Row],[takes]]) &gt; 0,ShadowAbilities1Scenario3[[#This Row],[takes]]/SUM(ShadowAbilities1Scenario3[takes]),0)</f>
        <v>0</v>
      </c>
      <c r="O66" s="3">
        <f>IF(ShadowAbilities1Scenario3[[#This Row],[takes]]&gt;0,ShadowAbilities1Scenario3[[#This Row],[wins]]/ShadowAbilities1Scenario3[[#This Row],[takes]],0)</f>
        <v>0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8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20</v>
      </c>
      <c r="M67">
        <f>COUNTIF(Scenario3[winner1-ability1],ShadowAbilities1Scenario3[[#This Row],[ability]])</f>
        <v>4</v>
      </c>
      <c r="N67" s="3">
        <f>IF(SUM(ShadowAbilities1Scenario3[[#This Row],[takes]]) &gt; 0,ShadowAbilities1Scenario3[[#This Row],[takes]]/SUM(ShadowAbilities1Scenario3[takes]),0)</f>
        <v>0.95238095238095233</v>
      </c>
      <c r="O67" s="3">
        <f>IF(ShadowAbilities1Scenario3[[#This Row],[takes]]&gt;0,ShadowAbilities1Scenario3[[#This Row],[wins]]/ShadowAbilities1Scenario3[[#This Row],[takes]],0)</f>
        <v>0.2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4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1</v>
      </c>
      <c r="M68">
        <f>COUNTIF(Scenario3[winner1-ability1],ShadowAbilities1Scenario3[[#This Row],[ability]])</f>
        <v>0</v>
      </c>
      <c r="N68" s="3">
        <f>IF(SUM(ShadowAbilities1Scenario3[[#This Row],[takes]]) &gt; 0,ShadowAbilities1Scenario3[[#This Row],[takes]]/SUM(ShadowAbilities1Scenario3[takes]),0)</f>
        <v>4.7619047619047616E-2</v>
      </c>
      <c r="O68" s="3">
        <f>IF(ShadowAbilities1Scenario3[[#This Row],[takes]]&gt;0,ShadowAbilities1Scenario3[[#This Row],[wins]]/ShadowAbilities1Scenario3[[#This Row],[takes]],0)</f>
        <v>0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21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9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13</v>
      </c>
      <c r="M71" s="2">
        <f>COUNTIF(Scenario3[winner1-ability2],ShadowAbilities2Scenario3[[#This Row],[ability]])</f>
        <v>3</v>
      </c>
      <c r="N71" s="12">
        <f>IF(SUM(ShadowAbilities2Scenario3[[#This Row],[takes]]) &gt; 0,ShadowAbilities2Scenario3[[#This Row],[takes]]/SUM(ShadowAbilities2Scenario3[takes]),0)</f>
        <v>0.65</v>
      </c>
      <c r="O71" s="12">
        <f>IF(ShadowAbilities2Scenario3[[#This Row],[takes]]&gt;0,ShadowAbilities2Scenario3[[#This Row],[wins]]/ShadowAbilities2Scenario3[[#This Row],[takes]],0)</f>
        <v>0.23076923076923078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5</v>
      </c>
      <c r="M72" s="2">
        <f>COUNTIF(Scenario3[winner1-ability2],ShadowAbilities2Scenario3[[#This Row],[ability]])</f>
        <v>1</v>
      </c>
      <c r="N72" s="3">
        <f>IF(SUM(ShadowAbilities2Scenario3[[#This Row],[takes]]) &gt; 0,ShadowAbilities2Scenario3[[#This Row],[takes]]/SUM(ShadowAbilities2Scenario3[takes]),0)</f>
        <v>0.25</v>
      </c>
      <c r="O72" s="3">
        <f>IF(ShadowAbilities2Scenario3[[#This Row],[takes]]&gt;0,ShadowAbilities2Scenario3[[#This Row],[wins]]/ShadowAbilities2Scenario3[[#This Row],[takes]],0)</f>
        <v>0.2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2</v>
      </c>
      <c r="M73" s="2">
        <f>COUNTIF(Scenario3[winner1-ability2],ShadowAbilities2Scenario3[[#This Row],[ability]])</f>
        <v>0</v>
      </c>
      <c r="N73" s="13">
        <f>IF(SUM(ShadowAbilities2Scenario3[[#This Row],[takes]]) &gt; 0,ShadowAbilities2Scenario3[[#This Row],[takes]]/SUM(ShadowAbilities2Scenario3[takes]),0)</f>
        <v>0.1</v>
      </c>
      <c r="O73" s="13">
        <f>IF(ShadowAbilities2Scenario3[[#This Row],[takes]]&gt;0,ShadowAbilities2Scenario3[[#This Row],[wins]]/ShadowAbilities2Scenario3[[#This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3</v>
      </c>
      <c r="M76" s="1">
        <f>COUNTIF(Scenario3[winner1-ability3],ShadowAbilities3Scenario3[[#This Row],[ability]])</f>
        <v>1</v>
      </c>
      <c r="N76" s="14">
        <f>IF(SUM(ShadowAbilities3Scenario3[[#This Row],[takes]]) &gt; 0,ShadowAbilities3Scenario3[[#This Row],[takes]]/SUM(ShadowAbilities3Scenario3[takes]),0)</f>
        <v>0.17647058823529413</v>
      </c>
      <c r="O76" s="14">
        <f>IF(ShadowAbilities3Scenario3[[#This Row],[takes]]&gt;0,ShadowAbilities3Scenario3[[#This Row],[wins]]/ShadowAbilities3Scenario3[[#This Row],[takes]],0)</f>
        <v>0.33333333333333331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10</v>
      </c>
      <c r="M77" s="2">
        <f>COUNTIF(Scenario3[winner1-ability3],ShadowAbilities3Scenario3[[#This Row],[ability]])</f>
        <v>2</v>
      </c>
      <c r="N77" s="12">
        <f>IF(SUM(ShadowAbilities3Scenario3[[#This Row],[takes]]) &gt; 0,ShadowAbilities3Scenario3[[#This Row],[takes]]/SUM(ShadowAbilities3Scenario3[takes]),0)</f>
        <v>0.58823529411764708</v>
      </c>
      <c r="O77" s="12">
        <f>IF(ShadowAbilities3Scenario3[[#This Row],[takes]]&gt;0,ShadowAbilities3Scenario3[[#This Row],[wins]]/ShadowAbilities3Scenario3[[#This Row],[takes]],0)</f>
        <v>0.2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4</v>
      </c>
      <c r="M78" s="1">
        <f>COUNTIF(Scenario3[winner1-ability3],ShadowAbilities3Scenario3[[#This Row],[ability]])</f>
        <v>1</v>
      </c>
      <c r="N78" s="15">
        <f>IF(SUM(ShadowAbilities3Scenario3[[#This Row],[takes]]) &gt; 0,ShadowAbilities3Scenario3[[#This Row],[takes]]/SUM(ShadowAbilities3Scenario3[takes]),0)</f>
        <v>0.23529411764705882</v>
      </c>
      <c r="O78" s="15">
        <f>IF(ShadowAbilities3Scenario3[[#This Row],[takes]]&gt;0,ShadowAbilities3Scenario3[[#This Row],[wins]]/ShadowAbilities3Scenario3[[#This Row],[takes]],0)</f>
        <v>0.25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7</v>
      </c>
      <c r="M81" s="2">
        <f>COUNTIF(Scenario3[winner1-ability4],ShadowAbilities4Scenario3[[#This Row],[ability]])</f>
        <v>0</v>
      </c>
      <c r="N81" s="12">
        <f>IF(SUM(ShadowAbilities4Scenario3[[#This Row],[takes]]) &gt; 0,ShadowAbilities4Scenario3[[#This Row],[takes]]/SUM(ShadowAbilities4Scenario3[takes]),0)</f>
        <v>0.5</v>
      </c>
      <c r="O81" s="12">
        <f>IF(ShadowAbilities4Scenario3[[#This Row],[takes]]&gt;0,ShadowAbilities4Scenario3[[#This Row],[wins]]/ShadowAbilities4Scenario3[[#This Row],[takes]],0)</f>
        <v>0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5</v>
      </c>
      <c r="M82" s="2">
        <f>COUNTIF(Scenario3[winner1-ability4],ShadowAbilities4Scenario3[[#This Row],[ability]])</f>
        <v>2</v>
      </c>
      <c r="N82" s="12">
        <f>IF(SUM(ShadowAbilities4Scenario3[[#This Row],[takes]]) &gt; 0,ShadowAbilities4Scenario3[[#This Row],[takes]]/SUM(ShadowAbilities4Scenario3[takes]),0)</f>
        <v>0.35714285714285715</v>
      </c>
      <c r="O82" s="12">
        <f>IF(ShadowAbilities4Scenario3[[#This Row],[takes]]&gt;0,ShadowAbilities4Scenario3[[#This Row],[wins]]/ShadowAbilities4Scenario3[[#This Row],[takes]],0)</f>
        <v>0.4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2</v>
      </c>
      <c r="M83" s="2">
        <f>COUNTIF(Scenario3[winner1-ability4],ShadowAbilities4Scenario3[[#This Row],[ability]])</f>
        <v>1</v>
      </c>
      <c r="N83" s="26">
        <f>IF(SUM(ShadowAbilities4Scenario3[[#This Row],[takes]]) &gt; 0,ShadowAbilities4Scenario3[[#This Row],[takes]]/SUM(ShadowAbilities4Scenario3[takes]),0)</f>
        <v>0.14285714285714285</v>
      </c>
      <c r="O83" s="26">
        <f>IF(ShadowAbilities4Scenario3[[#This Row],[takes]]&gt;0,ShadowAbilities4Scenario3[[#This Row],[wins]]/ShadowAbilities4Scenario3[[#This Row],[takes]],0)</f>
        <v>0.5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6</v>
      </c>
      <c r="M87">
        <f>COUNTIF(Scenario4[winner1-ability1],ShadowAbilities1Scenario4[[#This Row],[ability]])</f>
        <v>0</v>
      </c>
      <c r="N87" s="3">
        <f>IF(SUM(ShadowAbilities1Scenario4[[#This Row],[takes]]) &gt; 0,ShadowAbilities1Scenario4[[#This Row],[takes]]/SUM(ShadowAbilities1Scenario4[takes]),0)</f>
        <v>0.17142857142857143</v>
      </c>
      <c r="O87" s="3">
        <f>IF(ShadowAbilities1Scenario4[[#This Row],[takes]]&gt;0,ShadowAbilities1Scenario4[[#This Row],[wins]]/ShadowAbilities1Scenario4[[#This Row],[takes]],0)</f>
        <v>0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1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5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29</v>
      </c>
      <c r="M88">
        <f>COUNTIF(Scenario4[winner1-ability1],ShadowAbilities1Scenario4[[#This Row],[ability]])</f>
        <v>7</v>
      </c>
      <c r="N88" s="3">
        <f>IF(SUM(ShadowAbilities1Scenario4[[#This Row],[takes]]) &gt; 0,ShadowAbilities1Scenario4[[#This Row],[takes]]/SUM(ShadowAbilities1Scenario4[takes]),0)</f>
        <v>0.82857142857142863</v>
      </c>
      <c r="O88" s="3">
        <f>IF(ShadowAbilities1Scenario4[[#This Row],[takes]]&gt;0,ShadowAbilities1Scenario4[[#This Row],[wins]]/ShadowAbilities1Scenario4[[#This Row],[takes]],0)</f>
        <v>0.2413793103448276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5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34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25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19</v>
      </c>
      <c r="M92" s="2">
        <f>COUNTIF(Scenario4[winner1-ability2],ShadowAbilities2Scenario4[[#This Row],[ability]])</f>
        <v>4</v>
      </c>
      <c r="N92" s="12">
        <f>IF(SUM(ShadowAbilities2Scenario4[[#This Row],[takes]]) &gt; 0,ShadowAbilities2Scenario4[[#This Row],[takes]]/SUM(ShadowAbilities2Scenario4[takes]),0)</f>
        <v>0.5757575757575758</v>
      </c>
      <c r="O92" s="12">
        <f>IF(ShadowAbilities2Scenario4[[#This Row],[takes]]&gt;0,ShadowAbilities2Scenario4[[#This Row],[wins]]/ShadowAbilities2Scenario4[[#This Row],[takes]],0)</f>
        <v>0.21052631578947367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5</v>
      </c>
      <c r="M93" s="2">
        <f>COUNTIF(Scenario4[winner1-ability2],ShadowAbilities2Scenario4[[#This Row],[ability]])</f>
        <v>0</v>
      </c>
      <c r="N93" s="3">
        <f>IF(SUM(ShadowAbilities2Scenario4[[#This Row],[takes]]) &gt; 0,ShadowAbilities2Scenario4[[#This Row],[takes]]/SUM(ShadowAbilities2Scenario4[takes]),0)</f>
        <v>0.15151515151515152</v>
      </c>
      <c r="O93" s="3">
        <f>IF(ShadowAbilities2Scenario4[[#This Row],[takes]]&gt;0,ShadowAbilities2Scenario4[[#This Row],[wins]]/ShadowAbilities2Scenario4[[#This Row],[takes]],0)</f>
        <v>0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9</v>
      </c>
      <c r="M94" s="2">
        <f>COUNTIF(Scenario4[winner1-ability2],ShadowAbilities2Scenario4[[#This Row],[ability]])</f>
        <v>3</v>
      </c>
      <c r="N94" s="13">
        <f>IF(SUM(ShadowAbilities2Scenario4[[#This Row],[takes]]) &gt; 0,ShadowAbilities2Scenario4[[#This Row],[takes]]/SUM(ShadowAbilities2Scenario4[takes]),0)</f>
        <v>0.27272727272727271</v>
      </c>
      <c r="O94" s="13">
        <f>IF(ShadowAbilities2Scenario4[[#This Row],[takes]]&gt;0,ShadowAbilities2Scenario4[[#This Row],[wins]]/ShadowAbilities2Scenario4[[#This Row],[takes]],0)</f>
        <v>0.33333333333333331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9</v>
      </c>
      <c r="M97" s="1">
        <f>COUNTIF(Scenario4[winner1-ability3],ShadowAbilities3Scenario4[[#This Row],[ability]])</f>
        <v>4</v>
      </c>
      <c r="N97" s="14">
        <f>IF(SUM(ShadowAbilities3Scenario4[[#This Row],[takes]]) &gt; 0,ShadowAbilities3Scenario4[[#This Row],[takes]]/SUM(ShadowAbilities3Scenario4[takes]),0)</f>
        <v>0.28125</v>
      </c>
      <c r="O97" s="14">
        <f>IF(ShadowAbilities3Scenario4[[#This Row],[takes]]&gt;0,ShadowAbilities3Scenario4[[#This Row],[wins]]/ShadowAbilities3Scenario4[[#This Row],[takes]],0)</f>
        <v>0.44444444444444442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20</v>
      </c>
      <c r="M98" s="2">
        <f>COUNTIF(Scenario4[winner1-ability3],ShadowAbilities3Scenario4[[#This Row],[ability]])</f>
        <v>3</v>
      </c>
      <c r="N98" s="12">
        <f>IF(SUM(ShadowAbilities3Scenario4[[#This Row],[takes]]) &gt; 0,ShadowAbilities3Scenario4[[#This Row],[takes]]/SUM(ShadowAbilities3Scenario4[takes]),0)</f>
        <v>0.625</v>
      </c>
      <c r="O98" s="12">
        <f>IF(ShadowAbilities3Scenario4[[#This Row],[takes]]&gt;0,ShadowAbilities3Scenario4[[#This Row],[wins]]/ShadowAbilities3Scenario4[[#This Row],[takes]],0)</f>
        <v>0.15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3</v>
      </c>
      <c r="M99" s="1">
        <f>COUNTIF(Scenario4[winner1-ability3],ShadowAbilities3Scenario4[[#This Row],[ability]])</f>
        <v>0</v>
      </c>
      <c r="N99" s="15">
        <f>IF(SUM(ShadowAbilities3Scenario4[[#This Row],[takes]]) &gt; 0,ShadowAbilities3Scenario4[[#This Row],[takes]]/SUM(ShadowAbilities3Scenario4[takes]),0)</f>
        <v>9.375E-2</v>
      </c>
      <c r="O99" s="15">
        <f>IF(ShadowAbilities3Scenario4[[#This Row],[takes]]&gt;0,ShadowAbilities3Scenario4[[#This Row],[wins]]/ShadowAbilities3Scenario4[[#This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10</v>
      </c>
      <c r="M102" s="2">
        <f>COUNTIF(Scenario4[winner1-ability4],ShadowAbilities4Scenario4[[#This Row],[ability]])</f>
        <v>2</v>
      </c>
      <c r="N102" s="12">
        <f>IF(SUM(ShadowAbilities4Scenario4[[#This Row],[takes]]) &gt; 0,ShadowAbilities4Scenario4[[#This Row],[takes]]/SUM(ShadowAbilities4Scenario4[takes]),0)</f>
        <v>0.34482758620689657</v>
      </c>
      <c r="O102" s="12">
        <f>IF(ShadowAbilities4Scenario4[[#This Row],[takes]]&gt;0,ShadowAbilities4Scenario4[[#This Row],[wins]]/ShadowAbilities4Scenario4[[#This Row],[takes]],0)</f>
        <v>0.2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11</v>
      </c>
      <c r="M103" s="2">
        <f>COUNTIF(Scenario4[winner1-ability4],ShadowAbilities4Scenario4[[#This Row],[ability]])</f>
        <v>4</v>
      </c>
      <c r="N103" s="12">
        <f>IF(SUM(ShadowAbilities4Scenario4[[#This Row],[takes]]) &gt; 0,ShadowAbilities4Scenario4[[#This Row],[takes]]/SUM(ShadowAbilities4Scenario4[takes]),0)</f>
        <v>0.37931034482758619</v>
      </c>
      <c r="O103" s="12">
        <f>IF(ShadowAbilities4Scenario4[[#This Row],[takes]]&gt;0,ShadowAbilities4Scenario4[[#This Row],[wins]]/ShadowAbilities4Scenario4[[#This Row],[takes]],0)</f>
        <v>0.36363636363636365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8</v>
      </c>
      <c r="M104" s="2">
        <f>COUNTIF(Scenario4[winner1-ability4],ShadowAbilities4Scenario4[[#This Row],[ability]])</f>
        <v>0</v>
      </c>
      <c r="N104" s="26">
        <f>IF(SUM(ShadowAbilities4Scenario4[[#This Row],[takes]]) &gt; 0,ShadowAbilities4Scenario4[[#This Row],[takes]]/SUM(ShadowAbilities4Scenario4[takes]),0)</f>
        <v>0.27586206896551724</v>
      </c>
      <c r="O104" s="26">
        <f>IF(ShadowAbilities4Scenario4[[#This Row],[takes]]&gt;0,ShadowAbilities4Scenario4[[#This Row],[wins]]/ShadowAbilities4Scenario4[[#This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3</v>
      </c>
      <c r="M108">
        <f>COUNTIF(Scenario5[winner1-ability1],ShadowAbilities1Scenario5[[#This Row],[ability]])+COUNTIF(Scenario5[winner2-ability1],ShadowAbilities1Scenario5[[#This Row],[ability]])</f>
        <v>2</v>
      </c>
      <c r="N108" s="3">
        <f>IF(SUM(ShadowAbilities1Scenario5[[#This Row],[takes]]) &gt; 0,ShadowAbilities1Scenario5[[#This Row],[takes]]/SUM(ShadowAbilities1Scenario5[takes]),0)</f>
        <v>2.8571428571428571E-2</v>
      </c>
      <c r="O108" s="3">
        <f>IF(ShadowAbilities1Scenario5[[#This Row],[takes]]&gt;0,ShadowAbilities1Scenario5[[#This Row],[wins]]/ShadowAbilities1Scenario5[[#This Row],[takes]],0)</f>
        <v>0.66666666666666663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0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73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46</v>
      </c>
      <c r="M109">
        <f>COUNTIF(Scenario5[winner1-ability1],ShadowAbilities1Scenario5[[#This Row],[ability]])+COUNTIF(Scenario5[winner2-ability1],ShadowAbilities1Scenario5[[#This Row],[ability]])</f>
        <v>19</v>
      </c>
      <c r="N109" s="3">
        <f>IF(SUM(ShadowAbilities1Scenario5[[#This Row],[takes]]) &gt; 0,ShadowAbilities1Scenario5[[#This Row],[takes]]/SUM(ShadowAbilities1Scenario5[takes]),0)</f>
        <v>0.43809523809523809</v>
      </c>
      <c r="O109" s="3">
        <f>IF(ShadowAbilities1Scenario5[[#This Row],[takes]]&gt;0,ShadowAbilities1Scenario5[[#This Row],[wins]]/ShadowAbilities1Scenario5[[#This Row],[takes]],0)</f>
        <v>0.41304347826086957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9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17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56</v>
      </c>
      <c r="M110">
        <f>COUNTIF(Scenario5[winner1-ability1],ShadowAbilities1Scenario5[[#This Row],[ability]])+COUNTIF(Scenario5[winner2-ability1],ShadowAbilities1Scenario5[[#This Row],[ability]])</f>
        <v>36</v>
      </c>
      <c r="N110" s="3">
        <f>IF(SUM(ShadowAbilities1Scenario5[[#This Row],[takes]]) &gt; 0,ShadowAbilities1Scenario5[[#This Row],[takes]]/SUM(ShadowAbilities1Scenario5[takes]),0)</f>
        <v>0.53333333333333333</v>
      </c>
      <c r="O110" s="3">
        <f>IF(ShadowAbilities1Scenario5[[#This Row],[takes]]&gt;0,ShadowAbilities1Scenario5[[#This Row],[wins]]/ShadowAbilities1Scenario5[[#This Row],[takes]],0)</f>
        <v>0.6428571428571429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96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15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39</v>
      </c>
      <c r="M113" s="2">
        <f>COUNTIF(Scenario5[winner1-ability2],ShadowAbilities2Scenario5[[#This Row],[ability]])+COUNTIF(Scenario5[winner2-ability2],ShadowAbilities2Scenario5[[#This Row],[ability]])</f>
        <v>24</v>
      </c>
      <c r="N113" s="12">
        <f>IF(SUM(ShadowAbilities2Scenario5[[#This Row],[takes]]) &gt; 0,ShadowAbilities2Scenario5[[#This Row],[takes]]/SUM(ShadowAbilities2Scenario5[takes]),0)</f>
        <v>0.53424657534246578</v>
      </c>
      <c r="O113" s="12">
        <f>IF(ShadowAbilities2Scenario5[[#This Row],[takes]]&gt;0,ShadowAbilities2Scenario5[[#This Row],[wins]]/ShadowAbilities2Scenario5[[#This Row],[takes]],0)</f>
        <v>0.61538461538461542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13</v>
      </c>
      <c r="M114" s="2">
        <f>COUNTIF(Scenario5[winner1-ability2],ShadowAbilities2Scenario5[[#This Row],[ability]])+COUNTIF(Scenario5[winner2-ability2],ShadowAbilities2Scenario5[[#This Row],[ability]])</f>
        <v>7</v>
      </c>
      <c r="N114" s="3">
        <f>IF(SUM(ShadowAbilities2Scenario5[[#This Row],[takes]]) &gt; 0,ShadowAbilities2Scenario5[[#This Row],[takes]]/SUM(ShadowAbilities2Scenario5[takes]),0)</f>
        <v>0.17808219178082191</v>
      </c>
      <c r="O114" s="3">
        <f>IF(ShadowAbilities2Scenario5[[#This Row],[takes]]&gt;0,ShadowAbilities2Scenario5[[#This Row],[wins]]/ShadowAbilities2Scenario5[[#This Row],[takes]],0)</f>
        <v>0.53846153846153844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21</v>
      </c>
      <c r="M115" s="2">
        <f>COUNTIF(Scenario5[winner1-ability2],ShadowAbilities2Scenario5[[#This Row],[ability]])+COUNTIF(Scenario5[winner2-ability2],ShadowAbilities2Scenario5[[#This Row],[ability]])</f>
        <v>11</v>
      </c>
      <c r="N115" s="13">
        <f>IF(SUM(ShadowAbilities2Scenario5[[#This Row],[takes]]) &gt; 0,ShadowAbilities2Scenario5[[#This Row],[takes]]/SUM(ShadowAbilities2Scenario5[takes]),0)</f>
        <v>0.28767123287671231</v>
      </c>
      <c r="O115" s="13">
        <f>IF(ShadowAbilities2Scenario5[[#This Row],[takes]]&gt;0,ShadowAbilities2Scenario5[[#This Row],[wins]]/ShadowAbilities2Scenario5[[#This Row],[takes]],0)</f>
        <v>0.52380952380952384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20</v>
      </c>
      <c r="M118" s="1">
        <f>COUNTIF(Scenario5[winner1-ability3],ShadowAbilities3Scenario5[[#This Row],[ability]])+COUNTIF(Scenario5[winner2-ability3],ShadowAbilities3Scenario5[[#This Row],[ability]])</f>
        <v>11</v>
      </c>
      <c r="N118" s="14">
        <f>IF(SUM(ShadowAbilities3Scenario5[[#This Row],[takes]]) &gt; 0,ShadowAbilities3Scenario5[[#This Row],[takes]]/SUM(ShadowAbilities3Scenario5[takes]),0)</f>
        <v>0.33898305084745761</v>
      </c>
      <c r="O118" s="14">
        <f>IF(ShadowAbilities3Scenario5[[#This Row],[takes]]&gt;0,ShadowAbilities3Scenario5[[#This Row],[wins]]/ShadowAbilities3Scenario5[[#This Row],[takes]],0)</f>
        <v>0.55000000000000004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8</v>
      </c>
      <c r="M119" s="2">
        <f>COUNTIF(Scenario5[winner1-ability3],ShadowAbilities3Scenario5[[#This Row],[ability]])+COUNTIF(Scenario5[winner2-ability3],ShadowAbilities3Scenario5[[#This Row],[ability]])</f>
        <v>7</v>
      </c>
      <c r="N119" s="12">
        <f>IF(SUM(ShadowAbilities3Scenario5[[#This Row],[takes]]) &gt; 0,ShadowAbilities3Scenario5[[#This Row],[takes]]/SUM(ShadowAbilities3Scenario5[takes]),0)</f>
        <v>0.13559322033898305</v>
      </c>
      <c r="O119" s="12">
        <f>IF(ShadowAbilities3Scenario5[[#This Row],[takes]]&gt;0,ShadowAbilities3Scenario5[[#This Row],[wins]]/ShadowAbilities3Scenario5[[#This Row],[takes]],0)</f>
        <v>0.875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31</v>
      </c>
      <c r="M120" s="1">
        <f>COUNTIF(Scenario5[winner1-ability3],ShadowAbilities3Scenario5[[#This Row],[ability]])+COUNTIF(Scenario5[winner2-ability3],ShadowAbilities3Scenario5[[#This Row],[ability]])</f>
        <v>20</v>
      </c>
      <c r="N120" s="15">
        <f>IF(SUM(ShadowAbilities3Scenario5[[#This Row],[takes]]) &gt; 0,ShadowAbilities3Scenario5[[#This Row],[takes]]/SUM(ShadowAbilities3Scenario5[takes]),0)</f>
        <v>0.52542372881355937</v>
      </c>
      <c r="O120" s="15">
        <f>IF(ShadowAbilities3Scenario5[[#This Row],[takes]]&gt;0,ShadowAbilities3Scenario5[[#This Row],[wins]]/ShadowAbilities3Scenario5[[#This Row],[takes]],0)</f>
        <v>0.64516129032258063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12</v>
      </c>
      <c r="M123" s="2">
        <f>COUNTIF(Scenario5[winner1-ability4],ShadowAbilities4Scenario5[[#This Row],[ability]])+COUNTIF(Scenario5[winner2-ability4],ShadowAbilities4Scenario5[[#This Row],[ability]])</f>
        <v>7</v>
      </c>
      <c r="N123" s="12">
        <f>IF(SUM(ShadowAbilities4Scenario5[[#This Row],[takes]]) &gt; 0,ShadowAbilities4Scenario5[[#This Row],[takes]]/SUM(ShadowAbilities4Scenario5[takes]),0)</f>
        <v>0.34285714285714286</v>
      </c>
      <c r="O123" s="12">
        <f>IF(ShadowAbilities4Scenario5[[#This Row],[takes]]&gt;0,ShadowAbilities4Scenario5[[#This Row],[wins]]/ShadowAbilities4Scenario5[[#This Row],[takes]],0)</f>
        <v>0.58333333333333337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4</v>
      </c>
      <c r="M124" s="2">
        <f>COUNTIF(Scenario5[winner1-ability4],ShadowAbilities4Scenario5[[#This Row],[ability]])+COUNTIF(Scenario5[winner2-ability4],ShadowAbilities4Scenario5[[#This Row],[ability]])</f>
        <v>1</v>
      </c>
      <c r="N124" s="12">
        <f>IF(SUM(ShadowAbilities4Scenario5[[#This Row],[takes]]) &gt; 0,ShadowAbilities4Scenario5[[#This Row],[takes]]/SUM(ShadowAbilities4Scenario5[takes]),0)</f>
        <v>0.11428571428571428</v>
      </c>
      <c r="O124" s="12">
        <f>IF(ShadowAbilities4Scenario5[[#This Row],[takes]]&gt;0,ShadowAbilities4Scenario5[[#This Row],[wins]]/ShadowAbilities4Scenario5[[#This Row],[takes]],0)</f>
        <v>0.25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19</v>
      </c>
      <c r="M125" s="2">
        <f>COUNTIF(Scenario5[winner1-ability4],ShadowAbilities4Scenario5[[#This Row],[ability]])+COUNTIF(Scenario5[winner2-ability4],ShadowAbilities4Scenario5[[#This Row],[ability]])</f>
        <v>10</v>
      </c>
      <c r="N125" s="26">
        <f>IF(SUM(ShadowAbilities4Scenario5[[#This Row],[takes]]) &gt; 0,ShadowAbilities4Scenario5[[#This Row],[takes]]/SUM(ShadowAbilities4Scenario5[takes]),0)</f>
        <v>0.54285714285714282</v>
      </c>
      <c r="O125" s="26">
        <f>IF(ShadowAbilities4Scenario5[[#This Row],[takes]]&gt;0,ShadowAbilities4Scenario5[[#This Row],[wins]]/ShadowAbilities4Scenario5[[#This Row],[takes]],0)</f>
        <v>0.52631578947368418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workbookViewId="0">
      <selection activeCell="O25" sqref="O25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MIN(Scenario0[crystals])</f>
        <v>1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6.3380952380952378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3" s="3">
        <f>IF(ScenarioTeams0[[#This Row],[battles]],ScenarioTeams0[[#This Row],[wins]]/ScenarioTeams0[[#This Row],[battles]],0)</f>
        <v>0.4</v>
      </c>
      <c r="O3" s="4" t="s">
        <v>159</v>
      </c>
      <c r="P3" s="30">
        <f>MAX(Scenario0[crystals])</f>
        <v>15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4" s="3">
        <f>IF(ScenarioTeams0[[#This Row],[battles]],ScenarioTeams0[[#This Row],[wins]]/ScenarioTeams0[[#This Row],[battles]],0)</f>
        <v>0.26666666666666666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5" s="3">
        <f>IF(ScenarioTeams0[[#This Row],[battles]],ScenarioTeams0[[#This Row],[wins]]/ScenarioTeams0[[#This Row],[battles]],0)</f>
        <v>0.46666666666666667</v>
      </c>
      <c r="O5" s="4" t="s">
        <v>158</v>
      </c>
      <c r="P5" s="30">
        <f>MIN(Scenario0[turns])</f>
        <v>15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6" s="3">
        <f>IF(ScenarioTeams0[[#This Row],[battles]],ScenarioTeams0[[#This Row],[wins]]/ScenarioTeams0[[#This Row],[battles]],0)</f>
        <v>0.53333333333333333</v>
      </c>
      <c r="O6" s="5" t="s">
        <v>108</v>
      </c>
      <c r="P6" s="31">
        <f>AVERAGE(Scenario0[turns])</f>
        <v>29.009523809523809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7" s="3">
        <f>IF(ScenarioTeams0[[#This Row],[battles]],ScenarioTeams0[[#This Row],[wins]]/ScenarioTeams0[[#This Row],[battles]],0)</f>
        <v>0.73333333333333328</v>
      </c>
      <c r="O7" s="5" t="s">
        <v>160</v>
      </c>
      <c r="P7" s="31">
        <f>MAX(Scenario0[turns])</f>
        <v>69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8" s="3">
        <f>IF(ScenarioTeams0[[#This Row],[battles]],ScenarioTeams0[[#This Row],[wins]]/ScenarioTeams0[[#This Row],[battles]],0)</f>
        <v>0.4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9" s="3">
        <f>IF(ScenarioTeams0[[#This Row],[battles]],ScenarioTeams0[[#This Row],[wins]]/ScenarioTeams0[[#This Row],[battles]],0)</f>
        <v>0.33333333333333331</v>
      </c>
      <c r="O9" s="4" t="s">
        <v>185</v>
      </c>
      <c r="P9" s="30">
        <f>120000*$P$6/1000/60</f>
        <v>58.019047619047619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0" s="3">
        <f>IF(ScenarioTeams0[[#This Row],[battles]],ScenarioTeams0[[#This Row],[wins]]/ScenarioTeams0[[#This Row],[battles]],0)</f>
        <v>0.66666666666666663</v>
      </c>
      <c r="O10" s="5" t="s">
        <v>186</v>
      </c>
      <c r="P10" s="31">
        <f>P9*COUNTA(ScenarioStat0[hero-1])/60/24</f>
        <v>8.4611111111111104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1" s="3">
        <f>IF(ScenarioTeams0[[#This Row],[battles]],ScenarioTeams0[[#This Row],[wins]]/ScenarioTeams0[[#This Row],[battles]],0)</f>
        <v>0.66666666666666663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2" s="3">
        <f>IF(ScenarioTeams0[[#This Row],[battles]],ScenarioTeams0[[#This Row],[wins]]/ScenarioTeams0[[#This Row],[battles]],0)</f>
        <v>0.53333333333333333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3" s="3">
        <f>IF(ScenarioTeams0[[#This Row],[battles]],ScenarioTeams0[[#This Row],[wins]]/ScenarioTeams0[[#This Row],[battles]],0)</f>
        <v>0.46666666666666667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14" s="3">
        <f>IF(ScenarioTeams0[[#This Row],[battles]],ScenarioTeams0[[#This Row],[wins]]/ScenarioTeams0[[#This Row],[battles]],0)</f>
        <v>0.2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5" s="3">
        <f>IF(ScenarioTeams0[[#This Row],[battles]],ScenarioTeams0[[#This Row],[wins]]/ScenarioTeams0[[#This Row],[battles]],0)</f>
        <v>0.33333333333333331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6" s="3">
        <f>IF(ScenarioTeams0[[#This Row],[battles]],ScenarioTeams0[[#This Row],[wins]]/ScenarioTeams0[[#This Row],[battles]],0)</f>
        <v>0.66666666666666663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7" s="3">
        <f>IF(ScenarioTeams0[[#This Row],[battles]],ScenarioTeams0[[#This Row],[wins]]/ScenarioTeams0[[#This Row],[battles]],0)</f>
        <v>0.46666666666666667</v>
      </c>
    </row>
    <row r="18" spans="1:13" x14ac:dyDescent="0.25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8" s="3">
        <f>IF(ScenarioTeams0[[#This Row],[battles]],ScenarioTeams0[[#This Row],[wins]]/ScenarioTeams0[[#This Row],[battles]],0)</f>
        <v>0.4</v>
      </c>
    </row>
    <row r="19" spans="1:13" x14ac:dyDescent="0.25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9" s="3">
        <f>IF(ScenarioTeams0[[#This Row],[battles]],ScenarioTeams0[[#This Row],[wins]]/ScenarioTeams0[[#This Row],[battles]],0)</f>
        <v>0.4</v>
      </c>
    </row>
    <row r="20" spans="1:13" x14ac:dyDescent="0.25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">
        <f>ScenarioStat0[[#This Row],[team-1-win]]+ScenarioStat0[[#This Row],[team-2-win]]</f>
        <v>1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20" s="3">
        <f>IF(ScenarioTeams0[[#This Row],[battles]],ScenarioTeams0[[#This Row],[wins]]/ScenarioTeams0[[#This Row],[battles]],0)</f>
        <v>0.8</v>
      </c>
    </row>
    <row r="21" spans="1:13" x14ac:dyDescent="0.25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">
        <f>ScenarioStat0[[#This Row],[team-1-win]]+ScenarioStat0[[#This Row],[team-2-win]]</f>
        <v>1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1" s="3">
        <f>IF(ScenarioTeams0[[#This Row],[battles]],ScenarioTeams0[[#This Row],[wins]]/ScenarioTeams0[[#This Row],[battles]],0)</f>
        <v>0.53333333333333333</v>
      </c>
    </row>
    <row r="22" spans="1:13" x14ac:dyDescent="0.25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1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2" s="3">
        <f>IF(ScenarioTeams0[[#This Row],[battles]],ScenarioTeams0[[#This Row],[wins]]/ScenarioTeams0[[#This Row],[battles]],0)</f>
        <v>0.66666666666666663</v>
      </c>
    </row>
    <row r="23" spans="1:13" x14ac:dyDescent="0.25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">
        <f>ScenarioStat0[[#This Row],[team-1-win]]+ScenarioStat0[[#This Row],[team-2-win]]</f>
        <v>1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23" s="3">
        <f>IF(ScenarioTeams0[[#This Row],[battles]],ScenarioTeams0[[#This Row],[wins]]/ScenarioTeams0[[#This Row],[battles]],0)</f>
        <v>0.46666666666666667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">
        <f>ScenarioStat0[[#This Row],[team-1-win]]+ScenarioStat0[[#This Row],[team-2-win]]</f>
        <v>1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4" s="3">
        <f>IF(ScenarioTeams0[[#This Row],[battles]],ScenarioTeams0[[#This Row],[wins]]/ScenarioTeams0[[#This Row],[battles]],0)</f>
        <v>0.6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">
        <f>ScenarioStat0[[#This Row],[team-1-win]]+ScenarioStat0[[#This Row],[team-2-win]]</f>
        <v>1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25" s="3">
        <f>IF(ScenarioTeams0[[#This Row],[battles]],ScenarioTeams0[[#This Row],[wins]]/ScenarioTeams0[[#This Row],[battles]],0)</f>
        <v>0.4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">
        <f>ScenarioStat0[[#This Row],[team-1-win]]+ScenarioStat0[[#This Row],[team-2-win]]</f>
        <v>1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26" s="3">
        <f>IF(ScenarioTeams0[[#This Row],[battles]],ScenarioTeams0[[#This Row],[wins]]/ScenarioTeams0[[#This Row],[battles]],0)</f>
        <v>0.4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">
        <f>ScenarioStat0[[#This Row],[team-1-win]]+ScenarioStat0[[#This Row],[team-2-win]]</f>
        <v>1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7" s="3">
        <f>IF(ScenarioTeams0[[#This Row],[battles]],ScenarioTeams0[[#This Row],[wins]]/ScenarioTeams0[[#This Row],[battles]],0)</f>
        <v>0.73333333333333328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">
        <f>ScenarioStat0[[#This Row],[team-1-win]]+ScenarioStat0[[#This Row],[team-2-win]]</f>
        <v>1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8" s="3">
        <f>IF(ScenarioTeams0[[#This Row],[battles]],ScenarioTeams0[[#This Row],[wins]]/ScenarioTeams0[[#This Row],[battles]],0)</f>
        <v>0.66666666666666663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9">
        <f>ScenarioStat0[[#This Row],[team-1-win]]+ScenarioStat0[[#This Row],[team-2-win]]</f>
        <v>1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9" s="3">
        <f>IF(ScenarioTeams0[[#This Row],[battles]],ScenarioTeams0[[#This Row],[wins]]/ScenarioTeams0[[#This Row],[battles]],0)</f>
        <v>0.6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0">
        <f>ScenarioStat0[[#This Row],[team-1-win]]+ScenarioStat0[[#This Row],[team-2-win]]</f>
        <v>1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30" s="3">
        <f>IF(ScenarioTeams0[[#This Row],[battles]],ScenarioTeams0[[#This Row],[wins]]/ScenarioTeams0[[#This Row],[battles]],0)</f>
        <v>0.2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">
        <f>ScenarioStat0[[#This Row],[team-1-win]]+ScenarioStat0[[#This Row],[team-2-win]]</f>
        <v>1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1</v>
      </c>
    </row>
    <row r="33" spans="1:7" x14ac:dyDescent="0.25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">
        <f>ScenarioStat0[[#This Row],[team-1-win]]+ScenarioStat0[[#This Row],[team-2-win]]</f>
        <v>1</v>
      </c>
    </row>
    <row r="34" spans="1:7" x14ac:dyDescent="0.25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4">
        <f>ScenarioStat0[[#This Row],[team-1-win]]+ScenarioStat0[[#This Row],[team-2-win]]</f>
        <v>1</v>
      </c>
    </row>
    <row r="35" spans="1:7" x14ac:dyDescent="0.25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">
        <f>ScenarioStat0[[#This Row],[team-1-win]]+ScenarioStat0[[#This Row],[team-2-win]]</f>
        <v>1</v>
      </c>
    </row>
    <row r="36" spans="1:7" x14ac:dyDescent="0.25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1</v>
      </c>
    </row>
    <row r="37" spans="1:7" x14ac:dyDescent="0.25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1</v>
      </c>
    </row>
    <row r="38" spans="1:7" x14ac:dyDescent="0.25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8">
        <f>ScenarioStat0[[#This Row],[team-1-win]]+ScenarioStat0[[#This Row],[team-2-win]]</f>
        <v>1</v>
      </c>
    </row>
    <row r="39" spans="1:7" x14ac:dyDescent="0.25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9">
        <f>ScenarioStat0[[#This Row],[team-1-win]]+ScenarioStat0[[#This Row],[team-2-win]]</f>
        <v>1</v>
      </c>
    </row>
    <row r="40" spans="1:7" x14ac:dyDescent="0.25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0">
        <f>ScenarioStat0[[#This Row],[team-1-win]]+ScenarioStat0[[#This Row],[team-2-win]]</f>
        <v>1</v>
      </c>
    </row>
    <row r="41" spans="1:7" x14ac:dyDescent="0.25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1">
        <f>ScenarioStat0[[#This Row],[team-1-win]]+ScenarioStat0[[#This Row],[team-2-win]]</f>
        <v>1</v>
      </c>
    </row>
    <row r="42" spans="1:7" x14ac:dyDescent="0.25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2">
        <f>ScenarioStat0[[#This Row],[team-1-win]]+ScenarioStat0[[#This Row],[team-2-win]]</f>
        <v>1</v>
      </c>
    </row>
    <row r="43" spans="1:7" x14ac:dyDescent="0.25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3">
        <f>ScenarioStat0[[#This Row],[team-1-win]]+ScenarioStat0[[#This Row],[team-2-win]]</f>
        <v>1</v>
      </c>
    </row>
    <row r="44" spans="1:7" x14ac:dyDescent="0.25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4">
        <f>ScenarioStat0[[#This Row],[team-1-win]]+ScenarioStat0[[#This Row],[team-2-win]]</f>
        <v>1</v>
      </c>
    </row>
    <row r="45" spans="1:7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5">
        <f>ScenarioStat0[[#This Row],[team-1-win]]+ScenarioStat0[[#This Row],[team-2-win]]</f>
        <v>1</v>
      </c>
    </row>
    <row r="46" spans="1:7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6">
        <f>ScenarioStat0[[#This Row],[team-1-win]]+ScenarioStat0[[#This Row],[team-2-win]]</f>
        <v>1</v>
      </c>
    </row>
    <row r="47" spans="1:7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7">
        <f>ScenarioStat0[[#This Row],[team-1-win]]+ScenarioStat0[[#This Row],[team-2-win]]</f>
        <v>1</v>
      </c>
    </row>
    <row r="48" spans="1:7" x14ac:dyDescent="0.25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8">
        <f>ScenarioStat0[[#This Row],[team-1-win]]+ScenarioStat0[[#This Row],[team-2-win]]</f>
        <v>1</v>
      </c>
    </row>
    <row r="49" spans="1:7" x14ac:dyDescent="0.25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9">
        <f>ScenarioStat0[[#This Row],[team-1-win]]+ScenarioStat0[[#This Row],[team-2-win]]</f>
        <v>1</v>
      </c>
    </row>
    <row r="50" spans="1:7" x14ac:dyDescent="0.25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1</v>
      </c>
    </row>
    <row r="51" spans="1:7" x14ac:dyDescent="0.25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1</v>
      </c>
    </row>
    <row r="52" spans="1:7" x14ac:dyDescent="0.25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2">
        <f>ScenarioStat0[[#This Row],[team-1-win]]+ScenarioStat0[[#This Row],[team-2-win]]</f>
        <v>1</v>
      </c>
    </row>
    <row r="53" spans="1:7" x14ac:dyDescent="0.25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3">
        <f>ScenarioStat0[[#This Row],[team-1-win]]+ScenarioStat0[[#This Row],[team-2-win]]</f>
        <v>1</v>
      </c>
    </row>
    <row r="54" spans="1:7" x14ac:dyDescent="0.25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4">
        <f>ScenarioStat0[[#This Row],[team-1-win]]+ScenarioStat0[[#This Row],[team-2-win]]</f>
        <v>1</v>
      </c>
    </row>
    <row r="55" spans="1:7" x14ac:dyDescent="0.25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1</v>
      </c>
    </row>
    <row r="56" spans="1:7" x14ac:dyDescent="0.25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6">
        <f>ScenarioStat0[[#This Row],[team-1-win]]+ScenarioStat0[[#This Row],[team-2-win]]</f>
        <v>1</v>
      </c>
    </row>
    <row r="57" spans="1:7" x14ac:dyDescent="0.25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7">
        <f>ScenarioStat0[[#This Row],[team-1-win]]+ScenarioStat0[[#This Row],[team-2-win]]</f>
        <v>1</v>
      </c>
    </row>
    <row r="58" spans="1:7" x14ac:dyDescent="0.25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8">
        <f>ScenarioStat0[[#This Row],[team-1-win]]+ScenarioStat0[[#This Row],[team-2-win]]</f>
        <v>1</v>
      </c>
    </row>
    <row r="59" spans="1:7" x14ac:dyDescent="0.25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9">
        <f>ScenarioStat0[[#This Row],[team-1-win]]+ScenarioStat0[[#This Row],[team-2-win]]</f>
        <v>1</v>
      </c>
    </row>
    <row r="60" spans="1:7" x14ac:dyDescent="0.25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0">
        <f>ScenarioStat0[[#This Row],[team-1-win]]+ScenarioStat0[[#This Row],[team-2-win]]</f>
        <v>1</v>
      </c>
    </row>
    <row r="61" spans="1:7" x14ac:dyDescent="0.25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1">
        <f>ScenarioStat0[[#This Row],[team-1-win]]+ScenarioStat0[[#This Row],[team-2-win]]</f>
        <v>1</v>
      </c>
    </row>
    <row r="62" spans="1:7" x14ac:dyDescent="0.25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2">
        <f>ScenarioStat0[[#This Row],[team-1-win]]+ScenarioStat0[[#This Row],[team-2-win]]</f>
        <v>1</v>
      </c>
    </row>
    <row r="63" spans="1:7" x14ac:dyDescent="0.25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3">
        <f>ScenarioStat0[[#This Row],[team-1-win]]+ScenarioStat0[[#This Row],[team-2-win]]</f>
        <v>1</v>
      </c>
    </row>
    <row r="64" spans="1:7" x14ac:dyDescent="0.25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1</v>
      </c>
    </row>
    <row r="65" spans="1:7" x14ac:dyDescent="0.25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5">
        <f>ScenarioStat0[[#This Row],[team-1-win]]+ScenarioStat0[[#This Row],[team-2-win]]</f>
        <v>1</v>
      </c>
    </row>
    <row r="66" spans="1:7" x14ac:dyDescent="0.25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6">
        <f>ScenarioStat0[[#This Row],[team-1-win]]+ScenarioStat0[[#This Row],[team-2-win]]</f>
        <v>1</v>
      </c>
    </row>
    <row r="67" spans="1:7" x14ac:dyDescent="0.25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7">
        <f>ScenarioStat0[[#This Row],[team-1-win]]+ScenarioStat0[[#This Row],[team-2-win]]</f>
        <v>1</v>
      </c>
    </row>
    <row r="68" spans="1:7" x14ac:dyDescent="0.25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8">
        <f>ScenarioStat0[[#This Row],[team-1-win]]+ScenarioStat0[[#This Row],[team-2-win]]</f>
        <v>1</v>
      </c>
    </row>
    <row r="69" spans="1:7" x14ac:dyDescent="0.25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9">
        <f>ScenarioStat0[[#This Row],[team-1-win]]+ScenarioStat0[[#This Row],[team-2-win]]</f>
        <v>1</v>
      </c>
    </row>
    <row r="70" spans="1:7" x14ac:dyDescent="0.25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0">
        <f>ScenarioStat0[[#This Row],[team-1-win]]+ScenarioStat0[[#This Row],[team-2-win]]</f>
        <v>1</v>
      </c>
    </row>
    <row r="71" spans="1:7" x14ac:dyDescent="0.25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1">
        <f>ScenarioStat0[[#This Row],[team-1-win]]+ScenarioStat0[[#This Row],[team-2-win]]</f>
        <v>1</v>
      </c>
    </row>
    <row r="72" spans="1:7" x14ac:dyDescent="0.25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2">
        <f>ScenarioStat0[[#This Row],[team-1-win]]+ScenarioStat0[[#This Row],[team-2-win]]</f>
        <v>1</v>
      </c>
    </row>
    <row r="73" spans="1:7" x14ac:dyDescent="0.25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3">
        <f>ScenarioStat0[[#This Row],[team-1-win]]+ScenarioStat0[[#This Row],[team-2-win]]</f>
        <v>1</v>
      </c>
    </row>
    <row r="74" spans="1:7" x14ac:dyDescent="0.25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4">
        <f>ScenarioStat0[[#This Row],[team-1-win]]+ScenarioStat0[[#This Row],[team-2-win]]</f>
        <v>1</v>
      </c>
    </row>
    <row r="75" spans="1:7" x14ac:dyDescent="0.25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1</v>
      </c>
    </row>
    <row r="76" spans="1:7" x14ac:dyDescent="0.25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6">
        <f>ScenarioStat0[[#This Row],[team-1-win]]+ScenarioStat0[[#This Row],[team-2-win]]</f>
        <v>1</v>
      </c>
    </row>
    <row r="77" spans="1:7" x14ac:dyDescent="0.25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7">
        <f>ScenarioStat0[[#This Row],[team-1-win]]+ScenarioStat0[[#This Row],[team-2-win]]</f>
        <v>1</v>
      </c>
    </row>
    <row r="78" spans="1:7" x14ac:dyDescent="0.25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8">
        <f>ScenarioStat0[[#This Row],[team-1-win]]+ScenarioStat0[[#This Row],[team-2-win]]</f>
        <v>1</v>
      </c>
    </row>
    <row r="79" spans="1:7" x14ac:dyDescent="0.25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9">
        <f>ScenarioStat0[[#This Row],[team-1-win]]+ScenarioStat0[[#This Row],[team-2-win]]</f>
        <v>1</v>
      </c>
    </row>
    <row r="80" spans="1:7" x14ac:dyDescent="0.25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0">
        <f>ScenarioStat0[[#This Row],[team-1-win]]+ScenarioStat0[[#This Row],[team-2-win]]</f>
        <v>1</v>
      </c>
    </row>
    <row r="81" spans="1:7" x14ac:dyDescent="0.25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1">
        <f>ScenarioStat0[[#This Row],[team-1-win]]+ScenarioStat0[[#This Row],[team-2-win]]</f>
        <v>1</v>
      </c>
    </row>
    <row r="82" spans="1:7" x14ac:dyDescent="0.25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2">
        <f>ScenarioStat0[[#This Row],[team-1-win]]+ScenarioStat0[[#This Row],[team-2-win]]</f>
        <v>1</v>
      </c>
    </row>
    <row r="83" spans="1:7" x14ac:dyDescent="0.25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3">
        <f>ScenarioStat0[[#This Row],[team-1-win]]+ScenarioStat0[[#This Row],[team-2-win]]</f>
        <v>1</v>
      </c>
    </row>
    <row r="84" spans="1:7" x14ac:dyDescent="0.25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4">
        <f>ScenarioStat0[[#This Row],[team-1-win]]+ScenarioStat0[[#This Row],[team-2-win]]</f>
        <v>1</v>
      </c>
    </row>
    <row r="85" spans="1:7" x14ac:dyDescent="0.25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5">
        <f>ScenarioStat0[[#This Row],[team-1-win]]+ScenarioStat0[[#This Row],[team-2-win]]</f>
        <v>1</v>
      </c>
    </row>
    <row r="86" spans="1:7" x14ac:dyDescent="0.25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6">
        <f>ScenarioStat0[[#This Row],[team-1-win]]+ScenarioStat0[[#This Row],[team-2-win]]</f>
        <v>1</v>
      </c>
    </row>
    <row r="87" spans="1:7" x14ac:dyDescent="0.25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7">
        <f>ScenarioStat0[[#This Row],[team-1-win]]+ScenarioStat0[[#This Row],[team-2-win]]</f>
        <v>1</v>
      </c>
    </row>
    <row r="88" spans="1:7" x14ac:dyDescent="0.25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8">
        <f>ScenarioStat0[[#This Row],[team-1-win]]+ScenarioStat0[[#This Row],[team-2-win]]</f>
        <v>1</v>
      </c>
    </row>
    <row r="89" spans="1:7" x14ac:dyDescent="0.25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9">
        <f>ScenarioStat0[[#This Row],[team-1-win]]+ScenarioStat0[[#This Row],[team-2-win]]</f>
        <v>1</v>
      </c>
    </row>
    <row r="90" spans="1:7" x14ac:dyDescent="0.25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0">
        <f>ScenarioStat0[[#This Row],[team-1-win]]+ScenarioStat0[[#This Row],[team-2-win]]</f>
        <v>1</v>
      </c>
    </row>
    <row r="91" spans="1:7" x14ac:dyDescent="0.25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1">
        <f>ScenarioStat0[[#This Row],[team-1-win]]+ScenarioStat0[[#This Row],[team-2-win]]</f>
        <v>1</v>
      </c>
    </row>
    <row r="92" spans="1:7" x14ac:dyDescent="0.25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2">
        <f>ScenarioStat0[[#This Row],[team-1-win]]+ScenarioStat0[[#This Row],[team-2-win]]</f>
        <v>1</v>
      </c>
    </row>
    <row r="93" spans="1:7" x14ac:dyDescent="0.25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3">
        <f>ScenarioStat0[[#This Row],[team-1-win]]+ScenarioStat0[[#This Row],[team-2-win]]</f>
        <v>1</v>
      </c>
    </row>
    <row r="94" spans="1:7" x14ac:dyDescent="0.25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4">
        <f>ScenarioStat0[[#This Row],[team-1-win]]+ScenarioStat0[[#This Row],[team-2-win]]</f>
        <v>1</v>
      </c>
    </row>
    <row r="95" spans="1:7" x14ac:dyDescent="0.25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5">
        <f>ScenarioStat0[[#This Row],[team-1-win]]+ScenarioStat0[[#This Row],[team-2-win]]</f>
        <v>1</v>
      </c>
    </row>
    <row r="96" spans="1:7" x14ac:dyDescent="0.25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1</v>
      </c>
    </row>
    <row r="97" spans="1:7" x14ac:dyDescent="0.25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7">
        <f>ScenarioStat0[[#This Row],[team-1-win]]+ScenarioStat0[[#This Row],[team-2-win]]</f>
        <v>1</v>
      </c>
    </row>
    <row r="98" spans="1:7" x14ac:dyDescent="0.25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8">
        <f>ScenarioStat0[[#This Row],[team-1-win]]+ScenarioStat0[[#This Row],[team-2-win]]</f>
        <v>1</v>
      </c>
    </row>
    <row r="99" spans="1:7" x14ac:dyDescent="0.25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9">
        <f>ScenarioStat0[[#This Row],[team-1-win]]+ScenarioStat0[[#This Row],[team-2-win]]</f>
        <v>1</v>
      </c>
    </row>
    <row r="100" spans="1:7" x14ac:dyDescent="0.25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1</v>
      </c>
    </row>
    <row r="101" spans="1:7" x14ac:dyDescent="0.25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1">
        <f>ScenarioStat0[[#This Row],[team-1-win]]+ScenarioStat0[[#This Row],[team-2-win]]</f>
        <v>1</v>
      </c>
    </row>
    <row r="102" spans="1:7" x14ac:dyDescent="0.25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2">
        <f>ScenarioStat0[[#This Row],[team-1-win]]+ScenarioStat0[[#This Row],[team-2-win]]</f>
        <v>1</v>
      </c>
    </row>
    <row r="103" spans="1:7" x14ac:dyDescent="0.25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1</v>
      </c>
    </row>
    <row r="104" spans="1:7" x14ac:dyDescent="0.25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4">
        <f>ScenarioStat0[[#This Row],[team-1-win]]+ScenarioStat0[[#This Row],[team-2-win]]</f>
        <v>1</v>
      </c>
    </row>
    <row r="105" spans="1:7" x14ac:dyDescent="0.25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5">
        <f>ScenarioStat0[[#This Row],[team-1-win]]+ScenarioStat0[[#This Row],[team-2-win]]</f>
        <v>1</v>
      </c>
    </row>
    <row r="106" spans="1:7" x14ac:dyDescent="0.25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6">
        <f>ScenarioStat0[[#This Row],[team-1-win]]+ScenarioStat0[[#This Row],[team-2-win]]</f>
        <v>1</v>
      </c>
    </row>
    <row r="107" spans="1:7" x14ac:dyDescent="0.25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7">
        <f>ScenarioStat0[[#This Row],[team-1-win]]+ScenarioStat0[[#This Row],[team-2-win]]</f>
        <v>1</v>
      </c>
    </row>
    <row r="108" spans="1:7" x14ac:dyDescent="0.25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8">
        <f>ScenarioStat0[[#This Row],[team-1-win]]+ScenarioStat0[[#This Row],[team-2-win]]</f>
        <v>1</v>
      </c>
    </row>
    <row r="109" spans="1:7" x14ac:dyDescent="0.25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9">
        <f>ScenarioStat0[[#This Row],[team-1-win]]+ScenarioStat0[[#This Row],[team-2-win]]</f>
        <v>1</v>
      </c>
    </row>
    <row r="110" spans="1:7" x14ac:dyDescent="0.25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0">
        <f>ScenarioStat0[[#This Row],[team-1-win]]+ScenarioStat0[[#This Row],[team-2-win]]</f>
        <v>1</v>
      </c>
    </row>
    <row r="111" spans="1:7" x14ac:dyDescent="0.25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1">
        <f>ScenarioStat0[[#This Row],[team-1-win]]+ScenarioStat0[[#This Row],[team-2-win]]</f>
        <v>1</v>
      </c>
    </row>
    <row r="112" spans="1:7" x14ac:dyDescent="0.25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2">
        <f>ScenarioStat0[[#This Row],[team-1-win]]+ScenarioStat0[[#This Row],[team-2-win]]</f>
        <v>1</v>
      </c>
    </row>
    <row r="113" spans="1:7" x14ac:dyDescent="0.25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3">
        <f>ScenarioStat0[[#This Row],[team-1-win]]+ScenarioStat0[[#This Row],[team-2-win]]</f>
        <v>1</v>
      </c>
    </row>
    <row r="114" spans="1:7" x14ac:dyDescent="0.25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4">
        <f>ScenarioStat0[[#This Row],[team-1-win]]+ScenarioStat0[[#This Row],[team-2-win]]</f>
        <v>1</v>
      </c>
    </row>
    <row r="115" spans="1:7" x14ac:dyDescent="0.25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5">
        <f>ScenarioStat0[[#This Row],[team-1-win]]+ScenarioStat0[[#This Row],[team-2-win]]</f>
        <v>1</v>
      </c>
    </row>
    <row r="116" spans="1:7" x14ac:dyDescent="0.25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1</v>
      </c>
    </row>
    <row r="117" spans="1:7" x14ac:dyDescent="0.25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1</v>
      </c>
    </row>
    <row r="118" spans="1:7" x14ac:dyDescent="0.25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8">
        <f>ScenarioStat0[[#This Row],[team-1-win]]+ScenarioStat0[[#This Row],[team-2-win]]</f>
        <v>1</v>
      </c>
    </row>
    <row r="119" spans="1:7" x14ac:dyDescent="0.25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9">
        <f>ScenarioStat0[[#This Row],[team-1-win]]+ScenarioStat0[[#This Row],[team-2-win]]</f>
        <v>1</v>
      </c>
    </row>
    <row r="120" spans="1:7" x14ac:dyDescent="0.25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1</v>
      </c>
    </row>
    <row r="121" spans="1:7" x14ac:dyDescent="0.25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1">
        <f>ScenarioStat0[[#This Row],[team-1-win]]+ScenarioStat0[[#This Row],[team-2-win]]</f>
        <v>1</v>
      </c>
    </row>
    <row r="122" spans="1:7" x14ac:dyDescent="0.25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2">
        <f>ScenarioStat0[[#This Row],[team-1-win]]+ScenarioStat0[[#This Row],[team-2-win]]</f>
        <v>1</v>
      </c>
    </row>
    <row r="123" spans="1:7" x14ac:dyDescent="0.25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3">
        <f>ScenarioStat0[[#This Row],[team-1-win]]+ScenarioStat0[[#This Row],[team-2-win]]</f>
        <v>1</v>
      </c>
    </row>
    <row r="124" spans="1:7" x14ac:dyDescent="0.25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4">
        <f>ScenarioStat0[[#This Row],[team-1-win]]+ScenarioStat0[[#This Row],[team-2-win]]</f>
        <v>1</v>
      </c>
    </row>
    <row r="125" spans="1:7" x14ac:dyDescent="0.25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5">
        <f>ScenarioStat0[[#This Row],[team-1-win]]+ScenarioStat0[[#This Row],[team-2-win]]</f>
        <v>1</v>
      </c>
    </row>
    <row r="126" spans="1:7" x14ac:dyDescent="0.25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6">
        <f>ScenarioStat0[[#This Row],[team-1-win]]+ScenarioStat0[[#This Row],[team-2-win]]</f>
        <v>1</v>
      </c>
    </row>
    <row r="127" spans="1:7" x14ac:dyDescent="0.25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1</v>
      </c>
    </row>
    <row r="128" spans="1:7" x14ac:dyDescent="0.25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8">
        <f>ScenarioStat0[[#This Row],[team-1-win]]+ScenarioStat0[[#This Row],[team-2-win]]</f>
        <v>1</v>
      </c>
    </row>
    <row r="129" spans="1:7" x14ac:dyDescent="0.25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9">
        <f>ScenarioStat0[[#This Row],[team-1-win]]+ScenarioStat0[[#This Row],[team-2-win]]</f>
        <v>1</v>
      </c>
    </row>
    <row r="130" spans="1:7" x14ac:dyDescent="0.25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1</v>
      </c>
    </row>
    <row r="131" spans="1:7" x14ac:dyDescent="0.25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1">
        <f>ScenarioStat0[[#This Row],[team-1-win]]+ScenarioStat0[[#This Row],[team-2-win]]</f>
        <v>1</v>
      </c>
    </row>
    <row r="132" spans="1:7" x14ac:dyDescent="0.25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2">
        <f>ScenarioStat0[[#This Row],[team-1-win]]+ScenarioStat0[[#This Row],[team-2-win]]</f>
        <v>1</v>
      </c>
    </row>
    <row r="133" spans="1:7" x14ac:dyDescent="0.25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3">
        <f>ScenarioStat0[[#This Row],[team-1-win]]+ScenarioStat0[[#This Row],[team-2-win]]</f>
        <v>1</v>
      </c>
    </row>
    <row r="134" spans="1:7" x14ac:dyDescent="0.25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4">
        <f>ScenarioStat0[[#This Row],[team-1-win]]+ScenarioStat0[[#This Row],[team-2-win]]</f>
        <v>1</v>
      </c>
    </row>
    <row r="135" spans="1:7" x14ac:dyDescent="0.25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5">
        <f>ScenarioStat0[[#This Row],[team-1-win]]+ScenarioStat0[[#This Row],[team-2-win]]</f>
        <v>1</v>
      </c>
    </row>
    <row r="136" spans="1:7" x14ac:dyDescent="0.25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6">
        <f>ScenarioStat0[[#This Row],[team-1-win]]+ScenarioStat0[[#This Row],[team-2-win]]</f>
        <v>1</v>
      </c>
    </row>
    <row r="137" spans="1:7" x14ac:dyDescent="0.25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1</v>
      </c>
    </row>
    <row r="138" spans="1:7" x14ac:dyDescent="0.25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8">
        <f>ScenarioStat0[[#This Row],[team-1-win]]+ScenarioStat0[[#This Row],[team-2-win]]</f>
        <v>1</v>
      </c>
    </row>
    <row r="139" spans="1:7" x14ac:dyDescent="0.25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9">
        <f>ScenarioStat0[[#This Row],[team-1-win]]+ScenarioStat0[[#This Row],[team-2-win]]</f>
        <v>1</v>
      </c>
    </row>
    <row r="140" spans="1:7" x14ac:dyDescent="0.25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0">
        <f>ScenarioStat0[[#This Row],[team-1-win]]+ScenarioStat0[[#This Row],[team-2-win]]</f>
        <v>1</v>
      </c>
    </row>
    <row r="141" spans="1:7" x14ac:dyDescent="0.25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1">
        <f>ScenarioStat0[[#This Row],[team-1-win]]+ScenarioStat0[[#This Row],[team-2-win]]</f>
        <v>1</v>
      </c>
    </row>
    <row r="142" spans="1:7" x14ac:dyDescent="0.25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1</v>
      </c>
    </row>
    <row r="143" spans="1:7" x14ac:dyDescent="0.25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3">
        <f>ScenarioStat0[[#This Row],[team-1-win]]+ScenarioStat0[[#This Row],[team-2-win]]</f>
        <v>1</v>
      </c>
    </row>
    <row r="144" spans="1:7" x14ac:dyDescent="0.25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4">
        <f>ScenarioStat0[[#This Row],[team-1-win]]+ScenarioStat0[[#This Row],[team-2-win]]</f>
        <v>1</v>
      </c>
    </row>
    <row r="145" spans="1:7" x14ac:dyDescent="0.25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5">
        <f>ScenarioStat0[[#This Row],[team-1-win]]+ScenarioStat0[[#This Row],[team-2-win]]</f>
        <v>1</v>
      </c>
    </row>
    <row r="146" spans="1:7" x14ac:dyDescent="0.25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6">
        <f>ScenarioStat0[[#This Row],[team-1-win]]+ScenarioStat0[[#This Row],[team-2-win]]</f>
        <v>1</v>
      </c>
    </row>
    <row r="147" spans="1:7" x14ac:dyDescent="0.25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7">
        <f>ScenarioStat0[[#This Row],[team-1-win]]+ScenarioStat0[[#This Row],[team-2-win]]</f>
        <v>1</v>
      </c>
    </row>
    <row r="148" spans="1:7" x14ac:dyDescent="0.25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8">
        <f>ScenarioStat0[[#This Row],[team-1-win]]+ScenarioStat0[[#This Row],[team-2-win]]</f>
        <v>1</v>
      </c>
    </row>
    <row r="149" spans="1:7" x14ac:dyDescent="0.25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9">
        <f>ScenarioStat0[[#This Row],[team-1-win]]+ScenarioStat0[[#This Row],[team-2-win]]</f>
        <v>1</v>
      </c>
    </row>
    <row r="150" spans="1:7" x14ac:dyDescent="0.25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0">
        <f>ScenarioStat0[[#This Row],[team-1-win]]+ScenarioStat0[[#This Row],[team-2-win]]</f>
        <v>1</v>
      </c>
    </row>
    <row r="151" spans="1:7" x14ac:dyDescent="0.25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1">
        <f>ScenarioStat0[[#This Row],[team-1-win]]+ScenarioStat0[[#This Row],[team-2-win]]</f>
        <v>1</v>
      </c>
    </row>
    <row r="152" spans="1:7" x14ac:dyDescent="0.25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2">
        <f>ScenarioStat0[[#This Row],[team-1-win]]+ScenarioStat0[[#This Row],[team-2-win]]</f>
        <v>1</v>
      </c>
    </row>
    <row r="153" spans="1:7" x14ac:dyDescent="0.25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3">
        <f>ScenarioStat0[[#This Row],[team-1-win]]+ScenarioStat0[[#This Row],[team-2-win]]</f>
        <v>1</v>
      </c>
    </row>
    <row r="154" spans="1:7" x14ac:dyDescent="0.25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4">
        <f>ScenarioStat0[[#This Row],[team-1-win]]+ScenarioStat0[[#This Row],[team-2-win]]</f>
        <v>1</v>
      </c>
    </row>
    <row r="155" spans="1:7" x14ac:dyDescent="0.25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5">
        <f>ScenarioStat0[[#This Row],[team-1-win]]+ScenarioStat0[[#This Row],[team-2-win]]</f>
        <v>1</v>
      </c>
    </row>
    <row r="156" spans="1:7" x14ac:dyDescent="0.25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6">
        <f>ScenarioStat0[[#This Row],[team-1-win]]+ScenarioStat0[[#This Row],[team-2-win]]</f>
        <v>1</v>
      </c>
    </row>
    <row r="157" spans="1:7" x14ac:dyDescent="0.25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7">
        <f>ScenarioStat0[[#This Row],[team-1-win]]+ScenarioStat0[[#This Row],[team-2-win]]</f>
        <v>1</v>
      </c>
    </row>
    <row r="158" spans="1:7" x14ac:dyDescent="0.25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8">
        <f>ScenarioStat0[[#This Row],[team-1-win]]+ScenarioStat0[[#This Row],[team-2-win]]</f>
        <v>1</v>
      </c>
    </row>
    <row r="159" spans="1:7" x14ac:dyDescent="0.25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9">
        <f>ScenarioStat0[[#This Row],[team-1-win]]+ScenarioStat0[[#This Row],[team-2-win]]</f>
        <v>1</v>
      </c>
    </row>
    <row r="160" spans="1:7" x14ac:dyDescent="0.25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0">
        <f>ScenarioStat0[[#This Row],[team-1-win]]+ScenarioStat0[[#This Row],[team-2-win]]</f>
        <v>1</v>
      </c>
    </row>
    <row r="161" spans="1:7" x14ac:dyDescent="0.25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1">
        <f>ScenarioStat0[[#This Row],[team-1-win]]+ScenarioStat0[[#This Row],[team-2-win]]</f>
        <v>1</v>
      </c>
    </row>
    <row r="162" spans="1:7" x14ac:dyDescent="0.25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1</v>
      </c>
    </row>
    <row r="163" spans="1:7" x14ac:dyDescent="0.25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3">
        <f>ScenarioStat0[[#This Row],[team-1-win]]+ScenarioStat0[[#This Row],[team-2-win]]</f>
        <v>1</v>
      </c>
    </row>
    <row r="164" spans="1:7" x14ac:dyDescent="0.25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4">
        <f>ScenarioStat0[[#This Row],[team-1-win]]+ScenarioStat0[[#This Row],[team-2-win]]</f>
        <v>1</v>
      </c>
    </row>
    <row r="165" spans="1:7" x14ac:dyDescent="0.25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1</v>
      </c>
    </row>
    <row r="166" spans="1:7" x14ac:dyDescent="0.25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6">
        <f>ScenarioStat0[[#This Row],[team-1-win]]+ScenarioStat0[[#This Row],[team-2-win]]</f>
        <v>1</v>
      </c>
    </row>
    <row r="167" spans="1:7" x14ac:dyDescent="0.25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7">
        <f>ScenarioStat0[[#This Row],[team-1-win]]+ScenarioStat0[[#This Row],[team-2-win]]</f>
        <v>1</v>
      </c>
    </row>
    <row r="168" spans="1:7" x14ac:dyDescent="0.25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8">
        <f>ScenarioStat0[[#This Row],[team-1-win]]+ScenarioStat0[[#This Row],[team-2-win]]</f>
        <v>1</v>
      </c>
    </row>
    <row r="169" spans="1:7" x14ac:dyDescent="0.25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9">
        <f>ScenarioStat0[[#This Row],[team-1-win]]+ScenarioStat0[[#This Row],[team-2-win]]</f>
        <v>1</v>
      </c>
    </row>
    <row r="170" spans="1:7" x14ac:dyDescent="0.25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0">
        <f>ScenarioStat0[[#This Row],[team-1-win]]+ScenarioStat0[[#This Row],[team-2-win]]</f>
        <v>1</v>
      </c>
    </row>
    <row r="171" spans="1:7" x14ac:dyDescent="0.25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1">
        <f>ScenarioStat0[[#This Row],[team-1-win]]+ScenarioStat0[[#This Row],[team-2-win]]</f>
        <v>1</v>
      </c>
    </row>
    <row r="172" spans="1:7" x14ac:dyDescent="0.25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2">
        <f>ScenarioStat0[[#This Row],[team-1-win]]+ScenarioStat0[[#This Row],[team-2-win]]</f>
        <v>1</v>
      </c>
    </row>
    <row r="173" spans="1:7" x14ac:dyDescent="0.25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3">
        <f>ScenarioStat0[[#This Row],[team-1-win]]+ScenarioStat0[[#This Row],[team-2-win]]</f>
        <v>1</v>
      </c>
    </row>
    <row r="174" spans="1:7" x14ac:dyDescent="0.25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4">
        <f>ScenarioStat0[[#This Row],[team-1-win]]+ScenarioStat0[[#This Row],[team-2-win]]</f>
        <v>1</v>
      </c>
    </row>
    <row r="175" spans="1:7" x14ac:dyDescent="0.25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5">
        <f>ScenarioStat0[[#This Row],[team-1-win]]+ScenarioStat0[[#This Row],[team-2-win]]</f>
        <v>1</v>
      </c>
    </row>
    <row r="176" spans="1:7" x14ac:dyDescent="0.25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6">
        <f>ScenarioStat0[[#This Row],[team-1-win]]+ScenarioStat0[[#This Row],[team-2-win]]</f>
        <v>1</v>
      </c>
    </row>
    <row r="177" spans="1:7" x14ac:dyDescent="0.25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7">
        <f>ScenarioStat0[[#This Row],[team-1-win]]+ScenarioStat0[[#This Row],[team-2-win]]</f>
        <v>1</v>
      </c>
    </row>
    <row r="178" spans="1:7" x14ac:dyDescent="0.25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8">
        <f>ScenarioStat0[[#This Row],[team-1-win]]+ScenarioStat0[[#This Row],[team-2-win]]</f>
        <v>1</v>
      </c>
    </row>
    <row r="179" spans="1:7" x14ac:dyDescent="0.25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9">
        <f>ScenarioStat0[[#This Row],[team-1-win]]+ScenarioStat0[[#This Row],[team-2-win]]</f>
        <v>1</v>
      </c>
    </row>
    <row r="180" spans="1:7" x14ac:dyDescent="0.25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1</v>
      </c>
    </row>
    <row r="181" spans="1:7" x14ac:dyDescent="0.25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1</v>
      </c>
    </row>
    <row r="182" spans="1:7" x14ac:dyDescent="0.25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2">
        <f>ScenarioStat0[[#This Row],[team-1-win]]+ScenarioStat0[[#This Row],[team-2-win]]</f>
        <v>1</v>
      </c>
    </row>
    <row r="183" spans="1:7" x14ac:dyDescent="0.25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3">
        <f>ScenarioStat0[[#This Row],[team-1-win]]+ScenarioStat0[[#This Row],[team-2-win]]</f>
        <v>1</v>
      </c>
    </row>
    <row r="184" spans="1:7" x14ac:dyDescent="0.25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4">
        <f>ScenarioStat0[[#This Row],[team-1-win]]+ScenarioStat0[[#This Row],[team-2-win]]</f>
        <v>1</v>
      </c>
    </row>
    <row r="185" spans="1:7" x14ac:dyDescent="0.25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5">
        <f>ScenarioStat0[[#This Row],[team-1-win]]+ScenarioStat0[[#This Row],[team-2-win]]</f>
        <v>1</v>
      </c>
    </row>
    <row r="186" spans="1:7" x14ac:dyDescent="0.25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6">
        <f>ScenarioStat0[[#This Row],[team-1-win]]+ScenarioStat0[[#This Row],[team-2-win]]</f>
        <v>1</v>
      </c>
    </row>
    <row r="187" spans="1:7" x14ac:dyDescent="0.25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7">
        <f>ScenarioStat0[[#This Row],[team-1-win]]+ScenarioStat0[[#This Row],[team-2-win]]</f>
        <v>1</v>
      </c>
    </row>
    <row r="188" spans="1:7" x14ac:dyDescent="0.25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8">
        <f>ScenarioStat0[[#This Row],[team-1-win]]+ScenarioStat0[[#This Row],[team-2-win]]</f>
        <v>1</v>
      </c>
    </row>
    <row r="189" spans="1:7" x14ac:dyDescent="0.25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9">
        <f>ScenarioStat0[[#This Row],[team-1-win]]+ScenarioStat0[[#This Row],[team-2-win]]</f>
        <v>1</v>
      </c>
    </row>
    <row r="190" spans="1:7" x14ac:dyDescent="0.25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0">
        <f>ScenarioStat0[[#This Row],[team-1-win]]+ScenarioStat0[[#This Row],[team-2-win]]</f>
        <v>1</v>
      </c>
    </row>
    <row r="191" spans="1:7" x14ac:dyDescent="0.25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1">
        <f>ScenarioStat0[[#This Row],[team-1-win]]+ScenarioStat0[[#This Row],[team-2-win]]</f>
        <v>1</v>
      </c>
    </row>
    <row r="192" spans="1:7" x14ac:dyDescent="0.25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2">
        <f>ScenarioStat0[[#This Row],[team-1-win]]+ScenarioStat0[[#This Row],[team-2-win]]</f>
        <v>1</v>
      </c>
    </row>
    <row r="193" spans="1:7" x14ac:dyDescent="0.25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3">
        <f>ScenarioStat0[[#This Row],[team-1-win]]+ScenarioStat0[[#This Row],[team-2-win]]</f>
        <v>1</v>
      </c>
    </row>
    <row r="194" spans="1:7" x14ac:dyDescent="0.25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4">
        <f>ScenarioStat0[[#This Row],[team-1-win]]+ScenarioStat0[[#This Row],[team-2-win]]</f>
        <v>1</v>
      </c>
    </row>
    <row r="195" spans="1:7" x14ac:dyDescent="0.25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5">
        <f>ScenarioStat0[[#This Row],[team-1-win]]+ScenarioStat0[[#This Row],[team-2-win]]</f>
        <v>1</v>
      </c>
    </row>
    <row r="196" spans="1:7" x14ac:dyDescent="0.25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6">
        <f>ScenarioStat0[[#This Row],[team-1-win]]+ScenarioStat0[[#This Row],[team-2-win]]</f>
        <v>1</v>
      </c>
    </row>
    <row r="197" spans="1:7" x14ac:dyDescent="0.25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7">
        <f>ScenarioStat0[[#This Row],[team-1-win]]+ScenarioStat0[[#This Row],[team-2-win]]</f>
        <v>1</v>
      </c>
    </row>
    <row r="198" spans="1:7" x14ac:dyDescent="0.25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8">
        <f>ScenarioStat0[[#This Row],[team-1-win]]+ScenarioStat0[[#This Row],[team-2-win]]</f>
        <v>1</v>
      </c>
    </row>
    <row r="199" spans="1:7" x14ac:dyDescent="0.25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9">
        <f>ScenarioStat0[[#This Row],[team-1-win]]+ScenarioStat0[[#This Row],[team-2-win]]</f>
        <v>1</v>
      </c>
    </row>
    <row r="200" spans="1:7" x14ac:dyDescent="0.25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0">
        <f>ScenarioStat0[[#This Row],[team-1-win]]+ScenarioStat0[[#This Row],[team-2-win]]</f>
        <v>1</v>
      </c>
    </row>
    <row r="201" spans="1:7" x14ac:dyDescent="0.25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1</v>
      </c>
    </row>
    <row r="202" spans="1:7" x14ac:dyDescent="0.25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2">
        <f>ScenarioStat0[[#This Row],[team-1-win]]+ScenarioStat0[[#This Row],[team-2-win]]</f>
        <v>1</v>
      </c>
    </row>
    <row r="203" spans="1:7" x14ac:dyDescent="0.25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3">
        <f>ScenarioStat0[[#This Row],[team-1-win]]+ScenarioStat0[[#This Row],[team-2-win]]</f>
        <v>1</v>
      </c>
    </row>
    <row r="204" spans="1:7" x14ac:dyDescent="0.25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1</v>
      </c>
    </row>
    <row r="205" spans="1:7" x14ac:dyDescent="0.25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5">
        <f>ScenarioStat0[[#This Row],[team-1-win]]+ScenarioStat0[[#This Row],[team-2-win]]</f>
        <v>1</v>
      </c>
    </row>
    <row r="206" spans="1:7" x14ac:dyDescent="0.25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6">
        <f>ScenarioStat0[[#This Row],[team-1-win]]+ScenarioStat0[[#This Row],[team-2-win]]</f>
        <v>1</v>
      </c>
    </row>
    <row r="207" spans="1:7" x14ac:dyDescent="0.25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7">
        <f>ScenarioStat0[[#This Row],[team-1-win]]+ScenarioStat0[[#This Row],[team-2-win]]</f>
        <v>1</v>
      </c>
    </row>
    <row r="208" spans="1:7" x14ac:dyDescent="0.25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1</v>
      </c>
    </row>
    <row r="209" spans="1:7" x14ac:dyDescent="0.25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9">
        <f>ScenarioStat0[[#This Row],[team-1-win]]+ScenarioStat0[[#This Row],[team-2-win]]</f>
        <v>1</v>
      </c>
    </row>
    <row r="210" spans="1:7" x14ac:dyDescent="0.25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0">
        <f>ScenarioStat0[[#This Row],[team-1-win]]+ScenarioStat0[[#This Row],[team-2-win]]</f>
        <v>1</v>
      </c>
    </row>
    <row r="211" spans="1:7" x14ac:dyDescent="0.25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1">
        <f>ScenarioStat0[[#This Row],[team-1-win]]+ScenarioStat0[[#This Row],[team-2-win]]</f>
        <v>1</v>
      </c>
    </row>
    <row r="212" spans="1:7" x14ac:dyDescent="0.25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2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D28" sqref="D28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0.29090909090909089</v>
      </c>
    </row>
    <row r="3" spans="1:22" x14ac:dyDescent="0.25">
      <c r="A3" t="s">
        <v>72</v>
      </c>
      <c r="B3">
        <f>L3+L24+L45+L66+L87+L108</f>
        <v>163</v>
      </c>
      <c r="C3">
        <f>M3+M24+M45+M66+M87+M108</f>
        <v>56</v>
      </c>
      <c r="D3" s="3">
        <f>IF(SUM(LightbringerAbilities1[[#This Row],[takes]]) &gt; 0,LightbringerAbilities1[[#This Row],[takes]]/SUM(LightbringerAbilities1[takes]),0)</f>
        <v>0.42337662337662335</v>
      </c>
      <c r="E3" s="3">
        <f>IF(LightbringerAbilities1[[#This Row],[takes]]&gt;0,LightbringerAbilities1[[#This Row],[wins]]/LightbringerAbilities1[[#This Row],[takes]],0)</f>
        <v>0.34355828220858897</v>
      </c>
      <c r="G3">
        <v>1</v>
      </c>
      <c r="H3">
        <f>R3+R24+R45+R66+R87+R108</f>
        <v>176</v>
      </c>
      <c r="I3" s="18">
        <f>S3+S24+S45+S66+S87+S108</f>
        <v>273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42</v>
      </c>
      <c r="M3">
        <f>COUNTIF(Scenario0[winner1-ability1],LightbringerAbilities1Scenario0[[#This Row],[ability]])+COUNTIF(Scenario0[winner2-ability1],LightbringerAbilities1Scenario0[[#This Row],[ability]])</f>
        <v>14</v>
      </c>
      <c r="N3" s="3">
        <f>IF(SUM(LightbringerAbilities1Scenario0[[#This Row],[takes]]) &gt; 0,LightbringerAbilities1Scenario0[[#This Row],[takes]]/SUM(LightbringerAbilities1Scenario0[takes]),0)</f>
        <v>0.4</v>
      </c>
      <c r="O3" s="3">
        <f>IF(LightbringerAbilities1Scenario0[[#This Row],[takes]]&gt;0,LightbringerAbilities1Scenario0[[#This Row],[wins]]/LightbringerAbilities1Scenario0[[#This Row],[takes]],0)</f>
        <v>0.33333333333333331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82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98</v>
      </c>
      <c r="U3" t="s">
        <v>204</v>
      </c>
      <c r="V3" s="16">
        <f>H5/SUM(LightbringerEquip[hammer])</f>
        <v>0.25194805194805192</v>
      </c>
    </row>
    <row r="4" spans="1:22" x14ac:dyDescent="0.25">
      <c r="A4" t="s">
        <v>145</v>
      </c>
      <c r="B4">
        <f t="shared" ref="B4:B5" si="0">L4+L25+L46+L67+L88+L109</f>
        <v>84</v>
      </c>
      <c r="C4">
        <f t="shared" ref="C4:C5" si="1">M4+M25+M46+M67+M88+M109</f>
        <v>54</v>
      </c>
      <c r="D4" s="3">
        <f>IF(SUM(LightbringerAbilities1[[#This Row],[takes]]) &gt; 0,LightbringerAbilities1[[#This Row],[takes]]/SUM(LightbringerAbilities1[takes]),0)</f>
        <v>0.21818181818181817</v>
      </c>
      <c r="E4" s="3">
        <f>IF(LightbringerAbilities1[[#This Row],[takes]]&gt;0,LightbringerAbilities1[[#This Row],[wins]]/LightbringerAbilities1[[#This Row],[takes]],0)</f>
        <v>0.6428571428571429</v>
      </c>
      <c r="G4">
        <v>2</v>
      </c>
      <c r="H4">
        <f t="shared" ref="H4:H5" si="2">R4+R25+R46+R67+R88+R109</f>
        <v>112</v>
      </c>
      <c r="I4" s="18">
        <f t="shared" ref="I4:I5" si="3">S4+S25+S46+S67+S88+S109</f>
        <v>54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4</v>
      </c>
      <c r="M4">
        <f>COUNTIF(Scenario0[winner1-ability1],LightbringerAbilities1Scenario0[[#This Row],[ability]])+COUNTIF(Scenario0[winner2-ability1],LightbringerAbilities1Scenario0[[#This Row],[ability]])</f>
        <v>2</v>
      </c>
      <c r="N4" s="3">
        <f>IF(SUM(LightbringerAbilities1Scenario0[[#This Row],[takes]]) &gt; 0,LightbringerAbilities1Scenario0[[#This Row],[takes]]/SUM(LightbringerAbilities1Scenario0[takes]),0)</f>
        <v>3.8095238095238099E-2</v>
      </c>
      <c r="O4" s="3">
        <f>IF(LightbringerAbilities1Scenario0[[#This Row],[takes]]&gt;0,LightbringerAbilities1Scenario0[[#This Row],[wins]]/LightbringerAbilities1Scenario0[[#This Row],[takes]],0)</f>
        <v>0.5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16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7</v>
      </c>
      <c r="U4" t="s">
        <v>179</v>
      </c>
      <c r="V4" s="3">
        <f>LightbringerEquip[[#This Row],[chestpiece]]/SUM(LightbringerEquip[chestpiece])</f>
        <v>0.14025974025974025</v>
      </c>
    </row>
    <row r="5" spans="1:22" x14ac:dyDescent="0.25">
      <c r="A5" t="s">
        <v>103</v>
      </c>
      <c r="B5">
        <f t="shared" si="0"/>
        <v>138</v>
      </c>
      <c r="C5">
        <f t="shared" si="1"/>
        <v>62</v>
      </c>
      <c r="D5" s="3">
        <f>IF(SUM(LightbringerAbilities1[[#This Row],[takes]]) &gt; 0,LightbringerAbilities1[[#This Row],[takes]]/SUM(LightbringerAbilities1[takes]),0)</f>
        <v>0.35844155844155845</v>
      </c>
      <c r="E5" s="3">
        <f>IF(LightbringerAbilities1[[#This Row],[takes]]&gt;0,LightbringerAbilities1[[#This Row],[wins]]/LightbringerAbilities1[[#This Row],[takes]],0)</f>
        <v>0.44927536231884058</v>
      </c>
      <c r="G5">
        <v>3</v>
      </c>
      <c r="H5">
        <f t="shared" si="2"/>
        <v>97</v>
      </c>
      <c r="I5" s="18">
        <f t="shared" si="3"/>
        <v>58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59</v>
      </c>
      <c r="M5">
        <f>COUNTIF(Scenario0[winner1-ability1],LightbringerAbilities1Scenario0[[#This Row],[ability]])+COUNTIF(Scenario0[winner2-ability1],LightbringerAbilities1Scenario0[[#This Row],[ability]])</f>
        <v>25</v>
      </c>
      <c r="N5" s="3">
        <f>IF(SUM(LightbringerAbilities1Scenario0[[#This Row],[takes]]) &gt; 0,LightbringerAbilities1Scenario0[[#This Row],[takes]]/SUM(LightbringerAbilities1Scenario0[takes]),0)</f>
        <v>0.56190476190476191</v>
      </c>
      <c r="O5" s="3">
        <f>IF(LightbringerAbilities1Scenario0[[#This Row],[takes]]&gt;0,LightbringerAbilities1Scenario0[[#This Row],[wins]]/LightbringerAbilities1Scenario0[[#This Row],[takes]],0)</f>
        <v>0.42372881355932202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7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5" t="s">
        <v>180</v>
      </c>
      <c r="V5" s="16">
        <f>LightbringerEquip[[#This Row],[chestpiece]]/SUM(LightbringerEquip[chestpiece])</f>
        <v>0.15064935064935064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0.82597402597402603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0.53506493506493502</v>
      </c>
    </row>
    <row r="8" spans="1:22" x14ac:dyDescent="0.25">
      <c r="A8" s="2" t="s">
        <v>95</v>
      </c>
      <c r="B8" s="2">
        <f>L8+L29+L50+L71+L92+L113</f>
        <v>158</v>
      </c>
      <c r="C8" s="2">
        <f>M8+M29+M50+M71+M92+M113</f>
        <v>82</v>
      </c>
      <c r="D8" s="12">
        <f>IF(SUM(LightbringerAbilities2[[#This Row],[takes]]) &gt; 0,LightbringerAbilities2[[#This Row],[takes]]/SUM(LightbringerAbilities2[takes]),0)</f>
        <v>0.49685534591194969</v>
      </c>
      <c r="E8" s="12">
        <f>IF(LightbringerAbilities2[[#This Row],[takes]]&gt;0,LightbringerAbilities2[[#This Row],[wins]]/LightbringerAbilities2[[#This Row],[takes]],0)</f>
        <v>0.51898734177215189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24</v>
      </c>
      <c r="M8" s="2">
        <f>COUNTIF(Scenario0[winner1-ability2],LightbringerAbilities2Scenario0[[#This Row],[ability]])+COUNTIF(Scenario0[winner2-ability2],LightbringerAbilities2Scenario0[[#This Row],[ability]])</f>
        <v>16</v>
      </c>
      <c r="N8" s="12">
        <f>IF(SUM(LightbringerAbilities2Scenario0[[#This Row],[takes]]) &gt; 0,LightbringerAbilities2Scenario0[[#This Row],[takes]]/SUM(LightbringerAbilities2Scenario0[takes]),0)</f>
        <v>0.48</v>
      </c>
      <c r="O8" s="12">
        <f>IF(LightbringerAbilities2Scenario0[[#This Row],[takes]]&gt;0,LightbringerAbilities2Scenario0[[#This Row],[wins]]/LightbringerAbilities2Scenario0[[#This Row],[takes]],0)</f>
        <v>0.66666666666666663</v>
      </c>
      <c r="S8" s="18"/>
      <c r="U8" t="s">
        <v>178</v>
      </c>
      <c r="V8" s="16">
        <f>SUM(LightbringerAbilities4[takes])/SUM(LightbringerAbilities1[takes])</f>
        <v>0.31168831168831168</v>
      </c>
    </row>
    <row r="9" spans="1:22" x14ac:dyDescent="0.25">
      <c r="A9" t="s">
        <v>146</v>
      </c>
      <c r="B9" s="2">
        <f t="shared" ref="B9:B10" si="4">L9+L30+L51+L72+L93+L114</f>
        <v>119</v>
      </c>
      <c r="C9" s="2">
        <f t="shared" ref="C9:C10" si="5">M9+M30+M51+M72+M93+M114</f>
        <v>55</v>
      </c>
      <c r="D9" s="3">
        <f>IF(SUM(LightbringerAbilities2[[#This Row],[takes]]) &gt; 0,LightbringerAbilities2[[#This Row],[takes]]/SUM(LightbringerAbilities2[takes]),0)</f>
        <v>0.37421383647798739</v>
      </c>
      <c r="E9" s="3">
        <f>IF(LightbringerAbilities2[[#This Row],[takes]]&gt;0,LightbringerAbilities2[[#This Row],[wins]]/LightbringerAbilities2[[#This Row],[takes]],0)</f>
        <v>0.46218487394957986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5</v>
      </c>
      <c r="M9" s="2">
        <f>COUNTIF(Scenario0[winner1-ability2],LightbringerAbilities2Scenario0[[#This Row],[ability]])+COUNTIF(Scenario0[winner2-ability2],LightbringerAbilities2Scenario0[[#This Row],[ability]])</f>
        <v>3</v>
      </c>
      <c r="N9" s="3">
        <f>IF(SUM(LightbringerAbilities2Scenario0[[#This Row],[takes]]) &gt; 0,LightbringerAbilities2Scenario0[[#This Row],[takes]]/SUM(LightbringerAbilities2Scenario0[takes]),0)</f>
        <v>0.1</v>
      </c>
      <c r="O9" s="3">
        <f>IF(LightbringerAbilities2Scenario0[[#This Row],[takes]]&gt;0,LightbringerAbilities2Scenario0[[#This Row],[wins]]/LightbringerAbilities2Scenario0[[#This Row],[takes]],0)</f>
        <v>0.6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2.5064935064935066</v>
      </c>
    </row>
    <row r="10" spans="1:22" x14ac:dyDescent="0.25">
      <c r="A10" s="10" t="s">
        <v>91</v>
      </c>
      <c r="B10" s="2">
        <f t="shared" si="4"/>
        <v>41</v>
      </c>
      <c r="C10" s="2">
        <f t="shared" si="5"/>
        <v>10</v>
      </c>
      <c r="D10" s="13">
        <f>IF(SUM(LightbringerAbilities2[[#This Row],[takes]]) &gt; 0,LightbringerAbilities2[[#This Row],[takes]]/SUM(LightbringerAbilities2[takes]),0)</f>
        <v>0.12893081761006289</v>
      </c>
      <c r="E10" s="13">
        <f>IF(LightbringerAbilities2[[#This Row],[takes]]&gt;0,LightbringerAbilities2[[#This Row],[wins]]/LightbringerAbilities2[[#This Row],[takes]],0)</f>
        <v>0.24390243902439024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21</v>
      </c>
      <c r="M10" s="2">
        <f>COUNTIF(Scenario0[winner1-ability2],LightbringerAbilities2Scenario0[[#This Row],[ability]])+COUNTIF(Scenario0[winner2-ability2],LightbringerAbilities2Scenario0[[#This Row],[ability]])</f>
        <v>3</v>
      </c>
      <c r="N10" s="13">
        <f>IF(SUM(LightbringerAbilities2Scenario0[[#This Row],[takes]]) &gt; 0,LightbringerAbilities2Scenario0[[#This Row],[takes]]/SUM(LightbringerAbilities2Scenario0[takes]),0)</f>
        <v>0.42</v>
      </c>
      <c r="O10" s="13">
        <f>IF(LightbringerAbilities2Scenario0[[#This Row],[takes]]&gt;0,LightbringerAbilities2Scenario0[[#This Row],[wins]]/LightbringerAbilities2Scenario0[[#This Row],[takes]],0)</f>
        <v>0.14285714285714285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75</v>
      </c>
      <c r="C13" s="1">
        <f>M13+M34+M55+M76+M97+M118</f>
        <v>38</v>
      </c>
      <c r="D13" s="14">
        <f>IF(SUM(LightbringerAbilities3[[#This Row],[takes]]) &gt; 0,LightbringerAbilities3[[#This Row],[takes]]/SUM(LightbringerAbilities3[takes]),0)</f>
        <v>0.36407766990291263</v>
      </c>
      <c r="E13" s="14">
        <f>IF(LightbringerAbilities3[[#This Row],[takes]]&gt;0,LightbringerAbilities3[[#This Row],[wins]]/LightbringerAbilities3[[#This Row],[takes]],0)</f>
        <v>0.50666666666666671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2</v>
      </c>
      <c r="M13" s="1">
        <f>COUNTIF(Scenario0[winner1-ability3],LightbringerAbilities3Scenario0[[#This Row],[ability]])+COUNTIF(Scenario0[winner2-ability3],LightbringerAbilities3Scenario0[[#This Row],[ability]])</f>
        <v>0</v>
      </c>
      <c r="N13" s="14">
        <f>IF(SUM(LightbringerAbilities3Scenario0[[#This Row],[takes]]) &gt; 0,LightbringerAbilities3Scenario0[[#This Row],[takes]]/SUM(LightbringerAbilities3Scenario0[takes]),0)</f>
        <v>0.2</v>
      </c>
      <c r="O13" s="14">
        <f>IF(LightbringerAbilities3Scenario0[[#This Row],[takes]]&gt;0,LightbringerAbilities3Scenario0[[#This Row],[wins]]/LightbringerAbilities3Scenario0[[#This Row],[takes]],0)</f>
        <v>0</v>
      </c>
      <c r="S13" s="18"/>
    </row>
    <row r="14" spans="1:22" x14ac:dyDescent="0.25">
      <c r="A14" s="2" t="s">
        <v>147</v>
      </c>
      <c r="B14" s="2">
        <f t="shared" ref="B14:B15" si="6">L14+L35+L56+L77+L98+L119</f>
        <v>89</v>
      </c>
      <c r="C14" s="2">
        <f t="shared" ref="C14:C15" si="7">M14+M35+M56+M77+M98+M119</f>
        <v>35</v>
      </c>
      <c r="D14" s="12">
        <f>IF(SUM(LightbringerAbilities3[[#This Row],[takes]]) &gt; 0,LightbringerAbilities3[[#This Row],[takes]]/SUM(LightbringerAbilities3[takes]),0)</f>
        <v>0.43203883495145629</v>
      </c>
      <c r="E14" s="12">
        <f>IF(LightbringerAbilities3[[#This Row],[takes]]&gt;0,LightbringerAbilities3[[#This Row],[wins]]/LightbringerAbilities3[[#This Row],[takes]],0)</f>
        <v>0.39325842696629215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8</v>
      </c>
      <c r="M14" s="2">
        <f>COUNTIF(Scenario0[winner1-ability3],LightbringerAbilities3Scenario0[[#This Row],[ability]])+COUNTIF(Scenario0[winner2-ability3],LightbringerAbilities3Scenario0[[#This Row],[ability]])</f>
        <v>3</v>
      </c>
      <c r="N14" s="12">
        <f>IF(SUM(LightbringerAbilities3Scenario0[[#This Row],[takes]]) &gt; 0,LightbringerAbilities3Scenario0[[#This Row],[takes]]/SUM(LightbringerAbilities3Scenario0[takes]),0)</f>
        <v>0.8</v>
      </c>
      <c r="O14" s="12">
        <f>IF(LightbringerAbilities3Scenario0[[#This Row],[takes]]&gt;0,LightbringerAbilities3Scenario0[[#This Row],[wins]]/LightbringerAbilities3Scenario0[[#This Row],[takes]],0)</f>
        <v>0.375</v>
      </c>
      <c r="S14" s="18"/>
    </row>
    <row r="15" spans="1:22" x14ac:dyDescent="0.25">
      <c r="A15" s="11" t="s">
        <v>148</v>
      </c>
      <c r="B15" s="1">
        <f t="shared" si="6"/>
        <v>42</v>
      </c>
      <c r="C15" s="1">
        <f t="shared" si="7"/>
        <v>21</v>
      </c>
      <c r="D15" s="15">
        <f>IF(SUM(LightbringerAbilities3[[#This Row],[takes]]) &gt; 0,LightbringerAbilities3[[#This Row],[takes]]/SUM(LightbringerAbilities3[takes]),0)</f>
        <v>0.20388349514563106</v>
      </c>
      <c r="E15" s="15">
        <f>IF(LightbringerAbilities3[[#This Row],[takes]]&gt;0,LightbringerAbilities3[[#This Row],[wins]]/LightbringerAbilities3[[#This Row],[takes]],0)</f>
        <v>0.5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5">
        <f>IF(SUM(LightbringerAbilities3Scenario0[[#This Row],[takes]]) &gt; 0,LightbringerAbilities3Scenario0[[#This Row],[takes]]/SUM(LightbringerAbilities3Scenario0[takes]),0)</f>
        <v>0</v>
      </c>
      <c r="O15" s="15">
        <f>IF(LightbringerAbilities3Scenario0[[#This Row],[takes]]&gt;0,LightbringerAbilities3Scenario0[[#This Row],[wins]]/LightbringerAbilities3Scenario0[[#This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25</v>
      </c>
      <c r="C18" s="2">
        <f>M18+M39+M60+M81+M102+M123</f>
        <v>19</v>
      </c>
      <c r="D18" s="12">
        <f>IF(SUM(LightbringerAbilities4[[#This Row],[takes]]) &gt; 0,LightbringerAbilities4[[#This Row],[takes]]/SUM(LightbringerAbilities4[takes]),0)</f>
        <v>0.20833333333333334</v>
      </c>
      <c r="E18" s="12">
        <f>IF(LightbringerAbilities4[[#This Row],[takes]]&gt;0,LightbringerAbilities4[[#This Row],[wins]]/LightbringerAbilities4[[#This Row],[takes]],0)</f>
        <v>0.76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25">
      <c r="A19" s="2" t="s">
        <v>150</v>
      </c>
      <c r="B19" s="2">
        <f t="shared" ref="B19:B20" si="8">L19+L40+L61+L82+L103+L124</f>
        <v>39</v>
      </c>
      <c r="C19" s="2">
        <f t="shared" ref="C19:C20" si="9">M19+M40+M61+M82+M103+M124</f>
        <v>20</v>
      </c>
      <c r="D19" s="12">
        <f>IF(SUM(LightbringerAbilities4[[#This Row],[takes]]) &gt; 0,LightbringerAbilities4[[#This Row],[takes]]/SUM(LightbringerAbilities4[takes]),0)</f>
        <v>0.32500000000000001</v>
      </c>
      <c r="E19" s="12">
        <f>IF(LightbringerAbilities4[[#This Row],[takes]]&gt;0,LightbringerAbilities4[[#This Row],[wins]]/LightbringerAbilities4[[#This Row],[takes]],0)</f>
        <v>0.51282051282051277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0.25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56</v>
      </c>
      <c r="C20" s="2">
        <f t="shared" si="9"/>
        <v>22</v>
      </c>
      <c r="D20" s="26">
        <f>IF(SUM(LightbringerAbilities4[[#This Row],[takes]]) &gt; 0,LightbringerAbilities4[[#This Row],[takes]]/SUM(LightbringerAbilities4[takes]),0)</f>
        <v>0.46666666666666667</v>
      </c>
      <c r="E20" s="26">
        <f>IF(LightbringerAbilities4[[#This Row],[takes]]&gt;0,LightbringerAbilities4[[#This Row],[wins]]/LightbringerAbilities4[[#This Row],[takes]],0)</f>
        <v>0.39285714285714285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3</v>
      </c>
      <c r="M20" s="25">
        <f>COUNTIF(Scenario0[winner1-ability4],LightbringerAbilities4Scenario0[[#This Row],[ability]])+COUNTIF(Scenario0[winner2-ability4],LightbringerAbilities4Scenario0[[#This Row],[ability]])</f>
        <v>1</v>
      </c>
      <c r="N20" s="26">
        <f>IF(SUM(LightbringerAbilities4Scenario0[[#This Row],[takes]]) &gt; 0,LightbringerAbilities4Scenario0[[#This Row],[takes]]/SUM(LightbringerAbilities4Scenario0[takes]),0)</f>
        <v>0.75</v>
      </c>
      <c r="O20" s="26">
        <f>IF(LightbringerAbilities4Scenario0[[#This Row],[takes]]&gt;0,LightbringerAbilities4Scenario0[[#This Row],[wins]]/LightbringerAbilities4Scenario0[[#This Row],[takes]],0)</f>
        <v>0.33333333333333331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52</v>
      </c>
      <c r="M24">
        <f>COUNTIF(Scenario1[winner1-ability1],LightbringerAbilities1Scenario1[[#This Row],[ability]])+COUNTIF(Scenario1[winner2-ability1],LightbringerAbilities1Scenario1[[#This Row],[ability]])</f>
        <v>19</v>
      </c>
      <c r="N24" s="3">
        <f>IF(SUM(LightbringerAbilities1Scenario1[[#This Row],[takes]]) &gt; 0,LightbringerAbilities1Scenario1[[#This Row],[takes]]/SUM(LightbringerAbilities1Scenario1[takes]),0)</f>
        <v>0.49523809523809526</v>
      </c>
      <c r="O24" s="3">
        <f>IF(LightbringerAbilities1Scenario1[[#This Row],[takes]]&gt;0,LightbringerAbilities1Scenario1[[#This Row],[wins]]/LightbringerAbilities1Scenario1[[#This Row],[takes]],0)</f>
        <v>0.36538461538461536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39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89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21</v>
      </c>
      <c r="M25">
        <f>COUNTIF(Scenario1[winner1-ability1],LightbringerAbilities1Scenario1[[#This Row],[ability]])+COUNTIF(Scenario1[winner2-ability1],LightbringerAbilities1Scenario1[[#This Row],[ability]])</f>
        <v>14</v>
      </c>
      <c r="N25" s="3">
        <f>IF(SUM(LightbringerAbilities1Scenario1[[#This Row],[takes]]) &gt; 0,LightbringerAbilities1Scenario1[[#This Row],[takes]]/SUM(LightbringerAbilities1Scenario1[takes]),0)</f>
        <v>0.2</v>
      </c>
      <c r="O25" s="3">
        <f>IF(LightbringerAbilities1Scenario1[[#This Row],[takes]]&gt;0,LightbringerAbilities1Scenario1[[#This Row],[wins]]/LightbringerAbilities1Scenario1[[#This Row],[takes]],0)</f>
        <v>0.66666666666666663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44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15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32</v>
      </c>
      <c r="M26">
        <f>COUNTIF(Scenario1[winner1-ability1],LightbringerAbilities1Scenario1[[#This Row],[ability]])+COUNTIF(Scenario1[winner2-ability1],LightbringerAbilities1Scenario1[[#This Row],[ability]])</f>
        <v>16</v>
      </c>
      <c r="N26" s="3">
        <f>IF(SUM(LightbringerAbilities1Scenario1[[#This Row],[takes]]) &gt; 0,LightbringerAbilities1Scenario1[[#This Row],[takes]]/SUM(LightbringerAbilities1Scenario1[takes]),0)</f>
        <v>0.30476190476190479</v>
      </c>
      <c r="O26" s="3">
        <f>IF(LightbringerAbilities1Scenario1[[#This Row],[takes]]&gt;0,LightbringerAbilities1Scenario1[[#This Row],[wins]]/LightbringerAbilities1Scenario1[[#This Row],[takes]],0)</f>
        <v>0.5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22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1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63</v>
      </c>
      <c r="M29" s="2">
        <f>COUNTIF(Scenario1[winner1-ability2],LightbringerAbilities2Scenario1[[#This Row],[ability]])+COUNTIF(Scenario1[winner2-ability2],LightbringerAbilities2Scenario1[[#This Row],[ability]])</f>
        <v>34</v>
      </c>
      <c r="N29" s="12">
        <f>IF(SUM(LightbringerAbilities2Scenario1[[#This Row],[takes]]) &gt; 0,LightbringerAbilities2Scenario1[[#This Row],[takes]]/SUM(LightbringerAbilities2Scenario1[takes]),0)</f>
        <v>0.67021276595744683</v>
      </c>
      <c r="O29" s="12">
        <f>IF(LightbringerAbilities2Scenario1[[#This Row],[takes]]&gt;0,LightbringerAbilities2Scenario1[[#This Row],[wins]]/LightbringerAbilities2Scenario1[[#This Row],[takes]],0)</f>
        <v>0.53968253968253965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12</v>
      </c>
      <c r="M30" s="2">
        <f>COUNTIF(Scenario1[winner1-ability2],LightbringerAbilities2Scenario1[[#This Row],[ability]])+COUNTIF(Scenario1[winner2-ability2],LightbringerAbilities2Scenario1[[#This Row],[ability]])</f>
        <v>4</v>
      </c>
      <c r="N30" s="3">
        <f>IF(SUM(LightbringerAbilities2Scenario1[[#This Row],[takes]]) &gt; 0,LightbringerAbilities2Scenario1[[#This Row],[takes]]/SUM(LightbringerAbilities2Scenario1[takes]),0)</f>
        <v>0.1276595744680851</v>
      </c>
      <c r="O30" s="3">
        <f>IF(LightbringerAbilities2Scenario1[[#This Row],[takes]]&gt;0,LightbringerAbilities2Scenario1[[#This Row],[wins]]/LightbringerAbilities2Scenario1[[#This Row],[takes]],0)</f>
        <v>0.33333333333333331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19</v>
      </c>
      <c r="M31" s="2">
        <f>COUNTIF(Scenario1[winner1-ability2],LightbringerAbilities2Scenario1[[#This Row],[ability]])+COUNTIF(Scenario1[winner2-ability2],LightbringerAbilities2Scenario1[[#This Row],[ability]])</f>
        <v>6</v>
      </c>
      <c r="N31" s="13">
        <f>IF(SUM(LightbringerAbilities2Scenario1[[#This Row],[takes]]) &gt; 0,LightbringerAbilities2Scenario1[[#This Row],[takes]]/SUM(LightbringerAbilities2Scenario1[takes]),0)</f>
        <v>0.20212765957446807</v>
      </c>
      <c r="O31" s="13">
        <f>IF(LightbringerAbilities2Scenario1[[#This Row],[takes]]&gt;0,LightbringerAbilities2Scenario1[[#This Row],[wins]]/LightbringerAbilities2Scenario1[[#This Row],[takes]],0)</f>
        <v>0.31578947368421051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15</v>
      </c>
      <c r="M34" s="1">
        <f>COUNTIF(Scenario1[winner1-ability3],LightbringerAbilities3Scenario1[[#This Row],[ability]])+COUNTIF(Scenario1[winner2-ability3],LightbringerAbilities3Scenario1[[#This Row],[ability]])</f>
        <v>5</v>
      </c>
      <c r="N34" s="14">
        <f>IF(SUM(LightbringerAbilities3Scenario1[[#This Row],[takes]]) &gt; 0,LightbringerAbilities3Scenario1[[#This Row],[takes]]/SUM(LightbringerAbilities3Scenario1[takes]),0)</f>
        <v>0.375</v>
      </c>
      <c r="O34" s="14">
        <f>IF(LightbringerAbilities3Scenario1[[#This Row],[takes]]&gt;0,LightbringerAbilities3Scenario1[[#This Row],[wins]]/LightbringerAbilities3Scenario1[[#This Row],[takes]],0)</f>
        <v>0.33333333333333331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24</v>
      </c>
      <c r="M35" s="2">
        <f>COUNTIF(Scenario1[winner1-ability3],LightbringerAbilities3Scenario1[[#This Row],[ability]])+COUNTIF(Scenario1[winner2-ability3],LightbringerAbilities3Scenario1[[#This Row],[ability]])</f>
        <v>10</v>
      </c>
      <c r="N35" s="12">
        <f>IF(SUM(LightbringerAbilities3Scenario1[[#This Row],[takes]]) &gt; 0,LightbringerAbilities3Scenario1[[#This Row],[takes]]/SUM(LightbringerAbilities3Scenario1[takes]),0)</f>
        <v>0.6</v>
      </c>
      <c r="O35" s="12">
        <f>IF(LightbringerAbilities3Scenario1[[#This Row],[takes]]&gt;0,LightbringerAbilities3Scenario1[[#This Row],[wins]]/LightbringerAbilities3Scenario1[[#This Row],[takes]],0)</f>
        <v>0.41666666666666669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</v>
      </c>
      <c r="M36" s="1">
        <f>COUNTIF(Scenario1[winner1-ability3],LightbringerAbilities3Scenario1[[#This Row],[ability]])+COUNTIF(Scenario1[winner2-ability3],LightbringerAbilities3Scenario1[[#This Row],[ability]])</f>
        <v>1</v>
      </c>
      <c r="N36" s="15">
        <f>IF(SUM(LightbringerAbilities3Scenario1[[#This Row],[takes]]) &gt; 0,LightbringerAbilities3Scenario1[[#This Row],[takes]]/SUM(LightbringerAbilities3Scenario1[takes]),0)</f>
        <v>2.5000000000000001E-2</v>
      </c>
      <c r="O36" s="15">
        <f>IF(LightbringerAbilities3Scenario1[[#This Row],[takes]]&gt;0,LightbringerAbilities3Scenario1[[#This Row],[wins]]/LightbringerAbilities3Scenario1[[#This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39" s="2">
        <f>COUNTIF(Scenario1[winner1-ability4],LightbringerAbilities4Scenario1[[#This Row],[ability]])+COUNTIF(Scenario1[winner2-ability4],LightbringerAbilities4Scenario1[[#This Row],[ability]])</f>
        <v>0</v>
      </c>
      <c r="N39" s="12">
        <f>IF(SUM(LightbringerAbilities4Scenario1[[#This Row],[takes]]) &gt; 0,LightbringerAbilities4Scenario1[[#This Row],[takes]]/SUM(LightbringerAbilities4Scenario1[takes]),0)</f>
        <v>0</v>
      </c>
      <c r="O39" s="12">
        <f>IF(LightbringerAbilities4Scenario1[[#This Row],[takes]]&gt;0,LightbringerAbilities4Scenario1[[#This Row],[wins]]/LightbringerAbilities4Scenario1[[#This Row],[takes]],0)</f>
        <v>0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1</v>
      </c>
      <c r="M40" s="2">
        <f>COUNTIF(Scenario1[winner1-ability4],LightbringerAbilities4Scenario1[[#This Row],[ability]])+COUNTIF(Scenario1[winner2-ability4],LightbringerAbilities4Scenario1[[#This Row],[ability]])</f>
        <v>1</v>
      </c>
      <c r="N40" s="12">
        <f>IF(SUM(LightbringerAbilities4Scenario1[[#This Row],[takes]]) &gt; 0,LightbringerAbilities4Scenario1[[#This Row],[takes]]/SUM(LightbringerAbilities4Scenario1[takes]),0)</f>
        <v>0.2</v>
      </c>
      <c r="O40" s="12">
        <f>IF(LightbringerAbilities4Scenario1[[#This Row],[takes]]&gt;0,LightbringerAbilities4Scenario1[[#This Row],[wins]]/LightbringerAbilities4Scenario1[[#This Row],[takes]],0)</f>
        <v>1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4</v>
      </c>
      <c r="M41" s="25">
        <f>COUNTIF(Scenario1[winner1-ability4],LightbringerAbilities4Scenario1[[#This Row],[ability]])+COUNTIF(Scenario1[winner2-ability4],LightbringerAbilities4Scenario1[[#This Row],[ability]])</f>
        <v>2</v>
      </c>
      <c r="N41" s="26">
        <f>IF(SUM(LightbringerAbilities4Scenario1[[#This Row],[takes]]) &gt; 0,LightbringerAbilities4Scenario1[[#This Row],[takes]]/SUM(LightbringerAbilities4Scenario1[takes]),0)</f>
        <v>0.8</v>
      </c>
      <c r="O41" s="26">
        <f>IF(LightbringerAbilities4Scenario1[[#This Row],[takes]]&gt;0,LightbringerAbilities4Scenario1[[#This Row],[wins]]/LightbringerAbilities4Scenario1[[#This Row],[takes]],0)</f>
        <v>0.5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10</v>
      </c>
      <c r="M45">
        <f>COUNTIF(Scenario2[winner1-ability1],LightbringerAbilities1Scenario2[[#This Row],[ability]])</f>
        <v>3</v>
      </c>
      <c r="N45" s="3">
        <f>IF(SUM(LightbringerAbilities1Scenario2[[#This Row],[takes]]) &gt; 0,LightbringerAbilities1Scenario2[[#This Row],[takes]]/SUM(LightbringerAbilities1Scenario2[takes]),0)</f>
        <v>0.7142857142857143</v>
      </c>
      <c r="O45" s="3">
        <f>IF(LightbringerAbilities1Scenario2[[#This Row],[takes]]&gt;0,LightbringerAbilities1Scenario2[[#This Row],[wins]]/LightbringerAbilities1Scenario2[[#This Row],[takes]],0)</f>
        <v>0.3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6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11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0</v>
      </c>
      <c r="M46">
        <f>COUNTIF(Scenario2[winner1-ability1],LightbringerAbilities1Scenario2[[#This Row],[ability]])</f>
        <v>0</v>
      </c>
      <c r="N46" s="3">
        <f>IF(SUM(LightbringerAbilities1Scenario2[[#This Row],[takes]]) &gt; 0,LightbringerAbilities1Scenario2[[#This Row],[takes]]/SUM(LightbringerAbilities1Scenario2[takes]),0)</f>
        <v>0</v>
      </c>
      <c r="O46" s="3">
        <f>IF(LightbringerAbilities1Scenario2[[#This Row],[takes]]&gt;0,LightbringerAbilities1Scenario2[[#This Row],[wins]]/LightbringerAbilities1Scenario2[[#This Row],[takes]],0)</f>
        <v>0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3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2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4</v>
      </c>
      <c r="M47">
        <f>COUNTIF(Scenario2[winner1-ability1],LightbringerAbilities1Scenario2[[#This Row],[ability]])</f>
        <v>4</v>
      </c>
      <c r="N47" s="3">
        <f>IF(SUM(LightbringerAbilities1Scenario2[[#This Row],[takes]]) &gt; 0,LightbringerAbilities1Scenario2[[#This Row],[takes]]/SUM(LightbringerAbilities1Scenario2[takes]),0)</f>
        <v>0.2857142857142857</v>
      </c>
      <c r="O47" s="3">
        <f>IF(LightbringerAbilities1Scenario2[[#This Row],[takes]]&gt;0,LightbringerAbilities1Scenario2[[#This Row],[wins]]/LightbringerAbilities1Scenario2[[#This Row],[takes]],0)</f>
        <v>1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5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1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7</v>
      </c>
      <c r="M50" s="2">
        <f>COUNTIF(Scenario2[winner1-ability2],LightbringerAbilities2Scenario2[[#This Row],[ability]])</f>
        <v>3</v>
      </c>
      <c r="N50" s="12">
        <f>IF(SUM(LightbringerAbilities2Scenario2[[#This Row],[takes]]) &gt; 0,LightbringerAbilities2Scenario2[[#This Row],[takes]]/SUM(LightbringerAbilities2Scenario2[takes]),0)</f>
        <v>0.5</v>
      </c>
      <c r="O50" s="12">
        <f>IF(LightbringerAbilities2Scenario2[[#This Row],[takes]]&gt;0,LightbringerAbilities2Scenario2[[#This Row],[wins]]/LightbringerAbilities2Scenario2[[#This Row],[takes]],0)</f>
        <v>0.42857142857142855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7</v>
      </c>
      <c r="M51" s="2">
        <f>COUNTIF(Scenario2[winner1-ability2],LightbringerAbilities2Scenario2[[#This Row],[ability]])</f>
        <v>4</v>
      </c>
      <c r="N51" s="3">
        <f>IF(SUM(LightbringerAbilities2Scenario2[[#This Row],[takes]]) &gt; 0,LightbringerAbilities2Scenario2[[#This Row],[takes]]/SUM(LightbringerAbilities2Scenario2[takes]),0)</f>
        <v>0.5</v>
      </c>
      <c r="O51" s="3">
        <f>IF(LightbringerAbilities2Scenario2[[#This Row],[takes]]&gt;0,LightbringerAbilities2Scenario2[[#This Row],[wins]]/LightbringerAbilities2Scenario2[[#This Row],[takes]],0)</f>
        <v>0.5714285714285714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0</v>
      </c>
      <c r="M52" s="2">
        <f>COUNTIF(Scenario2[winner1-ability2],LightbringerAbilities2Scenario2[[#This Row],[ability]])</f>
        <v>0</v>
      </c>
      <c r="N52" s="13">
        <f>IF(SUM(LightbringerAbilities2Scenario2[[#This Row],[takes]]) &gt; 0,LightbringerAbilities2Scenario2[[#This Row],[takes]]/SUM(LightbringerAbilities2Scenario2[takes]),0)</f>
        <v>0</v>
      </c>
      <c r="O52" s="13">
        <f>IF(LightbringerAbilities2Scenario2[[#This Row],[takes]]&gt;0,LightbringerAbilities2Scenario2[[#This Row],[wins]]/LightbringerAbilities2Scenario2[[#This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7</v>
      </c>
      <c r="M55" s="1">
        <f>COUNTIF(Scenario2[winner1-ability3],LightbringerAbilities3Scenario2[[#This Row],[ability]])</f>
        <v>5</v>
      </c>
      <c r="N55" s="14">
        <f>IF(SUM(LightbringerAbilities3Scenario2[[#This Row],[takes]]) &gt; 0,LightbringerAbilities3Scenario2[[#This Row],[takes]]/SUM(LightbringerAbilities3Scenario2[takes]),0)</f>
        <v>0.5</v>
      </c>
      <c r="O55" s="14">
        <f>IF(LightbringerAbilities3Scenario2[[#This Row],[takes]]&gt;0,LightbringerAbilities3Scenario2[[#This Row],[wins]]/LightbringerAbilities3Scenario2[[#This Row],[takes]],0)</f>
        <v>0.7142857142857143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5</v>
      </c>
      <c r="M56" s="2">
        <f>COUNTIF(Scenario2[winner1-ability3],LightbringerAbilities3Scenario2[[#This Row],[ability]])</f>
        <v>1</v>
      </c>
      <c r="N56" s="12">
        <f>IF(SUM(LightbringerAbilities3Scenario2[[#This Row],[takes]]) &gt; 0,LightbringerAbilities3Scenario2[[#This Row],[takes]]/SUM(LightbringerAbilities3Scenario2[takes]),0)</f>
        <v>0.35714285714285715</v>
      </c>
      <c r="O56" s="12">
        <f>IF(LightbringerAbilities3Scenario2[[#This Row],[takes]]&gt;0,LightbringerAbilities3Scenario2[[#This Row],[wins]]/LightbringerAbilities3Scenario2[[#This Row],[takes]],0)</f>
        <v>0.2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2</v>
      </c>
      <c r="M57" s="1">
        <f>COUNTIF(Scenario2[winner1-ability3],LightbringerAbilities3Scenario2[[#This Row],[ability]])</f>
        <v>1</v>
      </c>
      <c r="N57" s="15">
        <f>IF(SUM(LightbringerAbilities3Scenario2[[#This Row],[takes]]) &gt; 0,LightbringerAbilities3Scenario2[[#This Row],[takes]]/SUM(LightbringerAbilities3Scenario2[takes]),0)</f>
        <v>0.14285714285714285</v>
      </c>
      <c r="O57" s="15">
        <f>IF(LightbringerAbilities3Scenario2[[#This Row],[takes]]&gt;0,LightbringerAbilities3Scenario2[[#This Row],[wins]]/LightbringerAbilities3Scenario2[[#This Row],[takes]],0)</f>
        <v>0.5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3</v>
      </c>
      <c r="M60" s="2">
        <f>COUNTIF(Scenario2[winner1-ability4],LightbringerAbilities4Scenario2[[#This Row],[ability]])</f>
        <v>3</v>
      </c>
      <c r="N60" s="12">
        <f>IF(SUM(LightbringerAbilities4Scenario2[[#This Row],[takes]]) &gt; 0,LightbringerAbilities4Scenario2[[#This Row],[takes]]/SUM(LightbringerAbilities4Scenario2[takes]),0)</f>
        <v>0.3</v>
      </c>
      <c r="O60" s="12">
        <f>IF(LightbringerAbilities4Scenario2[[#This Row],[takes]]&gt;0,LightbringerAbilities4Scenario2[[#This Row],[wins]]/LightbringerAbilities4Scenario2[[#This Row],[takes]],0)</f>
        <v>1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2</v>
      </c>
      <c r="M61" s="2">
        <f>COUNTIF(Scenario2[winner1-ability4],LightbringerAbilities4Scenario2[[#This Row],[ability]])</f>
        <v>1</v>
      </c>
      <c r="N61" s="12">
        <f>IF(SUM(LightbringerAbilities4Scenario2[[#This Row],[takes]]) &gt; 0,LightbringerAbilities4Scenario2[[#This Row],[takes]]/SUM(LightbringerAbilities4Scenario2[takes]),0)</f>
        <v>0.2</v>
      </c>
      <c r="O61" s="12">
        <f>IF(LightbringerAbilities4Scenario2[[#This Row],[takes]]&gt;0,LightbringerAbilities4Scenario2[[#This Row],[wins]]/LightbringerAbilities4Scenario2[[#This Row],[takes]],0)</f>
        <v>0.5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5</v>
      </c>
      <c r="M62" s="25">
        <f>COUNTIF(Scenario2[winner1-ability4],LightbringerAbilities4Scenario2[[#This Row],[ability]])</f>
        <v>1</v>
      </c>
      <c r="N62" s="26">
        <f>IF(SUM(LightbringerAbilities4Scenario2[[#This Row],[takes]]) &gt; 0,LightbringerAbilities4Scenario2[[#This Row],[takes]]/SUM(LightbringerAbilities4Scenario2[takes]),0)</f>
        <v>0.5</v>
      </c>
      <c r="O62" s="26">
        <f>IF(LightbringerAbilities4Scenario2[[#This Row],[takes]]&gt;0,LightbringerAbilities4Scenario2[[#This Row],[wins]]/LightbringerAbilities4Scenario2[[#This Row],[takes]],0)</f>
        <v>0.2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11</v>
      </c>
      <c r="M66">
        <f>COUNTIF(Scenario3[winner1-ability1],LightbringerAbilities1Scenario3[[#This Row],[ability]])</f>
        <v>4</v>
      </c>
      <c r="N66" s="3">
        <f>IF(SUM(LightbringerAbilities1Scenario3[[#This Row],[takes]]) &gt; 0,LightbringerAbilities1Scenario3[[#This Row],[takes]]/SUM(LightbringerAbilities1Scenario3[takes]),0)</f>
        <v>0.52380952380952384</v>
      </c>
      <c r="O66" s="3">
        <f>IF(LightbringerAbilities1Scenario3[[#This Row],[takes]]&gt;0,LightbringerAbilities1Scenario3[[#This Row],[wins]]/LightbringerAbilities1Scenario3[[#This Row],[takes]],0)</f>
        <v>0.36363636363636365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4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3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4</v>
      </c>
      <c r="M67">
        <f>COUNTIF(Scenario3[winner1-ability1],LightbringerAbilities1Scenario3[[#This Row],[ability]])</f>
        <v>1</v>
      </c>
      <c r="N67" s="3">
        <f>IF(SUM(LightbringerAbilities1Scenario3[[#This Row],[takes]]) &gt; 0,LightbringerAbilities1Scenario3[[#This Row],[takes]]/SUM(LightbringerAbilities1Scenario3[takes]),0)</f>
        <v>0.19047619047619047</v>
      </c>
      <c r="O67" s="3">
        <f>IF(LightbringerAbilities1Scenario3[[#This Row],[takes]]&gt;0,LightbringerAbilities1Scenario3[[#This Row],[wins]]/LightbringerAbilities1Scenario3[[#This Row],[takes]],0)</f>
        <v>0.25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4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6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6</v>
      </c>
      <c r="M68">
        <f>COUNTIF(Scenario3[winner1-ability1],LightbringerAbilities1Scenario3[[#This Row],[ability]])</f>
        <v>2</v>
      </c>
      <c r="N68" s="3">
        <f>IF(SUM(LightbringerAbilities1Scenario3[[#This Row],[takes]]) &gt; 0,LightbringerAbilities1Scenario3[[#This Row],[takes]]/SUM(LightbringerAbilities1Scenario3[takes]),0)</f>
        <v>0.2857142857142857</v>
      </c>
      <c r="O68" s="3">
        <f>IF(LightbringerAbilities1Scenario3[[#This Row],[takes]]&gt;0,LightbringerAbilities1Scenario3[[#This Row],[wins]]/LightbringerAbilities1Scenario3[[#This Row],[takes]],0)</f>
        <v>0.33333333333333331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13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7</v>
      </c>
      <c r="M71" s="2">
        <f>COUNTIF(Scenario3[winner1-ability2],LightbringerAbilities2Scenario3[[#This Row],[ability]])</f>
        <v>3</v>
      </c>
      <c r="N71" s="12">
        <f>IF(SUM(LightbringerAbilities2Scenario3[[#This Row],[takes]]) &gt; 0,LightbringerAbilities2Scenario3[[#This Row],[takes]]/SUM(LightbringerAbilities2Scenario3[takes]),0)</f>
        <v>0.33333333333333331</v>
      </c>
      <c r="O71" s="12">
        <f>IF(LightbringerAbilities2Scenario3[[#This Row],[takes]]&gt;0,LightbringerAbilities2Scenario3[[#This Row],[wins]]/LightbringerAbilities2Scenario3[[#This Row],[takes]],0)</f>
        <v>0.42857142857142855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14</v>
      </c>
      <c r="M72" s="2">
        <f>COUNTIF(Scenario3[winner1-ability2],LightbringerAbilities2Scenario3[[#This Row],[ability]])</f>
        <v>4</v>
      </c>
      <c r="N72" s="3">
        <f>IF(SUM(LightbringerAbilities2Scenario3[[#This Row],[takes]]) &gt; 0,LightbringerAbilities2Scenario3[[#This Row],[takes]]/SUM(LightbringerAbilities2Scenario3[takes]),0)</f>
        <v>0.66666666666666663</v>
      </c>
      <c r="O72" s="3">
        <f>IF(LightbringerAbilities2Scenario3[[#This Row],[takes]]&gt;0,LightbringerAbilities2Scenario3[[#This Row],[wins]]/LightbringerAbilities2Scenario3[[#This Row],[takes]],0)</f>
        <v>0.2857142857142857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0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7</v>
      </c>
      <c r="M76" s="1">
        <f>COUNTIF(Scenario3[winner1-ability3],LightbringerAbilities3Scenario3[[#This Row],[ability]])</f>
        <v>2</v>
      </c>
      <c r="N76" s="14">
        <f>IF(SUM(LightbringerAbilities3Scenario3[[#This Row],[takes]]) &gt; 0,LightbringerAbilities3Scenario3[[#This Row],[takes]]/SUM(LightbringerAbilities3Scenario3[takes]),0)</f>
        <v>0.36842105263157893</v>
      </c>
      <c r="O76" s="14">
        <f>IF(LightbringerAbilities3Scenario3[[#This Row],[takes]]&gt;0,LightbringerAbilities3Scenario3[[#This Row],[wins]]/LightbringerAbilities3Scenario3[[#This Row],[takes]],0)</f>
        <v>0.2857142857142857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8</v>
      </c>
      <c r="M77" s="2">
        <f>COUNTIF(Scenario3[winner1-ability3],LightbringerAbilities3Scenario3[[#This Row],[ability]])</f>
        <v>3</v>
      </c>
      <c r="N77" s="12">
        <f>IF(SUM(LightbringerAbilities3Scenario3[[#This Row],[takes]]) &gt; 0,LightbringerAbilities3Scenario3[[#This Row],[takes]]/SUM(LightbringerAbilities3Scenario3[takes]),0)</f>
        <v>0.42105263157894735</v>
      </c>
      <c r="O77" s="12">
        <f>IF(LightbringerAbilities3Scenario3[[#This Row],[takes]]&gt;0,LightbringerAbilities3Scenario3[[#This Row],[wins]]/LightbringerAbilities3Scenario3[[#This Row],[takes]],0)</f>
        <v>0.375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4</v>
      </c>
      <c r="M78" s="1">
        <f>COUNTIF(Scenario3[winner1-ability3],LightbringerAbilities3Scenario3[[#This Row],[ability]])</f>
        <v>1</v>
      </c>
      <c r="N78" s="15">
        <f>IF(SUM(LightbringerAbilities3Scenario3[[#This Row],[takes]]) &gt; 0,LightbringerAbilities3Scenario3[[#This Row],[takes]]/SUM(LightbringerAbilities3Scenario3[takes]),0)</f>
        <v>0.21052631578947367</v>
      </c>
      <c r="O78" s="15">
        <f>IF(LightbringerAbilities3Scenario3[[#This Row],[takes]]&gt;0,LightbringerAbilities3Scenario3[[#This Row],[wins]]/LightbringerAbilities3Scenario3[[#This Row],[takes]],0)</f>
        <v>0.25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5</v>
      </c>
      <c r="M81" s="2">
        <f>COUNTIF(Scenario3[winner1-ability4],LightbringerAbilities4Scenario3[[#This Row],[ability]])</f>
        <v>3</v>
      </c>
      <c r="N81" s="12">
        <f>IF(SUM(LightbringerAbilities4Scenario3[[#This Row],[takes]]) &gt; 0,LightbringerAbilities4Scenario3[[#This Row],[takes]]/SUM(LightbringerAbilities4Scenario3[takes]),0)</f>
        <v>0.3125</v>
      </c>
      <c r="O81" s="12">
        <f>IF(LightbringerAbilities4Scenario3[[#This Row],[takes]]&gt;0,LightbringerAbilities4Scenario3[[#This Row],[wins]]/LightbringerAbilities4Scenario3[[#This Row],[takes]],0)</f>
        <v>0.6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3</v>
      </c>
      <c r="M82" s="2">
        <f>COUNTIF(Scenario3[winner1-ability4],LightbringerAbilities4Scenario3[[#This Row],[ability]])</f>
        <v>2</v>
      </c>
      <c r="N82" s="12">
        <f>IF(SUM(LightbringerAbilities4Scenario3[[#This Row],[takes]]) &gt; 0,LightbringerAbilities4Scenario3[[#This Row],[takes]]/SUM(LightbringerAbilities4Scenario3[takes]),0)</f>
        <v>0.1875</v>
      </c>
      <c r="O82" s="12">
        <f>IF(LightbringerAbilities4Scenario3[[#This Row],[takes]]&gt;0,LightbringerAbilities4Scenario3[[#This Row],[wins]]/LightbringerAbilities4Scenario3[[#This Row],[takes]],0)</f>
        <v>0.66666666666666663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8</v>
      </c>
      <c r="M83" s="2">
        <f>COUNTIF(Scenario3[winner1-ability4],LightbringerAbilities4Scenario3[[#This Row],[ability]])</f>
        <v>1</v>
      </c>
      <c r="N83" s="26">
        <f>IF(SUM(LightbringerAbilities4Scenario3[[#This Row],[takes]]) &gt; 0,LightbringerAbilities4Scenario3[[#This Row],[takes]]/SUM(LightbringerAbilities4Scenario3[takes]),0)</f>
        <v>0.5</v>
      </c>
      <c r="O83" s="26">
        <f>IF(LightbringerAbilities4Scenario3[[#This Row],[takes]]&gt;0,LightbringerAbilities4Scenario3[[#This Row],[wins]]/LightbringerAbilities4Scenario3[[#This Row],[takes]],0)</f>
        <v>0.125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16</v>
      </c>
      <c r="M87">
        <f>COUNTIF(Scenario4[winner1-ability1],LightbringerAbilities1Scenario4[[#This Row],[ability]])</f>
        <v>4</v>
      </c>
      <c r="N87" s="3">
        <f>IF(SUM(LightbringerAbilities1Scenario4[[#This Row],[takes]]) &gt; 0,LightbringerAbilities1Scenario4[[#This Row],[takes]]/SUM(LightbringerAbilities1Scenario4[takes]),0)</f>
        <v>0.45714285714285713</v>
      </c>
      <c r="O87" s="3">
        <f>IF(LightbringerAbilities1Scenario4[[#This Row],[takes]]&gt;0,LightbringerAbilities1Scenario4[[#This Row],[wins]]/LightbringerAbilities1Scenario4[[#This Row],[takes]],0)</f>
        <v>0.25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3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2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9</v>
      </c>
      <c r="M88">
        <f>COUNTIF(Scenario4[winner1-ability1],LightbringerAbilities1Scenario4[[#This Row],[ability]])</f>
        <v>4</v>
      </c>
      <c r="N88" s="3">
        <f>IF(SUM(LightbringerAbilities1Scenario4[[#This Row],[takes]]) &gt; 0,LightbringerAbilities1Scenario4[[#This Row],[takes]]/SUM(LightbringerAbilities1Scenario4[takes]),0)</f>
        <v>0.25714285714285712</v>
      </c>
      <c r="O88" s="3">
        <f>IF(LightbringerAbilities1Scenario4[[#This Row],[takes]]&gt;0,LightbringerAbilities1Scenario4[[#This Row],[wins]]/LightbringerAbilities1Scenario4[[#This Row],[takes]],0)</f>
        <v>0.44444444444444442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3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3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10</v>
      </c>
      <c r="M89">
        <f>COUNTIF(Scenario4[winner1-ability1],LightbringerAbilities1Scenario4[[#This Row],[ability]])</f>
        <v>5</v>
      </c>
      <c r="N89" s="3">
        <f>IF(SUM(LightbringerAbilities1Scenario4[[#This Row],[takes]]) &gt; 0,LightbringerAbilities1Scenario4[[#This Row],[takes]]/SUM(LightbringerAbilities1Scenario4[takes]),0)</f>
        <v>0.2857142857142857</v>
      </c>
      <c r="O89" s="3">
        <f>IF(LightbringerAbilities1Scenario4[[#This Row],[takes]]&gt;0,LightbringerAbilities1Scenario4[[#This Row],[wins]]/LightbringerAbilities1Scenario4[[#This Row],[takes]],0)</f>
        <v>0.5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29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30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9</v>
      </c>
      <c r="M92" s="2">
        <f>COUNTIF(Scenario4[winner1-ability2],LightbringerAbilities2Scenario4[[#This Row],[ability]])</f>
        <v>4</v>
      </c>
      <c r="N92" s="12">
        <f>IF(SUM(LightbringerAbilities2Scenario4[[#This Row],[takes]]) &gt; 0,LightbringerAbilities2Scenario4[[#This Row],[takes]]/SUM(LightbringerAbilities2Scenario4[takes]),0)</f>
        <v>0.25714285714285712</v>
      </c>
      <c r="O92" s="12">
        <f>IF(LightbringerAbilities2Scenario4[[#This Row],[takes]]&gt;0,LightbringerAbilities2Scenario4[[#This Row],[wins]]/LightbringerAbilities2Scenario4[[#This Row],[takes]],0)</f>
        <v>0.44444444444444442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26</v>
      </c>
      <c r="M93" s="2">
        <f>COUNTIF(Scenario4[winner1-ability2],LightbringerAbilities2Scenario4[[#This Row],[ability]])</f>
        <v>9</v>
      </c>
      <c r="N93" s="3">
        <f>IF(SUM(LightbringerAbilities2Scenario4[[#This Row],[takes]]) &gt; 0,LightbringerAbilities2Scenario4[[#This Row],[takes]]/SUM(LightbringerAbilities2Scenario4[takes]),0)</f>
        <v>0.74285714285714288</v>
      </c>
      <c r="O93" s="3">
        <f>IF(LightbringerAbilities2Scenario4[[#This Row],[takes]]&gt;0,LightbringerAbilities2Scenario4[[#This Row],[wins]]/LightbringerAbilities2Scenario4[[#This Row],[takes]],0)</f>
        <v>0.34615384615384615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4" s="2">
        <f>COUNTIF(Scenario4[winner1-ability2],LightbringerAbilities2Scenario4[[#This Row],[ability]])</f>
        <v>0</v>
      </c>
      <c r="N94" s="13">
        <f>IF(SUM(LightbringerAbilities2Scenario4[[#This Row],[takes]]) &gt; 0,LightbringerAbilities2Scenario4[[#This Row],[takes]]/SUM(LightbringerAbilities2Scenario4[takes]),0)</f>
        <v>0</v>
      </c>
      <c r="O94" s="13">
        <f>IF(LightbringerAbilities2Scenario4[[#This Row],[takes]]&gt;0,LightbringerAbilities2Scenario4[[#This Row],[wins]]/LightbringerAbilities2Scenario4[[#This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7</v>
      </c>
      <c r="M97" s="1">
        <f>COUNTIF(Scenario4[winner1-ability3],LightbringerAbilities3Scenario4[[#This Row],[ability]])</f>
        <v>4</v>
      </c>
      <c r="N97" s="14">
        <f>IF(SUM(LightbringerAbilities3Scenario4[[#This Row],[takes]]) &gt; 0,LightbringerAbilities3Scenario4[[#This Row],[takes]]/SUM(LightbringerAbilities3Scenario4[takes]),0)</f>
        <v>0.2</v>
      </c>
      <c r="O97" s="14">
        <f>IF(LightbringerAbilities3Scenario4[[#This Row],[takes]]&gt;0,LightbringerAbilities3Scenario4[[#This Row],[wins]]/LightbringerAbilities3Scenario4[[#This Row],[takes]],0)</f>
        <v>0.5714285714285714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10</v>
      </c>
      <c r="M98" s="2">
        <f>COUNTIF(Scenario4[winner1-ability3],LightbringerAbilities3Scenario4[[#This Row],[ability]])</f>
        <v>2</v>
      </c>
      <c r="N98" s="12">
        <f>IF(SUM(LightbringerAbilities3Scenario4[[#This Row],[takes]]) &gt; 0,LightbringerAbilities3Scenario4[[#This Row],[takes]]/SUM(LightbringerAbilities3Scenario4[takes]),0)</f>
        <v>0.2857142857142857</v>
      </c>
      <c r="O98" s="12">
        <f>IF(LightbringerAbilities3Scenario4[[#This Row],[takes]]&gt;0,LightbringerAbilities3Scenario4[[#This Row],[wins]]/LightbringerAbilities3Scenario4[[#This Row],[takes]],0)</f>
        <v>0.2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18</v>
      </c>
      <c r="M99" s="1">
        <f>COUNTIF(Scenario4[winner1-ability3],LightbringerAbilities3Scenario4[[#This Row],[ability]])</f>
        <v>7</v>
      </c>
      <c r="N99" s="15">
        <f>IF(SUM(LightbringerAbilities3Scenario4[[#This Row],[takes]]) &gt; 0,LightbringerAbilities3Scenario4[[#This Row],[takes]]/SUM(LightbringerAbilities3Scenario4[takes]),0)</f>
        <v>0.51428571428571423</v>
      </c>
      <c r="O99" s="15">
        <f>IF(LightbringerAbilities3Scenario4[[#This Row],[takes]]&gt;0,LightbringerAbilities3Scenario4[[#This Row],[wins]]/LightbringerAbilities3Scenario4[[#This Row],[takes]],0)</f>
        <v>0.3888888888888889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7</v>
      </c>
      <c r="M102" s="2">
        <f>COUNTIF(Scenario4[winner1-ability4],LightbringerAbilities4Scenario4[[#This Row],[ability]])</f>
        <v>5</v>
      </c>
      <c r="N102" s="12">
        <f>IF(SUM(LightbringerAbilities4Scenario4[[#This Row],[takes]]) &gt; 0,LightbringerAbilities4Scenario4[[#This Row],[takes]]/SUM(LightbringerAbilities4Scenario4[takes]),0)</f>
        <v>0.21212121212121213</v>
      </c>
      <c r="O102" s="12">
        <f>IF(LightbringerAbilities4Scenario4[[#This Row],[takes]]&gt;0,LightbringerAbilities4Scenario4[[#This Row],[wins]]/LightbringerAbilities4Scenario4[[#This Row],[takes]],0)</f>
        <v>0.7142857142857143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13</v>
      </c>
      <c r="M103" s="2">
        <f>COUNTIF(Scenario4[winner1-ability4],LightbringerAbilities4Scenario4[[#This Row],[ability]])</f>
        <v>3</v>
      </c>
      <c r="N103" s="12">
        <f>IF(SUM(LightbringerAbilities4Scenario4[[#This Row],[takes]]) &gt; 0,LightbringerAbilities4Scenario4[[#This Row],[takes]]/SUM(LightbringerAbilities4Scenario4[takes]),0)</f>
        <v>0.39393939393939392</v>
      </c>
      <c r="O103" s="12">
        <f>IF(LightbringerAbilities4Scenario4[[#This Row],[takes]]&gt;0,LightbringerAbilities4Scenario4[[#This Row],[wins]]/LightbringerAbilities4Scenario4[[#This Row],[takes]],0)</f>
        <v>0.23076923076923078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13</v>
      </c>
      <c r="M104" s="2">
        <f>COUNTIF(Scenario4[winner1-ability4],LightbringerAbilities4Scenario4[[#This Row],[ability]])</f>
        <v>5</v>
      </c>
      <c r="N104" s="26">
        <f>IF(SUM(LightbringerAbilities4Scenario4[[#This Row],[takes]]) &gt; 0,LightbringerAbilities4Scenario4[[#This Row],[takes]]/SUM(LightbringerAbilities4Scenario4[takes]),0)</f>
        <v>0.39393939393939392</v>
      </c>
      <c r="O104" s="26">
        <f>IF(LightbringerAbilities4Scenario4[[#This Row],[takes]]&gt;0,LightbringerAbilities4Scenario4[[#This Row],[wins]]/LightbringerAbilities4Scenario4[[#This Row],[takes]],0)</f>
        <v>0.38461538461538464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32</v>
      </c>
      <c r="M108">
        <f>COUNTIF(Scenario5[winner1-ability1],LightbringerAbilities1Scenario5[[#This Row],[ability]])+COUNTIF(Scenario5[winner2-ability1],LightbringerAbilities1Scenario5[[#This Row],[ability]])</f>
        <v>12</v>
      </c>
      <c r="N108" s="3">
        <f>IF(SUM(LightbringerAbilities1Scenario5[[#This Row],[takes]]) &gt; 0,LightbringerAbilities1Scenario5[[#This Row],[takes]]/SUM(LightbringerAbilities1Scenario5[takes]),0)</f>
        <v>0.30476190476190479</v>
      </c>
      <c r="O108" s="3">
        <f>IF(LightbringerAbilities1Scenario5[[#This Row],[takes]]&gt;0,LightbringerAbilities1Scenario5[[#This Row],[wins]]/LightbringerAbilities1Scenario5[[#This Row],[takes]],0)</f>
        <v>0.375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42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70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46</v>
      </c>
      <c r="M109">
        <f>COUNTIF(Scenario5[winner1-ability1],LightbringerAbilities1Scenario5[[#This Row],[ability]])+COUNTIF(Scenario5[winner2-ability1],LightbringerAbilities1Scenario5[[#This Row],[ability]])</f>
        <v>33</v>
      </c>
      <c r="N109" s="3">
        <f>IF(SUM(LightbringerAbilities1Scenario5[[#This Row],[takes]]) &gt; 0,LightbringerAbilities1Scenario5[[#This Row],[takes]]/SUM(LightbringerAbilities1Scenario5[takes]),0)</f>
        <v>0.43809523809523809</v>
      </c>
      <c r="O109" s="3">
        <f>IF(LightbringerAbilities1Scenario5[[#This Row],[takes]]&gt;0,LightbringerAbilities1Scenario5[[#This Row],[wins]]/LightbringerAbilities1Scenario5[[#This Row],[takes]],0)</f>
        <v>0.71739130434782605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42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21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27</v>
      </c>
      <c r="M110">
        <f>COUNTIF(Scenario5[winner1-ability1],LightbringerAbilities1Scenario5[[#This Row],[ability]])+COUNTIF(Scenario5[winner2-ability1],LightbringerAbilities1Scenario5[[#This Row],[ability]])</f>
        <v>10</v>
      </c>
      <c r="N110" s="3">
        <f>IF(SUM(LightbringerAbilities1Scenario5[[#This Row],[takes]]) &gt; 0,LightbringerAbilities1Scenario5[[#This Row],[takes]]/SUM(LightbringerAbilities1Scenario5[takes]),0)</f>
        <v>0.25714285714285712</v>
      </c>
      <c r="O110" s="3">
        <f>IF(LightbringerAbilities1Scenario5[[#This Row],[takes]]&gt;0,LightbringerAbilities1Scenario5[[#This Row],[wins]]/LightbringerAbilities1Scenario5[[#This Row],[takes]],0)</f>
        <v>0.37037037037037035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21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14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48</v>
      </c>
      <c r="M113" s="2">
        <f>COUNTIF(Scenario5[winner1-ability2],LightbringerAbilities2Scenario5[[#This Row],[ability]])+COUNTIF(Scenario5[winner2-ability2],LightbringerAbilities2Scenario5[[#This Row],[ability]])</f>
        <v>22</v>
      </c>
      <c r="N113" s="12">
        <f>IF(SUM(LightbringerAbilities2Scenario5[[#This Row],[takes]]) &gt; 0,LightbringerAbilities2Scenario5[[#This Row],[takes]]/SUM(LightbringerAbilities2Scenario5[takes]),0)</f>
        <v>0.46153846153846156</v>
      </c>
      <c r="O113" s="12">
        <f>IF(LightbringerAbilities2Scenario5[[#This Row],[takes]]&gt;0,LightbringerAbilities2Scenario5[[#This Row],[wins]]/LightbringerAbilities2Scenario5[[#This Row],[takes]],0)</f>
        <v>0.45833333333333331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55</v>
      </c>
      <c r="M114" s="2">
        <f>COUNTIF(Scenario5[winner1-ability2],LightbringerAbilities2Scenario5[[#This Row],[ability]])+COUNTIF(Scenario5[winner2-ability2],LightbringerAbilities2Scenario5[[#This Row],[ability]])</f>
        <v>31</v>
      </c>
      <c r="N114" s="3">
        <f>IF(SUM(LightbringerAbilities2Scenario5[[#This Row],[takes]]) &gt; 0,LightbringerAbilities2Scenario5[[#This Row],[takes]]/SUM(LightbringerAbilities2Scenario5[takes]),0)</f>
        <v>0.52884615384615385</v>
      </c>
      <c r="O114" s="3">
        <f>IF(LightbringerAbilities2Scenario5[[#This Row],[takes]]&gt;0,LightbringerAbilities2Scenario5[[#This Row],[wins]]/LightbringerAbilities2Scenario5[[#This Row],[takes]],0)</f>
        <v>0.5636363636363636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1</v>
      </c>
      <c r="M115" s="2">
        <f>COUNTIF(Scenario5[winner1-ability2],LightbringerAbilities2Scenario5[[#This Row],[ability]])+COUNTIF(Scenario5[winner2-ability2],LightbringerAbilities2Scenario5[[#This Row],[ability]])</f>
        <v>1</v>
      </c>
      <c r="N115" s="13">
        <f>IF(SUM(LightbringerAbilities2Scenario5[[#This Row],[takes]]) &gt; 0,LightbringerAbilities2Scenario5[[#This Row],[takes]]/SUM(LightbringerAbilities2Scenario5[takes]),0)</f>
        <v>9.6153846153846159E-3</v>
      </c>
      <c r="O115" s="13">
        <f>IF(LightbringerAbilities2Scenario5[[#This Row],[takes]]&gt;0,LightbringerAbilities2Scenario5[[#This Row],[wins]]/LightbringerAbilities2Scenario5[[#This Row],[takes]],0)</f>
        <v>1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37</v>
      </c>
      <c r="M118" s="1">
        <f>COUNTIF(Scenario5[winner1-ability3],LightbringerAbilities3Scenario5[[#This Row],[ability]])+COUNTIF(Scenario5[winner2-ability3],LightbringerAbilities3Scenario5[[#This Row],[ability]])</f>
        <v>22</v>
      </c>
      <c r="N118" s="14">
        <f>IF(SUM(LightbringerAbilities3Scenario5[[#This Row],[takes]]) &gt; 0,LightbringerAbilities3Scenario5[[#This Row],[takes]]/SUM(LightbringerAbilities3Scenario5[takes]),0)</f>
        <v>0.42045454545454547</v>
      </c>
      <c r="O118" s="14">
        <f>IF(LightbringerAbilities3Scenario5[[#This Row],[takes]]&gt;0,LightbringerAbilities3Scenario5[[#This Row],[wins]]/LightbringerAbilities3Scenario5[[#This Row],[takes]],0)</f>
        <v>0.59459459459459463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34</v>
      </c>
      <c r="M119" s="2">
        <f>COUNTIF(Scenario5[winner1-ability3],LightbringerAbilities3Scenario5[[#This Row],[ability]])+COUNTIF(Scenario5[winner2-ability3],LightbringerAbilities3Scenario5[[#This Row],[ability]])</f>
        <v>16</v>
      </c>
      <c r="N119" s="12">
        <f>IF(SUM(LightbringerAbilities3Scenario5[[#This Row],[takes]]) &gt; 0,LightbringerAbilities3Scenario5[[#This Row],[takes]]/SUM(LightbringerAbilities3Scenario5[takes]),0)</f>
        <v>0.38636363636363635</v>
      </c>
      <c r="O119" s="12">
        <f>IF(LightbringerAbilities3Scenario5[[#This Row],[takes]]&gt;0,LightbringerAbilities3Scenario5[[#This Row],[wins]]/LightbringerAbilities3Scenario5[[#This Row],[takes]],0)</f>
        <v>0.47058823529411764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17</v>
      </c>
      <c r="M120" s="1">
        <f>COUNTIF(Scenario5[winner1-ability3],LightbringerAbilities3Scenario5[[#This Row],[ability]])+COUNTIF(Scenario5[winner2-ability3],LightbringerAbilities3Scenario5[[#This Row],[ability]])</f>
        <v>11</v>
      </c>
      <c r="N120" s="15">
        <f>IF(SUM(LightbringerAbilities3Scenario5[[#This Row],[takes]]) &gt; 0,LightbringerAbilities3Scenario5[[#This Row],[takes]]/SUM(LightbringerAbilities3Scenario5[takes]),0)</f>
        <v>0.19318181818181818</v>
      </c>
      <c r="O120" s="15">
        <f>IF(LightbringerAbilities3Scenario5[[#This Row],[takes]]&gt;0,LightbringerAbilities3Scenario5[[#This Row],[wins]]/LightbringerAbilities3Scenario5[[#This Row],[takes]],0)</f>
        <v>0.6470588235294118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10</v>
      </c>
      <c r="M123" s="2">
        <f>COUNTIF(Scenario5[winner1-ability4],LightbringerAbilities4Scenario5[[#This Row],[ability]])+COUNTIF(Scenario5[winner2-ability4],LightbringerAbilities4Scenario5[[#This Row],[ability]])</f>
        <v>8</v>
      </c>
      <c r="N123" s="12">
        <f>IF(SUM(LightbringerAbilities4Scenario5[[#This Row],[takes]]) &gt; 0,LightbringerAbilities4Scenario5[[#This Row],[takes]]/SUM(LightbringerAbilities4Scenario5[takes]),0)</f>
        <v>0.19230769230769232</v>
      </c>
      <c r="O123" s="12">
        <f>IF(LightbringerAbilities4Scenario5[[#This Row],[takes]]&gt;0,LightbringerAbilities4Scenario5[[#This Row],[wins]]/LightbringerAbilities4Scenario5[[#This Row],[takes]],0)</f>
        <v>0.8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19</v>
      </c>
      <c r="M124" s="2">
        <f>COUNTIF(Scenario5[winner1-ability4],LightbringerAbilities4Scenario5[[#This Row],[ability]])+COUNTIF(Scenario5[winner2-ability4],LightbringerAbilities4Scenario5[[#This Row],[ability]])</f>
        <v>13</v>
      </c>
      <c r="N124" s="12">
        <f>IF(SUM(LightbringerAbilities4Scenario5[[#This Row],[takes]]) &gt; 0,LightbringerAbilities4Scenario5[[#This Row],[takes]]/SUM(LightbringerAbilities4Scenario5[takes]),0)</f>
        <v>0.36538461538461536</v>
      </c>
      <c r="O124" s="12">
        <f>IF(LightbringerAbilities4Scenario5[[#This Row],[takes]]&gt;0,LightbringerAbilities4Scenario5[[#This Row],[wins]]/LightbringerAbilities4Scenario5[[#This Row],[takes]],0)</f>
        <v>0.68421052631578949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23</v>
      </c>
      <c r="M125" s="2">
        <f>COUNTIF(Scenario5[winner1-ability4],LightbringerAbilities4Scenario5[[#This Row],[ability]])+COUNTIF(Scenario5[winner2-ability4],LightbringerAbilities4Scenario5[[#This Row],[ability]])</f>
        <v>12</v>
      </c>
      <c r="N125" s="26">
        <f>IF(SUM(LightbringerAbilities4Scenario5[[#This Row],[takes]]) &gt; 0,LightbringerAbilities4Scenario5[[#This Row],[takes]]/SUM(LightbringerAbilities4Scenario5[takes]),0)</f>
        <v>0.44230769230769229</v>
      </c>
      <c r="O125" s="26">
        <f>IF(LightbringerAbilities4Scenario5[[#This Row],[takes]]&gt;0,LightbringerAbilities4Scenario5[[#This Row],[wins]]/LightbringerAbilities4Scenario5[[#This Row],[takes]],0)</f>
        <v>0.52173913043478259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E25" sqref="E25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0.15324675324675324</v>
      </c>
    </row>
    <row r="3" spans="1:24" x14ac:dyDescent="0.25">
      <c r="A3" t="s">
        <v>67</v>
      </c>
      <c r="B3">
        <f>M3+M24+M45+M66+M87+M108</f>
        <v>113</v>
      </c>
      <c r="C3">
        <f>N3+N24+N45+N66+N87+N108</f>
        <v>61</v>
      </c>
      <c r="D3" s="3">
        <f>IF(SUM(AvengerAbilities1[[#This Row],[takes]]) &gt; 0,AvengerAbilities1[[#This Row],[takes]]/SUM(AvengerAbilities1[takes]),0)</f>
        <v>0.29350649350649349</v>
      </c>
      <c r="E3" s="3">
        <f>IF(AvengerAbilities1[[#This Row],[takes]]&gt;0,AvengerAbilities1[[#This Row],[wins]]/AvengerAbilities1[[#This Row],[takes]],0)</f>
        <v>0.53982300884955747</v>
      </c>
      <c r="G3">
        <v>1</v>
      </c>
      <c r="H3">
        <f>S3+S24+S45+S66+S87+S108</f>
        <v>183</v>
      </c>
      <c r="I3">
        <f>T3+T24+T45+T66+T87+T108</f>
        <v>289</v>
      </c>
      <c r="J3" s="18">
        <f>U3+U24+U45+U66+U87+U108</f>
        <v>115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48</v>
      </c>
      <c r="N3">
        <f>COUNTIF(Scenario0[winner1-ability1],AvengerAbilities1Scenario0[[#This Row],[ability]])+COUNTIF(Scenario0[winner2-ability1],AvengerAbilities1Scenario0[[#This Row],[ability]])</f>
        <v>25</v>
      </c>
      <c r="O3" s="3">
        <f>IF(SUM(AvengerAbilities1Scenario0[[#This Row],[takes]]) &gt; 0,AvengerAbilities1Scenario0[[#This Row],[takes]]/SUM(AvengerAbilities1Scenario0[takes]),0)</f>
        <v>0.45714285714285713</v>
      </c>
      <c r="P3" s="3">
        <f>IF(AvengerAbilities1Scenario0[[#This Row],[takes]]&gt;0,AvengerAbilities1Scenario0[[#This Row],[wins]]/AvengerAbilities1Scenario0[[#This Row],[takes]],0)</f>
        <v>0.52083333333333337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83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93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41</v>
      </c>
      <c r="W3" t="s">
        <v>206</v>
      </c>
      <c r="X3" s="16">
        <f>H5/SUM(AvengerEquip[sabre])</f>
        <v>0.37142857142857144</v>
      </c>
    </row>
    <row r="4" spans="1:24" x14ac:dyDescent="0.25">
      <c r="A4" t="s">
        <v>152</v>
      </c>
      <c r="B4">
        <f t="shared" ref="B4:B5" si="0">M4+M25+M46+M67+M88+M109</f>
        <v>127</v>
      </c>
      <c r="C4">
        <f t="shared" ref="C4:C5" si="1">N4+N25+N46+N67+N88+N109</f>
        <v>66</v>
      </c>
      <c r="D4" s="3">
        <f>IF(SUM(AvengerAbilities1[[#This Row],[takes]]) &gt; 0,AvengerAbilities1[[#This Row],[takes]]/SUM(AvengerAbilities1[takes]),0)</f>
        <v>0.32987012987012987</v>
      </c>
      <c r="E4" s="3">
        <f>IF(AvengerAbilities1[[#This Row],[takes]]&gt;0,AvengerAbilities1[[#This Row],[wins]]/AvengerAbilities1[[#This Row],[takes]],0)</f>
        <v>0.51968503937007871</v>
      </c>
      <c r="G4">
        <v>2</v>
      </c>
      <c r="H4">
        <f t="shared" ref="H4:H5" si="2">S4+S25+S46+S67+S88+S109</f>
        <v>59</v>
      </c>
      <c r="I4">
        <f t="shared" ref="I4:I5" si="3">T4+T25+T46+T67+T88+T109</f>
        <v>33</v>
      </c>
      <c r="J4" s="18">
        <f t="shared" ref="J4:J5" si="4">U4+U25+U46+U67+U88+U109</f>
        <v>182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56</v>
      </c>
      <c r="N4">
        <f>COUNTIF(Scenario0[winner1-ability1],AvengerAbilities1Scenario0[[#This Row],[ability]])+COUNTIF(Scenario0[winner2-ability1],AvengerAbilities1Scenario0[[#This Row],[ability]])</f>
        <v>28</v>
      </c>
      <c r="O4" s="3">
        <f>IF(SUM(AvengerAbilities1Scenario0[[#This Row],[takes]]) &gt; 0,AvengerAbilities1Scenario0[[#This Row],[takes]]/SUM(AvengerAbilities1Scenario0[takes]),0)</f>
        <v>0.53333333333333333</v>
      </c>
      <c r="P4" s="3">
        <f>IF(AvengerAbilities1Scenario0[[#This Row],[takes]]&gt;0,AvengerAbilities1Scenario0[[#This Row],[wins]]/AvengerAbilities1Scenario0[[#This Row],[takes]],0)</f>
        <v>0.5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14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6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53</v>
      </c>
      <c r="W4" t="s">
        <v>207</v>
      </c>
      <c r="X4" s="3">
        <f>AvengerEquip[[#This Row],[blade]]/SUM(AvengerEquip[blade])</f>
        <v>8.5714285714285715E-2</v>
      </c>
    </row>
    <row r="5" spans="1:24" x14ac:dyDescent="0.25">
      <c r="A5" t="s">
        <v>39</v>
      </c>
      <c r="B5">
        <f t="shared" si="0"/>
        <v>145</v>
      </c>
      <c r="C5">
        <f t="shared" si="1"/>
        <v>59</v>
      </c>
      <c r="D5" s="3">
        <f>IF(SUM(AvengerAbilities1[[#This Row],[takes]]) &gt; 0,AvengerAbilities1[[#This Row],[takes]]/SUM(AvengerAbilities1[takes]),0)</f>
        <v>0.37662337662337664</v>
      </c>
      <c r="E5" s="3">
        <f>IF(AvengerAbilities1[[#This Row],[takes]]&gt;0,AvengerAbilities1[[#This Row],[wins]]/AvengerAbilities1[[#This Row],[takes]],0)</f>
        <v>0.40689655172413791</v>
      </c>
      <c r="G5">
        <v>3</v>
      </c>
      <c r="H5">
        <f t="shared" si="2"/>
        <v>143</v>
      </c>
      <c r="I5">
        <f t="shared" si="3"/>
        <v>63</v>
      </c>
      <c r="J5" s="18">
        <f t="shared" si="4"/>
        <v>88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1</v>
      </c>
      <c r="N5">
        <f>COUNTIF(Scenario0[winner1-ability1],AvengerAbilities1Scenario0[[#This Row],[ability]])+COUNTIF(Scenario0[winner2-ability1],AvengerAbilities1Scenario0[[#This Row],[ability]])</f>
        <v>1</v>
      </c>
      <c r="O5" s="3">
        <f>IF(SUM(AvengerAbilities1Scenario0[[#This Row],[takes]]) &gt; 0,AvengerAbilities1Scenario0[[#This Row],[takes]]/SUM(AvengerAbilities1Scenario0[takes]),0)</f>
        <v>9.5238095238095247E-3</v>
      </c>
      <c r="P5" s="3">
        <f>IF(AvengerAbilities1Scenario0[[#This Row],[takes]]&gt;0,AvengerAbilities1Scenario0[[#This Row],[wins]]/AvengerAbilities1Scenario0[[#This Row],[takes]],0)</f>
        <v>1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8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6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11</v>
      </c>
      <c r="W5" t="s">
        <v>208</v>
      </c>
      <c r="X5" s="16">
        <f>AvengerEquip[[#This Row],[blade]]/SUM(AvengerEquip[blade])</f>
        <v>0.16363636363636364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0.47272727272727272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0.22857142857142856</v>
      </c>
    </row>
    <row r="8" spans="1:24" x14ac:dyDescent="0.25">
      <c r="A8" s="2" t="s">
        <v>40</v>
      </c>
      <c r="B8" s="2">
        <f>M8+M29+M50+M71+M92+M113</f>
        <v>117</v>
      </c>
      <c r="C8" s="2">
        <f>N8+N29+N50+N71+N92+N113</f>
        <v>42</v>
      </c>
      <c r="D8" s="12">
        <f>IF(SUM(AvengerAbilities2[[#This Row],[takes]]) &gt; 0,AvengerAbilities2[[#This Row],[takes]]/SUM(AvengerAbilities2[takes]),0)</f>
        <v>0.51541850220264318</v>
      </c>
      <c r="E8" s="12">
        <f>IF(AvengerAbilities2[[#This Row],[takes]]&gt;0,AvengerAbilities2[[#This Row],[wins]]/AvengerAbilities2[[#This Row],[takes]],0)</f>
        <v>0.35897435897435898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8</v>
      </c>
      <c r="N8" s="2">
        <f>COUNTIF(Scenario0[winner1-ability2],AvengerAbilities2Scenario0[[#This Row],[ability]])+COUNTIF(Scenario0[winner2-ability2],AvengerAbilities2Scenario0[[#This Row],[ability]])</f>
        <v>4</v>
      </c>
      <c r="O8" s="12">
        <f>IF(SUM(AvengerAbilities2Scenario0[[#This Row],[takes]]) &gt; 0,AvengerAbilities2Scenario0[[#This Row],[takes]]/SUM(AvengerAbilities2Scenario0[takes]),0)</f>
        <v>0.21621621621621623</v>
      </c>
      <c r="P8" s="12">
        <f>IF(AvengerAbilities2Scenario0[[#This Row],[takes]]&gt;0,AvengerAbilities2Scenario0[[#This Row],[wins]]/AvengerAbilities2Scenario0[[#This Row],[takes]],0)</f>
        <v>0.5</v>
      </c>
      <c r="U8" s="18"/>
      <c r="W8" t="s">
        <v>176</v>
      </c>
      <c r="X8" s="3">
        <f>SUM(AvengerAbilities2[takes])/SUM(AvengerAbilities1[takes])</f>
        <v>0.58961038961038958</v>
      </c>
    </row>
    <row r="9" spans="1:24" x14ac:dyDescent="0.25">
      <c r="A9" t="s">
        <v>70</v>
      </c>
      <c r="B9" s="2">
        <f t="shared" ref="B9:B10" si="5">M9+M30+M51+M72+M93+M114</f>
        <v>43</v>
      </c>
      <c r="C9" s="2">
        <f t="shared" ref="C9:C10" si="6">N9+N30+N51+N72+N93+N114</f>
        <v>33</v>
      </c>
      <c r="D9" s="3">
        <f>IF(SUM(AvengerAbilities2[[#This Row],[takes]]) &gt; 0,AvengerAbilities2[[#This Row],[takes]]/SUM(AvengerAbilities2[takes]),0)</f>
        <v>0.1894273127753304</v>
      </c>
      <c r="E9" s="3">
        <f>IF(AvengerAbilities2[[#This Row],[takes]]&gt;0,AvengerAbilities2[[#This Row],[wins]]/AvengerAbilities2[[#This Row],[takes]],0)</f>
        <v>0.76744186046511631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24</v>
      </c>
      <c r="N9" s="2">
        <f>COUNTIF(Scenario0[winner1-ability2],AvengerAbilities2Scenario0[[#This Row],[ability]])+COUNTIF(Scenario0[winner2-ability2],AvengerAbilities2Scenario0[[#This Row],[ability]])</f>
        <v>20</v>
      </c>
      <c r="O9" s="3">
        <f>IF(SUM(AvengerAbilities2Scenario0[[#This Row],[takes]]) &gt; 0,AvengerAbilities2Scenario0[[#This Row],[takes]]/SUM(AvengerAbilities2Scenario0[takes]),0)</f>
        <v>0.64864864864864868</v>
      </c>
      <c r="P9" s="3">
        <f>IF(AvengerAbilities2Scenario0[[#This Row],[takes]]&gt;0,AvengerAbilities2Scenario0[[#This Row],[wins]]/AvengerAbilities2Scenario0[[#This Row],[takes]],0)</f>
        <v>0.83333333333333337</v>
      </c>
      <c r="U9" s="18"/>
      <c r="W9" t="s">
        <v>177</v>
      </c>
      <c r="X9" s="3">
        <f>SUM(AvengerAbilities3[takes])/SUM(AvengerAbilities1[takes])</f>
        <v>0.34285714285714286</v>
      </c>
    </row>
    <row r="10" spans="1:24" x14ac:dyDescent="0.25">
      <c r="A10" s="10" t="s">
        <v>96</v>
      </c>
      <c r="B10" s="2">
        <f t="shared" si="5"/>
        <v>67</v>
      </c>
      <c r="C10" s="2">
        <f t="shared" si="6"/>
        <v>39</v>
      </c>
      <c r="D10" s="13">
        <f>IF(SUM(AvengerAbilities2[[#This Row],[takes]]) &gt; 0,AvengerAbilities2[[#This Row],[takes]]/SUM(AvengerAbilities2[takes]),0)</f>
        <v>0.29515418502202645</v>
      </c>
      <c r="E10" s="13">
        <f>IF(AvengerAbilities2[[#This Row],[takes]]&gt;0,AvengerAbilities2[[#This Row],[wins]]/AvengerAbilities2[[#This Row],[takes]],0)</f>
        <v>0.58208955223880599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5</v>
      </c>
      <c r="N10" s="2">
        <f>COUNTIF(Scenario0[winner1-ability2],AvengerAbilities2Scenario0[[#This Row],[ability]])+COUNTIF(Scenario0[winner2-ability2],AvengerAbilities2Scenario0[[#This Row],[ability]])</f>
        <v>3</v>
      </c>
      <c r="O10" s="13">
        <f>IF(SUM(AvengerAbilities2Scenario0[[#This Row],[takes]]) &gt; 0,AvengerAbilities2Scenario0[[#This Row],[takes]]/SUM(AvengerAbilities2Scenario0[takes]),0)</f>
        <v>0.13513513513513514</v>
      </c>
      <c r="P10" s="13">
        <f>IF(AvengerAbilities2Scenario0[[#This Row],[takes]]&gt;0,AvengerAbilities2Scenario0[[#This Row],[wins]]/AvengerAbilities2Scenario0[[#This Row],[takes]],0)</f>
        <v>0.6</v>
      </c>
      <c r="U10" s="18"/>
      <c r="W10" t="s">
        <v>178</v>
      </c>
      <c r="X10" s="16">
        <f>SUM(AvengerAbilities4[takes])/SUM(AvengerAbilities1[takes])</f>
        <v>0.21038961038961038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2.6181818181818182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54</v>
      </c>
      <c r="C13" s="1">
        <f>N13+N34+N55+N76+N97+N118</f>
        <v>25</v>
      </c>
      <c r="D13" s="14">
        <f>IF(SUM(AvengerAbilities3[[#This Row],[takes]]) &gt; 0,AvengerAbilities3[[#This Row],[takes]]/SUM(AvengerAbilities3[takes]),0)</f>
        <v>0.40909090909090912</v>
      </c>
      <c r="E13" s="14">
        <f>IF(AvengerAbilities3[[#This Row],[takes]]&gt;0,AvengerAbilities3[[#This Row],[wins]]/AvengerAbilities3[[#This Row],[takes]],0)</f>
        <v>0.46296296296296297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3</v>
      </c>
      <c r="N13" s="1">
        <f>COUNTIF(Scenario0[winner1-ability3],AvengerAbilities3Scenario0[[#This Row],[ability]])+COUNTIF(Scenario0[winner2-ability3],AvengerAbilities3Scenario0[[#This Row],[ability]])</f>
        <v>2</v>
      </c>
      <c r="O13" s="14">
        <f>IF(SUM(AvengerAbilities3Scenario0[[#This Row],[takes]]) &gt; 0,AvengerAbilities3Scenario0[[#This Row],[takes]]/SUM(AvengerAbilities3Scenario0[takes]),0)</f>
        <v>0.5</v>
      </c>
      <c r="P13" s="14">
        <f>IF(AvengerAbilities3Scenario0[[#This Row],[takes]]&gt;0,AvengerAbilities3Scenario0[[#This Row],[wins]]/AvengerAbilities3Scenario0[[#This Row],[takes]],0)</f>
        <v>0.66666666666666663</v>
      </c>
      <c r="U13" s="18"/>
    </row>
    <row r="14" spans="1:24" x14ac:dyDescent="0.25">
      <c r="A14" s="2" t="s">
        <v>153</v>
      </c>
      <c r="B14" s="2">
        <f t="shared" ref="B14:B15" si="7">M14+M35+M56+M77+M98+M119</f>
        <v>44</v>
      </c>
      <c r="C14" s="2">
        <f t="shared" ref="C14:C15" si="8">N14+N35+N56+N77+N98+N119</f>
        <v>15</v>
      </c>
      <c r="D14" s="12">
        <f>IF(SUM(AvengerAbilities3[[#This Row],[takes]]) &gt; 0,AvengerAbilities3[[#This Row],[takes]]/SUM(AvengerAbilities3[takes]),0)</f>
        <v>0.33333333333333331</v>
      </c>
      <c r="E14" s="12">
        <f>IF(AvengerAbilities3[[#This Row],[takes]]&gt;0,AvengerAbilities3[[#This Row],[wins]]/AvengerAbilities3[[#This Row],[takes]],0)</f>
        <v>0.34090909090909088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4" s="2">
        <f>COUNTIF(Scenario0[winner1-ability3],AvengerAbilities3Scenario0[[#This Row],[ability]])+COUNTIF(Scenario0[winner2-ability3],AvengerAbilities3Scenario0[[#This Row],[ability]])</f>
        <v>0</v>
      </c>
      <c r="O14" s="12">
        <f>IF(SUM(AvengerAbilities3Scenario0[[#This Row],[takes]]) &gt; 0,AvengerAbilities3Scenario0[[#This Row],[takes]]/SUM(AvengerAbilities3Scenario0[takes]),0)</f>
        <v>0</v>
      </c>
      <c r="P14" s="12">
        <f>IF(AvengerAbilities3Scenario0[[#This Row],[takes]]&gt;0,AvengerAbilities3Scenario0[[#This Row],[wins]]/AvengerAbilities3Scenario0[[#This Row],[takes]],0)</f>
        <v>0</v>
      </c>
      <c r="U14" s="18"/>
    </row>
    <row r="15" spans="1:24" x14ac:dyDescent="0.25">
      <c r="A15" s="11" t="s">
        <v>154</v>
      </c>
      <c r="B15" s="1">
        <f t="shared" si="7"/>
        <v>34</v>
      </c>
      <c r="C15" s="1">
        <f t="shared" si="8"/>
        <v>18</v>
      </c>
      <c r="D15" s="15">
        <f>IF(SUM(AvengerAbilities3[[#This Row],[takes]]) &gt; 0,AvengerAbilities3[[#This Row],[takes]]/SUM(AvengerAbilities3[takes]),0)</f>
        <v>0.25757575757575757</v>
      </c>
      <c r="E15" s="15">
        <f>IF(AvengerAbilities3[[#This Row],[takes]]&gt;0,AvengerAbilities3[[#This Row],[wins]]/AvengerAbilities3[[#This Row],[takes]],0)</f>
        <v>0.52941176470588236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3</v>
      </c>
      <c r="N15" s="1">
        <f>COUNTIF(Scenario0[winner1-ability3],AvengerAbilities3Scenario0[[#This Row],[ability]])+COUNTIF(Scenario0[winner2-ability3],AvengerAbilities3Scenario0[[#This Row],[ability]])</f>
        <v>0</v>
      </c>
      <c r="O15" s="15">
        <f>IF(SUM(AvengerAbilities3Scenario0[[#This Row],[takes]]) &gt; 0,AvengerAbilities3Scenario0[[#This Row],[takes]]/SUM(AvengerAbilities3Scenario0[takes]),0)</f>
        <v>0.5</v>
      </c>
      <c r="P15" s="15">
        <f>IF(AvengerAbilities3Scenario0[[#This Row],[takes]]&gt;0,AvengerAbilities3Scenario0[[#This Row],[wins]]/AvengerAbilities3Scenario0[[#This Row],[takes]],0)</f>
        <v>0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24</v>
      </c>
      <c r="C18" s="2">
        <f>N18+N39+N60+N81+N102+N123</f>
        <v>7</v>
      </c>
      <c r="D18" s="12">
        <f>IF(SUM(AvengerAbilities4[[#This Row],[takes]]) &gt; 0,AvengerAbilities4[[#This Row],[takes]]/SUM(AvengerAbilities4[takes]),0)</f>
        <v>0.29629629629629628</v>
      </c>
      <c r="E18" s="12">
        <f>IF(AvengerAbilities4[[#This Row],[takes]]&gt;0,AvengerAbilities4[[#This Row],[wins]]/AvengerAbilities4[[#This Row],[takes]],0)</f>
        <v>0.29166666666666669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1</v>
      </c>
      <c r="N18" s="2">
        <f>COUNTIF(Scenario0[winner1-ability4],AvengerAbilities4Scenario0[[#This Row],[ability]])+COUNTIF(Scenario0[winner2-ability4],AvengerAbilities4Scenario0[[#This Row],[ability]])</f>
        <v>0</v>
      </c>
      <c r="O18" s="12">
        <f>IF(SUM(AvengerAbilities4Scenario0[[#This Row],[takes]]) &gt; 0,AvengerAbilities4Scenario0[[#This Row],[takes]]/SUM(AvengerAbilities4Scenario0[takes]),0)</f>
        <v>0.5</v>
      </c>
      <c r="P18" s="12">
        <f>IF(AvengerAbilities4Scenario0[[#This Row],[takes]]&gt;0,AvengerAbilities4Scenario0[[#This Row],[wins]]/AvengerAbilities4Scenario0[[#This Row],[takes]],0)</f>
        <v>0</v>
      </c>
      <c r="U18" s="18"/>
    </row>
    <row r="19" spans="1:21" x14ac:dyDescent="0.25">
      <c r="A19" s="2" t="s">
        <v>156</v>
      </c>
      <c r="B19" s="2">
        <f t="shared" ref="B19:B20" si="9">M19+M40+M61+M82+M103+M124</f>
        <v>52</v>
      </c>
      <c r="C19" s="2">
        <f t="shared" ref="C19:C20" si="10">N19+N40+N61+N82+N103+N124</f>
        <v>28</v>
      </c>
      <c r="D19" s="12">
        <f>IF(SUM(AvengerAbilities4[[#This Row],[takes]]) &gt; 0,AvengerAbilities4[[#This Row],[takes]]/SUM(AvengerAbilities4[takes]),0)</f>
        <v>0.64197530864197527</v>
      </c>
      <c r="E19" s="12">
        <f>IF(AvengerAbilities4[[#This Row],[takes]]&gt;0,AvengerAbilities4[[#This Row],[wins]]/AvengerAbilities4[[#This Row],[takes]],0)</f>
        <v>0.53846153846153844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9" s="2">
        <f>COUNTIF(Scenario0[winner1-ability4],AvengerAbilities4Scenario0[[#This Row],[ability]])+COUNTIF(Scenario0[winner2-ability4],AvengerAbilities4Scenario0[[#This Row],[ability]])</f>
        <v>0</v>
      </c>
      <c r="O19" s="12">
        <f>IF(SUM(AvengerAbilities4Scenario0[[#This Row],[takes]]) &gt; 0,AvengerAbilities4Scenario0[[#This Row],[takes]]/SUM(AvengerAbilities4Scenario0[takes]),0)</f>
        <v>0</v>
      </c>
      <c r="P19" s="12">
        <f>IF(AvengerAbilities4Scenario0[[#This Row],[takes]]&gt;0,AvengerAbilities4Scenario0[[#This Row],[wins]]/AvengerAbilities4Scenario0[[#This Row],[takes]],0)</f>
        <v>0</v>
      </c>
      <c r="U19" s="18"/>
    </row>
    <row r="20" spans="1:21" ht="15.75" thickBot="1" x14ac:dyDescent="0.3">
      <c r="A20" s="10" t="s">
        <v>42</v>
      </c>
      <c r="B20" s="2">
        <f t="shared" si="9"/>
        <v>5</v>
      </c>
      <c r="C20" s="2">
        <f t="shared" si="10"/>
        <v>4</v>
      </c>
      <c r="D20" s="26">
        <f>IF(SUM(AvengerAbilities4[[#This Row],[takes]]) &gt; 0,AvengerAbilities4[[#This Row],[takes]]/SUM(AvengerAbilities4[takes]),0)</f>
        <v>6.1728395061728392E-2</v>
      </c>
      <c r="E20" s="26">
        <f>IF(AvengerAbilities4[[#This Row],[takes]]&gt;0,AvengerAbilities4[[#This Row],[wins]]/AvengerAbilities4[[#This Row],[takes]],0)</f>
        <v>0.8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1</v>
      </c>
      <c r="N20" s="25">
        <f>COUNTIF(Scenario0[winner1-ability4],AvengerAbilities4Scenario0[[#This Row],[ability]])+COUNTIF(Scenario0[winner2-ability4],AvengerAbilities4Scenario0[[#This Row],[ability]])</f>
        <v>1</v>
      </c>
      <c r="O20" s="26">
        <f>IF(SUM(AvengerAbilities4Scenario0[[#This Row],[takes]]) &gt; 0,AvengerAbilities4Scenario0[[#This Row],[takes]]/SUM(AvengerAbilities4Scenario0[takes]),0)</f>
        <v>0.5</v>
      </c>
      <c r="P20" s="26">
        <f>IF(AvengerAbilities4Scenario0[[#This Row],[takes]]&gt;0,AvengerAbilities4Scenario0[[#This Row],[wins]]/AvengerAbilities4Scenario0[[#This Row],[takes]],0)</f>
        <v>1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32</v>
      </c>
      <c r="N24">
        <f>COUNTIF(Scenario1[winner1-ability1],AvengerAbilities1Scenario1[[#This Row],[ability]])+COUNTIF(Scenario1[winner2-ability1],AvengerAbilities1Scenario1[[#This Row],[ability]])</f>
        <v>18</v>
      </c>
      <c r="O24" s="3">
        <f>IF(SUM(AvengerAbilities1Scenario1[[#This Row],[takes]]) &gt; 0,AvengerAbilities1Scenario1[[#This Row],[takes]]/SUM(AvengerAbilities1Scenario1[takes]),0)</f>
        <v>0.30476190476190479</v>
      </c>
      <c r="P24" s="3">
        <f>IF(AvengerAbilities1Scenario1[[#This Row],[takes]]&gt;0,AvengerAbilities1Scenario1[[#This Row],[wins]]/AvengerAbilities1Scenario1[[#This Row],[takes]],0)</f>
        <v>0.5625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55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87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40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50</v>
      </c>
      <c r="N25">
        <f>COUNTIF(Scenario1[winner1-ability1],AvengerAbilities1Scenario1[[#This Row],[ability]])+COUNTIF(Scenario1[winner2-ability1],AvengerAbilities1Scenario1[[#This Row],[ability]])</f>
        <v>30</v>
      </c>
      <c r="O25" s="3">
        <f>IF(SUM(AvengerAbilities1Scenario1[[#This Row],[takes]]) &gt; 0,AvengerAbilities1Scenario1[[#This Row],[takes]]/SUM(AvengerAbilities1Scenario1[takes]),0)</f>
        <v>0.47619047619047616</v>
      </c>
      <c r="P25" s="3">
        <f>IF(AvengerAbilities1Scenario1[[#This Row],[takes]]&gt;0,AvengerAbilities1Scenario1[[#This Row],[wins]]/AvengerAbilities1Scenario1[[#This Row],[takes]],0)</f>
        <v>0.6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17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15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53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23</v>
      </c>
      <c r="N26">
        <f>COUNTIF(Scenario1[winner1-ability1],AvengerAbilities1Scenario1[[#This Row],[ability]])+COUNTIF(Scenario1[winner2-ability1],AvengerAbilities1Scenario1[[#This Row],[ability]])</f>
        <v>9</v>
      </c>
      <c r="O26" s="3">
        <f>IF(SUM(AvengerAbilities1Scenario1[[#This Row],[takes]]) &gt; 0,AvengerAbilities1Scenario1[[#This Row],[takes]]/SUM(AvengerAbilities1Scenario1[takes]),0)</f>
        <v>0.21904761904761905</v>
      </c>
      <c r="P26" s="3">
        <f>IF(AvengerAbilities1Scenario1[[#This Row],[takes]]&gt;0,AvengerAbilities1Scenario1[[#This Row],[wins]]/AvengerAbilities1Scenario1[[#This Row],[takes]],0)</f>
        <v>0.39130434782608697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33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3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12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9</v>
      </c>
      <c r="N29" s="2">
        <f>COUNTIF(Scenario1[winner1-ability2],AvengerAbilities2Scenario1[[#This Row],[ability]])+COUNTIF(Scenario1[winner2-ability2],AvengerAbilities2Scenario1[[#This Row],[ability]])</f>
        <v>2</v>
      </c>
      <c r="O29" s="12">
        <f>IF(SUM(AvengerAbilities2Scenario1[[#This Row],[takes]]) &gt; 0,AvengerAbilities2Scenario1[[#This Row],[takes]]/SUM(AvengerAbilities2Scenario1[takes]),0)</f>
        <v>0.24324324324324326</v>
      </c>
      <c r="P29" s="12">
        <f>IF(AvengerAbilities2Scenario1[[#This Row],[takes]]&gt;0,AvengerAbilities2Scenario1[[#This Row],[wins]]/AvengerAbilities2Scenario1[[#This Row],[takes]],0)</f>
        <v>0.22222222222222221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12</v>
      </c>
      <c r="N30" s="2">
        <f>COUNTIF(Scenario1[winner1-ability2],AvengerAbilities2Scenario1[[#This Row],[ability]])+COUNTIF(Scenario1[winner2-ability2],AvengerAbilities2Scenario1[[#This Row],[ability]])</f>
        <v>8</v>
      </c>
      <c r="O30" s="3">
        <f>IF(SUM(AvengerAbilities2Scenario1[[#This Row],[takes]]) &gt; 0,AvengerAbilities2Scenario1[[#This Row],[takes]]/SUM(AvengerAbilities2Scenario1[takes]),0)</f>
        <v>0.32432432432432434</v>
      </c>
      <c r="P30" s="3">
        <f>IF(AvengerAbilities2Scenario1[[#This Row],[takes]]&gt;0,AvengerAbilities2Scenario1[[#This Row],[wins]]/AvengerAbilities2Scenario1[[#This Row],[takes]],0)</f>
        <v>0.66666666666666663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16</v>
      </c>
      <c r="N31" s="2">
        <f>COUNTIF(Scenario1[winner1-ability2],AvengerAbilities2Scenario1[[#This Row],[ability]])+COUNTIF(Scenario1[winner2-ability2],AvengerAbilities2Scenario1[[#This Row],[ability]])</f>
        <v>11</v>
      </c>
      <c r="O31" s="13">
        <f>IF(SUM(AvengerAbilities2Scenario1[[#This Row],[takes]]) &gt; 0,AvengerAbilities2Scenario1[[#This Row],[takes]]/SUM(AvengerAbilities2Scenario1[takes]),0)</f>
        <v>0.43243243243243246</v>
      </c>
      <c r="P31" s="13">
        <f>IF(AvengerAbilities2Scenario1[[#This Row],[takes]]&gt;0,AvengerAbilities2Scenario1[[#This Row],[wins]]/AvengerAbilities2Scenario1[[#This Row],[takes]],0)</f>
        <v>0.6875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2</v>
      </c>
      <c r="N34" s="1">
        <f>COUNTIF(Scenario1[winner1-ability3],AvengerAbilities3Scenario1[[#This Row],[ability]])+COUNTIF(Scenario1[winner2-ability3],AvengerAbilities3Scenario1[[#This Row],[ability]])</f>
        <v>2</v>
      </c>
      <c r="O34" s="14">
        <f>IF(SUM(AvengerAbilities3Scenario1[[#This Row],[takes]]) &gt; 0,AvengerAbilities3Scenario1[[#This Row],[takes]]/SUM(AvengerAbilities3Scenario1[takes]),0)</f>
        <v>0.5</v>
      </c>
      <c r="P34" s="14">
        <f>IF(AvengerAbilities3Scenario1[[#This Row],[takes]]&gt;0,AvengerAbilities3Scenario1[[#This Row],[wins]]/AvengerAbilities3Scenario1[[#This Row],[takes]],0)</f>
        <v>1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2</v>
      </c>
      <c r="N35" s="2">
        <f>COUNTIF(Scenario1[winner1-ability3],AvengerAbilities3Scenario1[[#This Row],[ability]])+COUNTIF(Scenario1[winner2-ability3],AvengerAbilities3Scenario1[[#This Row],[ability]])</f>
        <v>0</v>
      </c>
      <c r="O35" s="12">
        <f>IF(SUM(AvengerAbilities3Scenario1[[#This Row],[takes]]) &gt; 0,AvengerAbilities3Scenario1[[#This Row],[takes]]/SUM(AvengerAbilities3Scenario1[takes]),0)</f>
        <v>0.5</v>
      </c>
      <c r="P35" s="12">
        <f>IF(AvengerAbilities3Scenario1[[#This Row],[takes]]&gt;0,AvengerAbilities3Scenario1[[#This Row],[wins]]/AvengerAbilities3Scenario1[[#This Row],[takes]],0)</f>
        <v>0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6" s="1">
        <f>COUNTIF(Scenario1[winner1-ability3],AvengerAbilities3Scenario1[[#This Row],[ability]])+COUNTIF(Scenario1[winner2-ability3],AvengerAbilities3Scenario1[[#This Row],[ability]])</f>
        <v>0</v>
      </c>
      <c r="O36" s="15">
        <f>IF(SUM(AvengerAbilities3Scenario1[[#This Row],[takes]]) &gt; 0,AvengerAbilities3Scenario1[[#This Row],[takes]]/SUM(AvengerAbilities3Scenario1[takes]),0)</f>
        <v>0</v>
      </c>
      <c r="P36" s="15">
        <f>IF(AvengerAbilities3Scenario1[[#This Row],[takes]]&gt;0,AvengerAbilities3Scenario1[[#This Row],[wins]]/AvengerAbilities3Scenario1[[#This Row],[takes]],0)</f>
        <v>0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39" s="2">
        <f>COUNTIF(Scenario1[winner1-ability4],AvengerAbilities4Scenario1[[#This Row],[ability]])+COUNTIF(Scenario1[winner2-ability4],AvengerAbilities4Scenario1[[#This Row],[ability]])</f>
        <v>0</v>
      </c>
      <c r="O39" s="12">
        <f>IF(SUM(AvengerAbilities4Scenario1[[#This Row],[takes]]) &gt; 0,AvengerAbilities4Scenario1[[#This Row],[takes]]/SUM(AvengerAbilities4Scenario1[takes]),0)</f>
        <v>0</v>
      </c>
      <c r="P39" s="12">
        <f>IF(AvengerAbilities4Scenario1[[#This Row],[takes]]&gt;0,AvengerAbilities4Scenario1[[#This Row],[wins]]/AvengerAbilities4Scenario1[[#This Row],[takes]],0)</f>
        <v>0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0" s="2">
        <f>COUNTIF(Scenario1[winner1-ability4],AvengerAbilities4Scenario1[[#This Row],[ability]])+COUNTIF(Scenario1[winner2-ability4],AvengerAbilities4Scenario1[[#This Row],[ability]])</f>
        <v>0</v>
      </c>
      <c r="O40" s="12">
        <f>IF(SUM(AvengerAbilities4Scenario1[[#This Row],[takes]]) &gt; 0,AvengerAbilities4Scenario1[[#This Row],[takes]]/SUM(AvengerAbilities4Scenario1[takes]),0)</f>
        <v>0</v>
      </c>
      <c r="P40" s="12">
        <f>IF(AvengerAbilities4Scenario1[[#This Row],[takes]]&gt;0,AvengerAbilities4Scenario1[[#This Row],[wins]]/AvengerAbilities4Scenario1[[#This Row],[takes]],0)</f>
        <v>0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2</v>
      </c>
      <c r="N41" s="2">
        <f>COUNTIF(Scenario1[winner1-ability4],AvengerAbilities4Scenario1[[#This Row],[ability]])+COUNTIF(Scenario1[winner2-ability4],AvengerAbilities4Scenario1[[#This Row],[ability]])</f>
        <v>1</v>
      </c>
      <c r="O41" s="26">
        <f>IF(SUM(AvengerAbilities4Scenario1[[#This Row],[takes]]) &gt; 0,AvengerAbilities4Scenario1[[#This Row],[takes]]/SUM(AvengerAbilities4Scenario1[takes]),0)</f>
        <v>1</v>
      </c>
      <c r="P41" s="26">
        <f>IF(AvengerAbilities4Scenario1[[#This Row],[takes]]&gt;0,AvengerAbilities4Scenario1[[#This Row],[wins]]/AvengerAbilities4Scenario1[[#This Row],[takes]],0)</f>
        <v>0.5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0</v>
      </c>
      <c r="N45">
        <f>COUNTIF(Scenario2[winner1-ability1],AvengerAbilities1Scenario2[[#This Row],[ability]])</f>
        <v>0</v>
      </c>
      <c r="O45" s="3">
        <f>IF(SUM(AvengerAbilities1Scenario2[[#This Row],[takes]]) &gt; 0,AvengerAbilities1Scenario2[[#This Row],[takes]]/SUM(AvengerAbilities1Scenario2[takes]),0)</f>
        <v>0</v>
      </c>
      <c r="P45" s="3">
        <f>IF(AvengerAbilities1Scenario2[[#This Row],[takes]]&gt;0,AvengerAbilities1Scenario2[[#This Row],[wins]]/AvengerAbilities1Scenario2[[#This Row],[takes]],0)</f>
        <v>0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7</v>
      </c>
      <c r="T45">
        <f>COUNTIFS(Scenario2[winner1],"avenger",Scenario2[winner1-sw],AvengerEquipScenario2[[#This Row],[level]])+COUNTIFS(Scenario2[loser1],"avenger",Scenario2[loser1-sw],AvengerEquipScenario2[[#This Row],[level]])</f>
        <v>12</v>
      </c>
      <c r="U45" s="18">
        <f>COUNTIFS(Scenario2[winner1],"avenger",Scenario2[winner1-cp],AvengerEquipScenario2[[#This Row],[level]])+COUNTIFS(Scenario2[loser1],"avenger",Scenario2[loser1-cp],AvengerEquipScenario2[[#This Row],[level]])</f>
        <v>2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2</v>
      </c>
      <c r="N46">
        <f>COUNTIF(Scenario2[winner1-ability1],AvengerAbilities1Scenario2[[#This Row],[ability]])</f>
        <v>0</v>
      </c>
      <c r="O46" s="3">
        <f>IF(SUM(AvengerAbilities1Scenario2[[#This Row],[takes]]) &gt; 0,AvengerAbilities1Scenario2[[#This Row],[takes]]/SUM(AvengerAbilities1Scenario2[takes]),0)</f>
        <v>0.14285714285714285</v>
      </c>
      <c r="P46" s="3">
        <f>IF(AvengerAbilities1Scenario2[[#This Row],[takes]]&gt;0,AvengerAbilities1Scenario2[[#This Row],[wins]]/AvengerAbilities1Scenario2[[#This Row],[takes]],0)</f>
        <v>0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3</v>
      </c>
      <c r="T46">
        <f>COUNTIFS(Scenario2[winner1],"avenger",Scenario2[winner1-sw],AvengerEquipScenario2[[#This Row],[level]])+COUNTIFS(Scenario2[loser1],"avenger",Scenario2[loser1-sw],AvengerEquipScenario2[[#This Row],[level]])</f>
        <v>1</v>
      </c>
      <c r="U46" s="18">
        <f>COUNTIFS(Scenario2[winner1],"avenger",Scenario2[winner1-cp],AvengerEquipScenario2[[#This Row],[level]])+COUNTIFS(Scenario2[loser1],"avenger",Scenario2[loser1-cp],AvengerEquipScenario2[[#This Row],[level]])</f>
        <v>10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12</v>
      </c>
      <c r="N47">
        <f>COUNTIF(Scenario2[winner1-ability1],AvengerAbilities1Scenario2[[#This Row],[ability]])</f>
        <v>7</v>
      </c>
      <c r="O47" s="3">
        <f>IF(SUM(AvengerAbilities1Scenario2[[#This Row],[takes]]) &gt; 0,AvengerAbilities1Scenario2[[#This Row],[takes]]/SUM(AvengerAbilities1Scenario2[takes]),0)</f>
        <v>0.8571428571428571</v>
      </c>
      <c r="P47" s="3">
        <f>IF(AvengerAbilities1Scenario2[[#This Row],[takes]]&gt;0,AvengerAbilities1Scenario2[[#This Row],[wins]]/AvengerAbilities1Scenario2[[#This Row],[takes]],0)</f>
        <v>0.58333333333333337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4</v>
      </c>
      <c r="T47">
        <f>COUNTIFS(Scenario2[winner1],"avenger",Scenario2[winner1-sw],AvengerEquipScenario2[[#This Row],[level]])+COUNTIFS(Scenario2[loser1],"avenger",Scenario2[loser1-sw],AvengerEquipScenario2[[#This Row],[level]])</f>
        <v>1</v>
      </c>
      <c r="U47" s="18">
        <f>COUNTIFS(Scenario2[winner1],"avenger",Scenario2[winner1-cp],AvengerEquipScenario2[[#This Row],[level]])+COUNTIFS(Scenario2[loser1],"avenger",Scenario2[loser1-cp],AvengerEquipScenario2[[#This Row],[level]])</f>
        <v>2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6</v>
      </c>
      <c r="N50" s="2">
        <f>COUNTIF(Scenario2[winner1-ability2],AvengerAbilities2Scenario2[[#This Row],[ability]])</f>
        <v>0</v>
      </c>
      <c r="O50" s="12">
        <f>IF(SUM(AvengerAbilities2Scenario2[[#This Row],[takes]]) &gt; 0,AvengerAbilities2Scenario2[[#This Row],[takes]]/SUM(AvengerAbilities2Scenario2[takes]),0)</f>
        <v>0.42857142857142855</v>
      </c>
      <c r="P50" s="12">
        <f>IF(AvengerAbilities2Scenario2[[#This Row],[takes]]&gt;0,AvengerAbilities2Scenario2[[#This Row],[wins]]/AvengerAbilities2Scenario2[[#This Row],[takes]],0)</f>
        <v>0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1</v>
      </c>
      <c r="N51" s="2">
        <f>COUNTIF(Scenario2[winner1-ability2],AvengerAbilities2Scenario2[[#This Row],[ability]])</f>
        <v>1</v>
      </c>
      <c r="O51" s="3">
        <f>IF(SUM(AvengerAbilities2Scenario2[[#This Row],[takes]]) &gt; 0,AvengerAbilities2Scenario2[[#This Row],[takes]]/SUM(AvengerAbilities2Scenario2[takes]),0)</f>
        <v>7.1428571428571425E-2</v>
      </c>
      <c r="P51" s="3">
        <f>IF(AvengerAbilities2Scenario2[[#This Row],[takes]]&gt;0,AvengerAbilities2Scenario2[[#This Row],[wins]]/AvengerAbilities2Scenario2[[#This Row],[takes]],0)</f>
        <v>1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7</v>
      </c>
      <c r="N52" s="2">
        <f>COUNTIF(Scenario2[winner1-ability2],AvengerAbilities2Scenario2[[#This Row],[ability]])</f>
        <v>6</v>
      </c>
      <c r="O52" s="13">
        <f>IF(SUM(AvengerAbilities2Scenario2[[#This Row],[takes]]) &gt; 0,AvengerAbilities2Scenario2[[#This Row],[takes]]/SUM(AvengerAbilities2Scenario2[takes]),0)</f>
        <v>0.5</v>
      </c>
      <c r="P52" s="13">
        <f>IF(AvengerAbilities2Scenario2[[#This Row],[takes]]&gt;0,AvengerAbilities2Scenario2[[#This Row],[wins]]/AvengerAbilities2Scenario2[[#This Row],[takes]],0)</f>
        <v>0.8571428571428571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4</v>
      </c>
      <c r="N55" s="1">
        <f>COUNTIF(Scenario2[winner1-ability3],AvengerAbilities3Scenario2[[#This Row],[ability]])</f>
        <v>1</v>
      </c>
      <c r="O55" s="14">
        <f>IF(SUM(AvengerAbilities3Scenario2[[#This Row],[takes]]) &gt; 0,AvengerAbilities3Scenario2[[#This Row],[takes]]/SUM(AvengerAbilities3Scenario2[takes]),0)</f>
        <v>0.36363636363636365</v>
      </c>
      <c r="P55" s="14">
        <f>IF(AvengerAbilities3Scenario2[[#This Row],[takes]]&gt;0,AvengerAbilities3Scenario2[[#This Row],[wins]]/AvengerAbilities3Scenario2[[#This Row],[takes]],0)</f>
        <v>0.25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3</v>
      </c>
      <c r="N56" s="2">
        <f>COUNTIF(Scenario2[winner1-ability3],AvengerAbilities3Scenario2[[#This Row],[ability]])</f>
        <v>1</v>
      </c>
      <c r="O56" s="12">
        <f>IF(SUM(AvengerAbilities3Scenario2[[#This Row],[takes]]) &gt; 0,AvengerAbilities3Scenario2[[#This Row],[takes]]/SUM(AvengerAbilities3Scenario2[takes]),0)</f>
        <v>0.27272727272727271</v>
      </c>
      <c r="P56" s="12">
        <f>IF(AvengerAbilities3Scenario2[[#This Row],[takes]]&gt;0,AvengerAbilities3Scenario2[[#This Row],[wins]]/AvengerAbilities3Scenario2[[#This Row],[takes]],0)</f>
        <v>0.33333333333333331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4</v>
      </c>
      <c r="N57" s="1">
        <f>COUNTIF(Scenario2[winner1-ability3],AvengerAbilities3Scenario2[[#This Row],[ability]])</f>
        <v>3</v>
      </c>
      <c r="O57" s="15">
        <f>IF(SUM(AvengerAbilities3Scenario2[[#This Row],[takes]]) &gt; 0,AvengerAbilities3Scenario2[[#This Row],[takes]]/SUM(AvengerAbilities3Scenario2[takes]),0)</f>
        <v>0.36363636363636365</v>
      </c>
      <c r="P57" s="15">
        <f>IF(AvengerAbilities3Scenario2[[#This Row],[takes]]&gt;0,AvengerAbilities3Scenario2[[#This Row],[wins]]/AvengerAbilities3Scenario2[[#This Row],[takes]],0)</f>
        <v>0.75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4</v>
      </c>
      <c r="N60" s="2">
        <f>COUNTIF(Scenario2[winner1-ability4],AvengerAbilities4Scenario2[[#This Row],[ability]])</f>
        <v>2</v>
      </c>
      <c r="O60" s="12">
        <f>IF(SUM(AvengerAbilities4Scenario2[[#This Row],[takes]]) &gt; 0,AvengerAbilities4Scenario2[[#This Row],[takes]]/SUM(AvengerAbilities4Scenario2[takes]),0)</f>
        <v>0.8</v>
      </c>
      <c r="P60" s="12">
        <f>IF(AvengerAbilities4Scenario2[[#This Row],[takes]]&gt;0,AvengerAbilities4Scenario2[[#This Row],[wins]]/AvengerAbilities4Scenario2[[#This Row],[takes]],0)</f>
        <v>0.5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1</v>
      </c>
      <c r="N61" s="2">
        <f>COUNTIF(Scenario2[winner1-ability4],AvengerAbilities4Scenario2[[#This Row],[ability]])</f>
        <v>1</v>
      </c>
      <c r="O61" s="12">
        <f>IF(SUM(AvengerAbilities4Scenario2[[#This Row],[takes]]) &gt; 0,AvengerAbilities4Scenario2[[#This Row],[takes]]/SUM(AvengerAbilities4Scenario2[takes]),0)</f>
        <v>0.2</v>
      </c>
      <c r="P61" s="12">
        <f>IF(AvengerAbilities4Scenario2[[#This Row],[takes]]&gt;0,AvengerAbilities4Scenario2[[#This Row],[wins]]/AvengerAbilities4Scenario2[[#This Row],[takes]],0)</f>
        <v>1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0</v>
      </c>
      <c r="N62" s="2">
        <f>COUNTIF(Scenario2[winner1-ability4],AvengerAbilities4Scenario2[[#This Row],[ability]])</f>
        <v>0</v>
      </c>
      <c r="O62" s="26">
        <f>IF(SUM(AvengerAbilities4Scenario2[[#This Row],[takes]]) &gt; 0,AvengerAbilities4Scenario2[[#This Row],[takes]]/SUM(AvengerAbilities4Scenario2[takes]),0)</f>
        <v>0</v>
      </c>
      <c r="P62" s="26">
        <f>IF(AvengerAbilities4Scenario2[[#This Row],[takes]]&gt;0,AvengerAbilities4Scenario2[[#This Row],[wins]]/AvengerAbilities4Scenario2[[#This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8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11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3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4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5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21</v>
      </c>
      <c r="N68">
        <f>COUNTIF(Scenario3[winner1-ability1],AvengerAbilities1Scenario3[[#This Row],[ability]])</f>
        <v>4</v>
      </c>
      <c r="O68" s="3">
        <f>IF(SUM(AvengerAbilities1Scenario3[[#This Row],[takes]]) &gt; 0,AvengerAbilities1Scenario3[[#This Row],[takes]]/SUM(AvengerAbilities1Scenario3[takes]),0)</f>
        <v>1</v>
      </c>
      <c r="P68" s="3">
        <f>IF(AvengerAbilities1Scenario3[[#This Row],[takes]]&gt;0,AvengerAbilities1Scenario3[[#This Row],[wins]]/AvengerAbilities1Scenario3[[#This Row],[takes]],0)</f>
        <v>0.19047619047619047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9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9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13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18</v>
      </c>
      <c r="N71" s="2">
        <f>COUNTIF(Scenario3[winner1-ability2],AvengerAbilities2Scenario3[[#This Row],[ability]])</f>
        <v>2</v>
      </c>
      <c r="O71" s="12">
        <f>IF(SUM(AvengerAbilities2Scenario3[[#This Row],[takes]]) &gt; 0,AvengerAbilities2Scenario3[[#This Row],[takes]]/SUM(AvengerAbilities2Scenario3[takes]),0)</f>
        <v>0.8571428571428571</v>
      </c>
      <c r="P71" s="12">
        <f>IF(AvengerAbilities2Scenario3[[#This Row],[takes]]&gt;0,AvengerAbilities2Scenario3[[#This Row],[wins]]/AvengerAbilities2Scenario3[[#This Row],[takes]],0)</f>
        <v>0.1111111111111111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</v>
      </c>
      <c r="N72" s="2">
        <f>COUNTIF(Scenario3[winner1-ability2],AvengerAbilities2Scenario3[[#This Row],[ability]])</f>
        <v>1</v>
      </c>
      <c r="O72" s="3">
        <f>IF(SUM(AvengerAbilities2Scenario3[[#This Row],[takes]]) &gt; 0,AvengerAbilities2Scenario3[[#This Row],[takes]]/SUM(AvengerAbilities2Scenario3[takes]),0)</f>
        <v>4.7619047619047616E-2</v>
      </c>
      <c r="P72" s="3">
        <f>IF(AvengerAbilities2Scenario3[[#This Row],[takes]]&gt;0,AvengerAbilities2Scenario3[[#This Row],[wins]]/AvengerAbilities2Scenario3[[#This Row],[takes]],0)</f>
        <v>1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2</v>
      </c>
      <c r="N73" s="2">
        <f>COUNTIF(Scenario3[winner1-ability2],AvengerAbilities2Scenario3[[#This Row],[ability]])</f>
        <v>1</v>
      </c>
      <c r="O73" s="13">
        <f>IF(SUM(AvengerAbilities2Scenario3[[#This Row],[takes]]) &gt; 0,AvengerAbilities2Scenario3[[#This Row],[takes]]/SUM(AvengerAbilities2Scenario3[takes]),0)</f>
        <v>9.5238095238095233E-2</v>
      </c>
      <c r="P73" s="13">
        <f>IF(AvengerAbilities2Scenario3[[#This Row],[takes]]&gt;0,AvengerAbilities2Scenario3[[#This Row],[wins]]/AvengerAbilities2Scenario3[[#This Row],[takes]],0)</f>
        <v>0.5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7</v>
      </c>
      <c r="N76" s="1">
        <f>COUNTIF(Scenario3[winner1-ability3],AvengerAbilities3Scenario3[[#This Row],[ability]])</f>
        <v>1</v>
      </c>
      <c r="O76" s="14">
        <f>IF(SUM(AvengerAbilities3Scenario3[[#This Row],[takes]]) &gt; 0,AvengerAbilities3Scenario3[[#This Row],[takes]]/SUM(AvengerAbilities3Scenario3[takes]),0)</f>
        <v>0.41176470588235292</v>
      </c>
      <c r="P76" s="14">
        <f>IF(AvengerAbilities3Scenario3[[#This Row],[takes]]&gt;0,AvengerAbilities3Scenario3[[#This Row],[wins]]/AvengerAbilities3Scenario3[[#This Row],[takes]],0)</f>
        <v>0.14285714285714285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8</v>
      </c>
      <c r="N77" s="2">
        <f>COUNTIF(Scenario3[winner1-ability3],AvengerAbilities3Scenario3[[#This Row],[ability]])</f>
        <v>2</v>
      </c>
      <c r="O77" s="12">
        <f>IF(SUM(AvengerAbilities3Scenario3[[#This Row],[takes]]) &gt; 0,AvengerAbilities3Scenario3[[#This Row],[takes]]/SUM(AvengerAbilities3Scenario3[takes]),0)</f>
        <v>0.47058823529411764</v>
      </c>
      <c r="P77" s="12">
        <f>IF(AvengerAbilities3Scenario3[[#This Row],[takes]]&gt;0,AvengerAbilities3Scenario3[[#This Row],[wins]]/AvengerAbilities3Scenario3[[#This Row],[takes]],0)</f>
        <v>0.25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2</v>
      </c>
      <c r="N78" s="1">
        <f>COUNTIF(Scenario3[winner1-ability3],AvengerAbilities3Scenario3[[#This Row],[ability]])</f>
        <v>0</v>
      </c>
      <c r="O78" s="15">
        <f>IF(SUM(AvengerAbilities3Scenario3[[#This Row],[takes]]) &gt; 0,AvengerAbilities3Scenario3[[#This Row],[takes]]/SUM(AvengerAbilities3Scenario3[takes]),0)</f>
        <v>0.11764705882352941</v>
      </c>
      <c r="P78" s="15">
        <f>IF(AvengerAbilities3Scenario3[[#This Row],[takes]]&gt;0,AvengerAbilities3Scenario3[[#This Row],[wins]]/AvengerAbilities3Scenario3[[#This Row],[takes]],0)</f>
        <v>0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4</v>
      </c>
      <c r="N81" s="2">
        <f>COUNTIF(Scenario3[winner1-ability4],AvengerAbilities4Scenario3[[#This Row],[ability]])</f>
        <v>0</v>
      </c>
      <c r="O81" s="12">
        <f>IF(SUM(AvengerAbilities4Scenario3[[#This Row],[takes]]) &gt; 0,AvengerAbilities4Scenario3[[#This Row],[takes]]/SUM(AvengerAbilities4Scenario3[takes]),0)</f>
        <v>0.2857142857142857</v>
      </c>
      <c r="P81" s="12">
        <f>IF(AvengerAbilities4Scenario3[[#This Row],[takes]]&gt;0,AvengerAbilities4Scenario3[[#This Row],[wins]]/AvengerAbilities4Scenario3[[#This Row],[takes]],0)</f>
        <v>0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10</v>
      </c>
      <c r="N82" s="2">
        <f>COUNTIF(Scenario3[winner1-ability4],AvengerAbilities4Scenario3[[#This Row],[ability]])</f>
        <v>3</v>
      </c>
      <c r="O82" s="12">
        <f>IF(SUM(AvengerAbilities4Scenario3[[#This Row],[takes]]) &gt; 0,AvengerAbilities4Scenario3[[#This Row],[takes]]/SUM(AvengerAbilities4Scenario3[takes]),0)</f>
        <v>0.7142857142857143</v>
      </c>
      <c r="P82" s="12">
        <f>IF(AvengerAbilities4Scenario3[[#This Row],[takes]]&gt;0,AvengerAbilities4Scenario3[[#This Row],[wins]]/AvengerAbilities4Scenario3[[#This Row],[takes]],0)</f>
        <v>0.3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3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4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1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2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2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2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35</v>
      </c>
      <c r="N89">
        <f>COUNTIF(Scenario4[winner1-ability1],AvengerAbilities1Scenario4[[#This Row],[ability]])</f>
        <v>14</v>
      </c>
      <c r="O89" s="3">
        <f>IF(SUM(AvengerAbilities1Scenario4[[#This Row],[takes]]) &gt; 0,AvengerAbilities1Scenario4[[#This Row],[takes]]/SUM(AvengerAbilities1Scenario4[takes]),0)</f>
        <v>1</v>
      </c>
      <c r="P89" s="3">
        <f>IF(AvengerAbilities1Scenario4[[#This Row],[takes]]&gt;0,AvengerAbilities1Scenario4[[#This Row],[wins]]/AvengerAbilities1Scenario4[[#This Row],[takes]],0)</f>
        <v>0.4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30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29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32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32</v>
      </c>
      <c r="N92" s="2">
        <f>COUNTIF(Scenario4[winner1-ability2],AvengerAbilities2Scenario4[[#This Row],[ability]])</f>
        <v>13</v>
      </c>
      <c r="O92" s="12">
        <f>IF(SUM(AvengerAbilities2Scenario4[[#This Row],[takes]]) &gt; 0,AvengerAbilities2Scenario4[[#This Row],[takes]]/SUM(AvengerAbilities2Scenario4[takes]),0)</f>
        <v>0.94117647058823528</v>
      </c>
      <c r="P92" s="12">
        <f>IF(AvengerAbilities2Scenario4[[#This Row],[takes]]&gt;0,AvengerAbilities2Scenario4[[#This Row],[wins]]/AvengerAbilities2Scenario4[[#This Row],[takes]],0)</f>
        <v>0.40625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0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2</v>
      </c>
      <c r="N94" s="2">
        <f>COUNTIF(Scenario4[winner1-ability2],AvengerAbilities2Scenario4[[#This Row],[ability]])</f>
        <v>1</v>
      </c>
      <c r="O94" s="13">
        <f>IF(SUM(AvengerAbilities2Scenario4[[#This Row],[takes]]) &gt; 0,AvengerAbilities2Scenario4[[#This Row],[takes]]/SUM(AvengerAbilities2Scenario4[takes]),0)</f>
        <v>5.8823529411764705E-2</v>
      </c>
      <c r="P94" s="13">
        <f>IF(AvengerAbilities2Scenario4[[#This Row],[takes]]&gt;0,AvengerAbilities2Scenario4[[#This Row],[wins]]/AvengerAbilities2Scenario4[[#This Row],[takes]],0)</f>
        <v>0.5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17</v>
      </c>
      <c r="N97" s="1">
        <f>COUNTIF(Scenario4[winner1-ability3],AvengerAbilities3Scenario4[[#This Row],[ability]])</f>
        <v>8</v>
      </c>
      <c r="O97" s="14">
        <f>IF(SUM(AvengerAbilities3Scenario4[[#This Row],[takes]]) &gt; 0,AvengerAbilities3Scenario4[[#This Row],[takes]]/SUM(AvengerAbilities3Scenario4[takes]),0)</f>
        <v>0.51515151515151514</v>
      </c>
      <c r="P97" s="14">
        <f>IF(AvengerAbilities3Scenario4[[#This Row],[takes]]&gt;0,AvengerAbilities3Scenario4[[#This Row],[wins]]/AvengerAbilities3Scenario4[[#This Row],[takes]],0)</f>
        <v>0.47058823529411764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13</v>
      </c>
      <c r="N98" s="2">
        <f>COUNTIF(Scenario4[winner1-ability3],AvengerAbilities3Scenario4[[#This Row],[ability]])</f>
        <v>5</v>
      </c>
      <c r="O98" s="12">
        <f>IF(SUM(AvengerAbilities3Scenario4[[#This Row],[takes]]) &gt; 0,AvengerAbilities3Scenario4[[#This Row],[takes]]/SUM(AvengerAbilities3Scenario4[takes]),0)</f>
        <v>0.39393939393939392</v>
      </c>
      <c r="P98" s="12">
        <f>IF(AvengerAbilities3Scenario4[[#This Row],[takes]]&gt;0,AvengerAbilities3Scenario4[[#This Row],[wins]]/AvengerAbilities3Scenario4[[#This Row],[takes]],0)</f>
        <v>0.38461538461538464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3</v>
      </c>
      <c r="N99" s="1">
        <f>COUNTIF(Scenario4[winner1-ability3],AvengerAbilities3Scenario4[[#This Row],[ability]])</f>
        <v>1</v>
      </c>
      <c r="O99" s="15">
        <f>IF(SUM(AvengerAbilities3Scenario4[[#This Row],[takes]]) &gt; 0,AvengerAbilities3Scenario4[[#This Row],[takes]]/SUM(AvengerAbilities3Scenario4[takes]),0)</f>
        <v>9.0909090909090912E-2</v>
      </c>
      <c r="P99" s="15">
        <f>IF(AvengerAbilities3Scenario4[[#This Row],[takes]]&gt;0,AvengerAbilities3Scenario4[[#This Row],[wins]]/AvengerAbilities3Scenario4[[#This Row],[takes]],0)</f>
        <v>0.33333333333333331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5</v>
      </c>
      <c r="N102" s="2">
        <f>COUNTIF(Scenario4[winner1-ability4],AvengerAbilities4Scenario4[[#This Row],[ability]])</f>
        <v>1</v>
      </c>
      <c r="O102" s="12">
        <f>IF(SUM(AvengerAbilities4Scenario4[[#This Row],[takes]]) &gt; 0,AvengerAbilities4Scenario4[[#This Row],[takes]]/SUM(AvengerAbilities4Scenario4[takes]),0)</f>
        <v>0.15625</v>
      </c>
      <c r="P102" s="12">
        <f>IF(AvengerAbilities4Scenario4[[#This Row],[takes]]&gt;0,AvengerAbilities4Scenario4[[#This Row],[wins]]/AvengerAbilities4Scenario4[[#This Row],[takes]],0)</f>
        <v>0.2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27</v>
      </c>
      <c r="N103" s="2">
        <f>COUNTIF(Scenario4[winner1-ability4],AvengerAbilities4Scenario4[[#This Row],[ability]])</f>
        <v>13</v>
      </c>
      <c r="O103" s="12">
        <f>IF(SUM(AvengerAbilities4Scenario4[[#This Row],[takes]]) &gt; 0,AvengerAbilities4Scenario4[[#This Row],[takes]]/SUM(AvengerAbilities4Scenario4[takes]),0)</f>
        <v>0.84375</v>
      </c>
      <c r="P103" s="12">
        <f>IF(AvengerAbilities4Scenario4[[#This Row],[takes]]&gt;0,AvengerAbilities4Scenario4[[#This Row],[wins]]/AvengerAbilities4Scenario4[[#This Row],[takes]],0)</f>
        <v>0.48148148148148145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33</v>
      </c>
      <c r="N108">
        <f>COUNTIF(Scenario5[winner1-ability1],AvengerAbilities1Scenario5[[#This Row],[ability]])+COUNTIF(Scenario5[winner2-ability1],AvengerAbilities1Scenario5[[#This Row],[ability]])</f>
        <v>18</v>
      </c>
      <c r="O108" s="3">
        <f>IF(SUM(AvengerAbilities1Scenario5[[#This Row],[takes]]) &gt; 0,AvengerAbilities1Scenario5[[#This Row],[takes]]/SUM(AvengerAbilities1Scenario5[takes]),0)</f>
        <v>0.31428571428571428</v>
      </c>
      <c r="P108" s="3">
        <f>IF(AvengerAbilities1Scenario5[[#This Row],[takes]]&gt;0,AvengerAbilities1Scenario5[[#This Row],[wins]]/AvengerAbilities1Scenario5[[#This Row],[takes]],0)</f>
        <v>0.54545454545454541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27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82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28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19</v>
      </c>
      <c r="N109">
        <f>COUNTIF(Scenario5[winner1-ability1],AvengerAbilities1Scenario5[[#This Row],[ability]])+COUNTIF(Scenario5[winner2-ability1],AvengerAbilities1Scenario5[[#This Row],[ability]])</f>
        <v>8</v>
      </c>
      <c r="O109" s="3">
        <f>IF(SUM(AvengerAbilities1Scenario5[[#This Row],[takes]]) &gt; 0,AvengerAbilities1Scenario5[[#This Row],[takes]]/SUM(AvengerAbilities1Scenario5[takes]),0)</f>
        <v>0.18095238095238095</v>
      </c>
      <c r="P109" s="3">
        <f>IF(AvengerAbilities1Scenario5[[#This Row],[takes]]&gt;0,AvengerAbilities1Scenario5[[#This Row],[wins]]/AvengerAbilities1Scenario5[[#This Row],[takes]],0)</f>
        <v>0.42105263157894735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19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8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59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53</v>
      </c>
      <c r="N110">
        <f>COUNTIF(Scenario5[winner1-ability1],AvengerAbilities1Scenario5[[#This Row],[ability]])+COUNTIF(Scenario5[winner2-ability1],AvengerAbilities1Scenario5[[#This Row],[ability]])</f>
        <v>24</v>
      </c>
      <c r="O110" s="3">
        <f>IF(SUM(AvengerAbilities1Scenario5[[#This Row],[takes]]) &gt; 0,AvengerAbilities1Scenario5[[#This Row],[takes]]/SUM(AvengerAbilities1Scenario5[takes]),0)</f>
        <v>0.50476190476190474</v>
      </c>
      <c r="P110" s="3">
        <f>IF(AvengerAbilities1Scenario5[[#This Row],[takes]]&gt;0,AvengerAbilities1Scenario5[[#This Row],[wins]]/AvengerAbilities1Scenario5[[#This Row],[takes]],0)</f>
        <v>0.45283018867924529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59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15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18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44</v>
      </c>
      <c r="N113" s="2">
        <f>COUNTIF(Scenario5[winner1-ability2],AvengerAbilities2Scenario5[[#This Row],[ability]])+COUNTIF(Scenario5[winner2-ability2],AvengerAbilities2Scenario5[[#This Row],[ability]])</f>
        <v>21</v>
      </c>
      <c r="O113" s="12">
        <f>IF(SUM(AvengerAbilities2Scenario5[[#This Row],[takes]]) &gt; 0,AvengerAbilities2Scenario5[[#This Row],[takes]]/SUM(AvengerAbilities2Scenario5[takes]),0)</f>
        <v>0.52380952380952384</v>
      </c>
      <c r="P113" s="12">
        <f>IF(AvengerAbilities2Scenario5[[#This Row],[takes]]&gt;0,AvengerAbilities2Scenario5[[#This Row],[wins]]/AvengerAbilities2Scenario5[[#This Row],[takes]],0)</f>
        <v>0.47727272727272729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5</v>
      </c>
      <c r="N114" s="2">
        <f>COUNTIF(Scenario5[winner1-ability2],AvengerAbilities2Scenario5[[#This Row],[ability]])+COUNTIF(Scenario5[winner2-ability2],AvengerAbilities2Scenario5[[#This Row],[ability]])</f>
        <v>3</v>
      </c>
      <c r="O114" s="3">
        <f>IF(SUM(AvengerAbilities2Scenario5[[#This Row],[takes]]) &gt; 0,AvengerAbilities2Scenario5[[#This Row],[takes]]/SUM(AvengerAbilities2Scenario5[takes]),0)</f>
        <v>5.9523809523809521E-2</v>
      </c>
      <c r="P114" s="3">
        <f>IF(AvengerAbilities2Scenario5[[#This Row],[takes]]&gt;0,AvengerAbilities2Scenario5[[#This Row],[wins]]/AvengerAbilities2Scenario5[[#This Row],[takes]],0)</f>
        <v>0.6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35</v>
      </c>
      <c r="N115" s="2">
        <f>COUNTIF(Scenario5[winner1-ability2],AvengerAbilities2Scenario5[[#This Row],[ability]])+COUNTIF(Scenario5[winner2-ability2],AvengerAbilities2Scenario5[[#This Row],[ability]])</f>
        <v>17</v>
      </c>
      <c r="O115" s="13">
        <f>IF(SUM(AvengerAbilities2Scenario5[[#This Row],[takes]]) &gt; 0,AvengerAbilities2Scenario5[[#This Row],[takes]]/SUM(AvengerAbilities2Scenario5[takes]),0)</f>
        <v>0.41666666666666669</v>
      </c>
      <c r="P115" s="13">
        <f>IF(AvengerAbilities2Scenario5[[#This Row],[takes]]&gt;0,AvengerAbilities2Scenario5[[#This Row],[wins]]/AvengerAbilities2Scenario5[[#This Row],[takes]],0)</f>
        <v>0.48571428571428571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21</v>
      </c>
      <c r="N118" s="1">
        <f>COUNTIF(Scenario5[winner1-ability3],AvengerAbilities3Scenario5[[#This Row],[ability]])+COUNTIF(Scenario5[winner2-ability3],AvengerAbilities3Scenario5[[#This Row],[ability]])</f>
        <v>11</v>
      </c>
      <c r="O118" s="14">
        <f>IF(SUM(AvengerAbilities3Scenario5[[#This Row],[takes]]) &gt; 0,AvengerAbilities3Scenario5[[#This Row],[takes]]/SUM(AvengerAbilities3Scenario5[takes]),0)</f>
        <v>0.34426229508196721</v>
      </c>
      <c r="P118" s="14">
        <f>IF(AvengerAbilities3Scenario5[[#This Row],[takes]]&gt;0,AvengerAbilities3Scenario5[[#This Row],[wins]]/AvengerAbilities3Scenario5[[#This Row],[takes]],0)</f>
        <v>0.52380952380952384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18</v>
      </c>
      <c r="N119" s="2">
        <f>COUNTIF(Scenario5[winner1-ability3],AvengerAbilities3Scenario5[[#This Row],[ability]])+COUNTIF(Scenario5[winner2-ability3],AvengerAbilities3Scenario5[[#This Row],[ability]])</f>
        <v>7</v>
      </c>
      <c r="O119" s="12">
        <f>IF(SUM(AvengerAbilities3Scenario5[[#This Row],[takes]]) &gt; 0,AvengerAbilities3Scenario5[[#This Row],[takes]]/SUM(AvengerAbilities3Scenario5[takes]),0)</f>
        <v>0.29508196721311475</v>
      </c>
      <c r="P119" s="12">
        <f>IF(AvengerAbilities3Scenario5[[#This Row],[takes]]&gt;0,AvengerAbilities3Scenario5[[#This Row],[wins]]/AvengerAbilities3Scenario5[[#This Row],[takes]],0)</f>
        <v>0.3888888888888889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22</v>
      </c>
      <c r="N120" s="1">
        <f>COUNTIF(Scenario5[winner1-ability3],AvengerAbilities3Scenario5[[#This Row],[ability]])+COUNTIF(Scenario5[winner2-ability3],AvengerAbilities3Scenario5[[#This Row],[ability]])</f>
        <v>14</v>
      </c>
      <c r="O120" s="15">
        <f>IF(SUM(AvengerAbilities3Scenario5[[#This Row],[takes]]) &gt; 0,AvengerAbilities3Scenario5[[#This Row],[takes]]/SUM(AvengerAbilities3Scenario5[takes]),0)</f>
        <v>0.36065573770491804</v>
      </c>
      <c r="P120" s="15">
        <f>IF(AvengerAbilities3Scenario5[[#This Row],[takes]]&gt;0,AvengerAbilities3Scenario5[[#This Row],[wins]]/AvengerAbilities3Scenario5[[#This Row],[takes]],0)</f>
        <v>0.63636363636363635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10</v>
      </c>
      <c r="N123" s="2">
        <f>COUNTIF(Scenario5[winner1-ability4],AvengerAbilities4Scenario5[[#This Row],[ability]])+COUNTIF(Scenario5[winner2-ability4],AvengerAbilities4Scenario5[[#This Row],[ability]])</f>
        <v>4</v>
      </c>
      <c r="O123" s="12">
        <f>IF(SUM(AvengerAbilities4Scenario5[[#This Row],[takes]]) &gt; 0,AvengerAbilities4Scenario5[[#This Row],[takes]]/SUM(AvengerAbilities4Scenario5[takes]),0)</f>
        <v>0.38461538461538464</v>
      </c>
      <c r="P123" s="12">
        <f>IF(AvengerAbilities4Scenario5[[#This Row],[takes]]&gt;0,AvengerAbilities4Scenario5[[#This Row],[wins]]/AvengerAbilities4Scenario5[[#This Row],[takes]],0)</f>
        <v>0.4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14</v>
      </c>
      <c r="N124" s="2">
        <f>COUNTIF(Scenario5[winner1-ability4],AvengerAbilities4Scenario5[[#This Row],[ability]])+COUNTIF(Scenario5[winner2-ability4],AvengerAbilities4Scenario5[[#This Row],[ability]])</f>
        <v>11</v>
      </c>
      <c r="O124" s="12">
        <f>IF(SUM(AvengerAbilities4Scenario5[[#This Row],[takes]]) &gt; 0,AvengerAbilities4Scenario5[[#This Row],[takes]]/SUM(AvengerAbilities4Scenario5[takes]),0)</f>
        <v>0.53846153846153844</v>
      </c>
      <c r="P124" s="12">
        <f>IF(AvengerAbilities4Scenario5[[#This Row],[takes]]&gt;0,AvengerAbilities4Scenario5[[#This Row],[wins]]/AvengerAbilities4Scenario5[[#This Row],[takes]],0)</f>
        <v>0.7857142857142857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2</v>
      </c>
      <c r="N125" s="2">
        <f>COUNTIF(Scenario5[winner1-ability4],AvengerAbilities4Scenario5[[#This Row],[ability]])+COUNTIF(Scenario5[winner2-ability4],AvengerAbilities4Scenario5[[#This Row],[ability]])</f>
        <v>2</v>
      </c>
      <c r="O125" s="26">
        <f>IF(SUM(AvengerAbilities4Scenario5[[#This Row],[takes]]) &gt; 0,AvengerAbilities4Scenario5[[#This Row],[takes]]/SUM(AvengerAbilities4Scenario5[takes]),0)</f>
        <v>7.6923076923076927E-2</v>
      </c>
      <c r="P125" s="26">
        <f>IF(AvengerAbilities4Scenario5[[#This Row],[takes]]&gt;0,AvengerAbilities4Scenario5[[#This Row],[wins]]/AvengerAbilities4Scenario5[[#This Row],[takes]],0)</f>
        <v>1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11"/>
  <sheetViews>
    <sheetView topLeftCell="A187" workbookViewId="0">
      <selection activeCell="B216" sqref="B216"/>
    </sheetView>
  </sheetViews>
  <sheetFormatPr defaultRowHeight="15" x14ac:dyDescent="0.25"/>
  <cols>
    <col min="1" max="1" width="38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17.140625" hidden="1" customWidth="1"/>
    <col min="8" max="10" width="16.5703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1.42578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8.425781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9.85546875" bestFit="1" customWidth="1"/>
    <col min="36" max="36" width="7.85546875" bestFit="1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430</v>
      </c>
      <c r="B2">
        <v>0</v>
      </c>
      <c r="C2" t="s">
        <v>48</v>
      </c>
      <c r="D2">
        <v>3</v>
      </c>
      <c r="F2">
        <v>2</v>
      </c>
      <c r="G2" t="s">
        <v>49</v>
      </c>
      <c r="H2" t="s">
        <v>84</v>
      </c>
      <c r="I2" t="s">
        <v>127</v>
      </c>
      <c r="J2" t="s">
        <v>52</v>
      </c>
      <c r="K2" t="s">
        <v>33</v>
      </c>
      <c r="L2">
        <v>1</v>
      </c>
      <c r="N2">
        <v>3</v>
      </c>
      <c r="O2" t="s">
        <v>34</v>
      </c>
      <c r="S2" t="s">
        <v>53</v>
      </c>
      <c r="T2">
        <v>2</v>
      </c>
      <c r="U2">
        <v>3</v>
      </c>
      <c r="V2">
        <v>2</v>
      </c>
      <c r="W2" t="s">
        <v>111</v>
      </c>
      <c r="X2" t="s">
        <v>83</v>
      </c>
      <c r="AA2" t="s">
        <v>56</v>
      </c>
      <c r="AB2">
        <v>3</v>
      </c>
      <c r="AD2">
        <v>1</v>
      </c>
      <c r="AE2" t="s">
        <v>68</v>
      </c>
      <c r="AF2" t="s">
        <v>122</v>
      </c>
      <c r="AG2" t="s">
        <v>85</v>
      </c>
      <c r="AH2" t="s">
        <v>125</v>
      </c>
      <c r="AI2">
        <v>19</v>
      </c>
      <c r="AJ2">
        <v>46</v>
      </c>
    </row>
    <row r="3" spans="1:36" x14ac:dyDescent="0.25">
      <c r="A3" t="s">
        <v>431</v>
      </c>
      <c r="B3">
        <v>1</v>
      </c>
      <c r="C3" t="s">
        <v>53</v>
      </c>
      <c r="D3">
        <v>1</v>
      </c>
      <c r="E3">
        <v>1</v>
      </c>
      <c r="F3">
        <v>1</v>
      </c>
      <c r="G3" t="s">
        <v>111</v>
      </c>
      <c r="K3" t="s">
        <v>56</v>
      </c>
      <c r="L3">
        <v>3</v>
      </c>
      <c r="N3">
        <v>1</v>
      </c>
      <c r="O3" t="s">
        <v>57</v>
      </c>
      <c r="P3" t="s">
        <v>122</v>
      </c>
      <c r="Q3" t="s">
        <v>85</v>
      </c>
      <c r="S3" t="s">
        <v>48</v>
      </c>
      <c r="T3">
        <v>3</v>
      </c>
      <c r="V3">
        <v>1</v>
      </c>
      <c r="W3" t="s">
        <v>49</v>
      </c>
      <c r="X3" t="s">
        <v>50</v>
      </c>
      <c r="AA3" t="s">
        <v>43</v>
      </c>
      <c r="AB3">
        <v>1</v>
      </c>
      <c r="AD3">
        <v>2</v>
      </c>
      <c r="AE3" t="s">
        <v>73</v>
      </c>
      <c r="AF3" t="s">
        <v>99</v>
      </c>
      <c r="AI3">
        <v>9</v>
      </c>
      <c r="AJ3">
        <v>28</v>
      </c>
    </row>
    <row r="4" spans="1:36" x14ac:dyDescent="0.25">
      <c r="A4" t="s">
        <v>432</v>
      </c>
      <c r="B4">
        <v>2</v>
      </c>
      <c r="C4" t="s">
        <v>53</v>
      </c>
      <c r="D4">
        <v>3</v>
      </c>
      <c r="E4">
        <v>1</v>
      </c>
      <c r="F4">
        <v>1</v>
      </c>
      <c r="G4" t="s">
        <v>54</v>
      </c>
      <c r="K4" t="s">
        <v>56</v>
      </c>
      <c r="L4">
        <v>2</v>
      </c>
      <c r="N4">
        <v>3</v>
      </c>
      <c r="O4" t="s">
        <v>68</v>
      </c>
      <c r="P4" t="s">
        <v>121</v>
      </c>
      <c r="S4" t="s">
        <v>48</v>
      </c>
      <c r="T4">
        <v>2</v>
      </c>
      <c r="V4">
        <v>1</v>
      </c>
      <c r="W4" t="s">
        <v>49</v>
      </c>
      <c r="AA4" t="s">
        <v>45</v>
      </c>
      <c r="AB4">
        <v>3</v>
      </c>
      <c r="AD4">
        <v>2</v>
      </c>
      <c r="AE4" t="s">
        <v>86</v>
      </c>
      <c r="AI4">
        <v>10</v>
      </c>
      <c r="AJ4">
        <v>33</v>
      </c>
    </row>
    <row r="5" spans="1:36" x14ac:dyDescent="0.25">
      <c r="A5" t="s">
        <v>433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54</v>
      </c>
      <c r="H5" t="s">
        <v>83</v>
      </c>
      <c r="K5" t="s">
        <v>56</v>
      </c>
      <c r="L5">
        <v>2</v>
      </c>
      <c r="N5">
        <v>1</v>
      </c>
      <c r="O5" t="s">
        <v>57</v>
      </c>
      <c r="S5" t="s">
        <v>48</v>
      </c>
      <c r="T5">
        <v>2</v>
      </c>
      <c r="V5">
        <v>1</v>
      </c>
      <c r="W5" t="s">
        <v>49</v>
      </c>
      <c r="AA5" t="s">
        <v>63</v>
      </c>
      <c r="AB5">
        <v>2</v>
      </c>
      <c r="AD5">
        <v>2</v>
      </c>
      <c r="AE5" t="s">
        <v>103</v>
      </c>
      <c r="AF5" t="s">
        <v>95</v>
      </c>
      <c r="AG5" t="s">
        <v>147</v>
      </c>
      <c r="AH5" t="s">
        <v>151</v>
      </c>
      <c r="AI5">
        <v>14</v>
      </c>
      <c r="AJ5">
        <v>39</v>
      </c>
    </row>
    <row r="6" spans="1:36" x14ac:dyDescent="0.25">
      <c r="A6" t="s">
        <v>434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54</v>
      </c>
      <c r="H6" t="s">
        <v>83</v>
      </c>
      <c r="K6" t="s">
        <v>56</v>
      </c>
      <c r="L6">
        <v>3</v>
      </c>
      <c r="N6">
        <v>1</v>
      </c>
      <c r="O6" t="s">
        <v>57</v>
      </c>
      <c r="S6" t="s">
        <v>48</v>
      </c>
      <c r="T6">
        <v>3</v>
      </c>
      <c r="V6">
        <v>3</v>
      </c>
      <c r="W6" t="s">
        <v>49</v>
      </c>
      <c r="X6" t="s">
        <v>50</v>
      </c>
      <c r="AA6" t="s">
        <v>38</v>
      </c>
      <c r="AB6">
        <v>1</v>
      </c>
      <c r="AC6">
        <v>1</v>
      </c>
      <c r="AD6">
        <v>2</v>
      </c>
      <c r="AE6" t="s">
        <v>152</v>
      </c>
      <c r="AF6" t="s">
        <v>70</v>
      </c>
      <c r="AI6">
        <v>11</v>
      </c>
      <c r="AJ6">
        <v>38</v>
      </c>
    </row>
    <row r="7" spans="1:36" x14ac:dyDescent="0.25">
      <c r="A7" s="36" t="s">
        <v>435</v>
      </c>
      <c r="B7">
        <v>5</v>
      </c>
      <c r="C7" t="s">
        <v>53</v>
      </c>
      <c r="D7">
        <v>2</v>
      </c>
      <c r="E7">
        <v>1</v>
      </c>
      <c r="F7">
        <v>1</v>
      </c>
      <c r="G7" t="s">
        <v>54</v>
      </c>
      <c r="K7" t="s">
        <v>56</v>
      </c>
      <c r="L7">
        <v>1</v>
      </c>
      <c r="N7">
        <v>1</v>
      </c>
      <c r="O7" t="s">
        <v>68</v>
      </c>
      <c r="S7" t="s">
        <v>33</v>
      </c>
      <c r="T7">
        <v>2</v>
      </c>
      <c r="V7">
        <v>2</v>
      </c>
      <c r="W7" t="s">
        <v>34</v>
      </c>
      <c r="AA7" t="s">
        <v>43</v>
      </c>
      <c r="AB7">
        <v>1</v>
      </c>
      <c r="AD7">
        <v>1</v>
      </c>
      <c r="AE7" t="s">
        <v>135</v>
      </c>
      <c r="AF7" t="s">
        <v>74</v>
      </c>
      <c r="AI7">
        <v>4</v>
      </c>
      <c r="AJ7">
        <v>18</v>
      </c>
    </row>
    <row r="8" spans="1:36" x14ac:dyDescent="0.25">
      <c r="A8" t="s">
        <v>436</v>
      </c>
      <c r="B8">
        <v>6</v>
      </c>
      <c r="C8" t="s">
        <v>33</v>
      </c>
      <c r="D8">
        <v>1</v>
      </c>
      <c r="F8">
        <v>3</v>
      </c>
      <c r="G8" t="s">
        <v>34</v>
      </c>
      <c r="K8" t="s">
        <v>45</v>
      </c>
      <c r="L8">
        <v>3</v>
      </c>
      <c r="N8">
        <v>1</v>
      </c>
      <c r="O8" t="s">
        <v>140</v>
      </c>
      <c r="S8" t="s">
        <v>53</v>
      </c>
      <c r="T8">
        <v>2</v>
      </c>
      <c r="U8">
        <v>1</v>
      </c>
      <c r="V8">
        <v>2</v>
      </c>
      <c r="W8" t="s">
        <v>54</v>
      </c>
      <c r="AA8" t="s">
        <v>56</v>
      </c>
      <c r="AB8">
        <v>2</v>
      </c>
      <c r="AD8">
        <v>2</v>
      </c>
      <c r="AE8" t="s">
        <v>68</v>
      </c>
      <c r="AI8">
        <v>8</v>
      </c>
      <c r="AJ8">
        <v>28</v>
      </c>
    </row>
    <row r="9" spans="1:36" x14ac:dyDescent="0.25">
      <c r="A9" t="s">
        <v>437</v>
      </c>
      <c r="B9">
        <v>7</v>
      </c>
      <c r="C9" t="s">
        <v>53</v>
      </c>
      <c r="D9">
        <v>3</v>
      </c>
      <c r="E9">
        <v>1</v>
      </c>
      <c r="F9">
        <v>1</v>
      </c>
      <c r="G9" t="s">
        <v>54</v>
      </c>
      <c r="H9" t="s">
        <v>83</v>
      </c>
      <c r="K9" t="s">
        <v>56</v>
      </c>
      <c r="L9">
        <v>2</v>
      </c>
      <c r="N9">
        <v>1</v>
      </c>
      <c r="O9" t="s">
        <v>57</v>
      </c>
      <c r="S9" t="s">
        <v>33</v>
      </c>
      <c r="T9">
        <v>1</v>
      </c>
      <c r="V9">
        <v>2</v>
      </c>
      <c r="W9" t="s">
        <v>34</v>
      </c>
      <c r="AA9" t="s">
        <v>63</v>
      </c>
      <c r="AB9">
        <v>1</v>
      </c>
      <c r="AD9">
        <v>2</v>
      </c>
      <c r="AE9" t="s">
        <v>103</v>
      </c>
      <c r="AF9" t="s">
        <v>95</v>
      </c>
      <c r="AG9" t="s">
        <v>147</v>
      </c>
      <c r="AH9" t="s">
        <v>151</v>
      </c>
      <c r="AI9">
        <v>9</v>
      </c>
      <c r="AJ9">
        <v>31</v>
      </c>
    </row>
    <row r="10" spans="1:36" x14ac:dyDescent="0.25">
      <c r="A10" t="s">
        <v>438</v>
      </c>
      <c r="B10">
        <v>8</v>
      </c>
      <c r="C10" t="s">
        <v>33</v>
      </c>
      <c r="D10">
        <v>2</v>
      </c>
      <c r="F10">
        <v>3</v>
      </c>
      <c r="G10" t="s">
        <v>34</v>
      </c>
      <c r="H10" t="s">
        <v>35</v>
      </c>
      <c r="K10" t="s">
        <v>38</v>
      </c>
      <c r="L10">
        <v>1</v>
      </c>
      <c r="M10">
        <v>2</v>
      </c>
      <c r="N10">
        <v>1</v>
      </c>
      <c r="O10" t="s">
        <v>152</v>
      </c>
      <c r="S10" t="s">
        <v>53</v>
      </c>
      <c r="T10">
        <v>3</v>
      </c>
      <c r="U10">
        <v>1</v>
      </c>
      <c r="V10">
        <v>1</v>
      </c>
      <c r="W10" t="s">
        <v>54</v>
      </c>
      <c r="AA10" t="s">
        <v>56</v>
      </c>
      <c r="AB10">
        <v>2</v>
      </c>
      <c r="AD10">
        <v>1</v>
      </c>
      <c r="AE10" t="s">
        <v>68</v>
      </c>
      <c r="AI10">
        <v>8</v>
      </c>
      <c r="AJ10">
        <v>28</v>
      </c>
    </row>
    <row r="11" spans="1:36" x14ac:dyDescent="0.25">
      <c r="A11" t="s">
        <v>439</v>
      </c>
      <c r="B11">
        <v>9</v>
      </c>
      <c r="C11" t="s">
        <v>53</v>
      </c>
      <c r="D11">
        <v>1</v>
      </c>
      <c r="E11">
        <v>1</v>
      </c>
      <c r="F11">
        <v>1</v>
      </c>
      <c r="G11" t="s">
        <v>54</v>
      </c>
      <c r="H11" t="s">
        <v>83</v>
      </c>
      <c r="I11" t="s">
        <v>105</v>
      </c>
      <c r="K11" t="s">
        <v>56</v>
      </c>
      <c r="L11">
        <v>3</v>
      </c>
      <c r="N11">
        <v>3</v>
      </c>
      <c r="O11" t="s">
        <v>68</v>
      </c>
      <c r="P11" t="s">
        <v>121</v>
      </c>
      <c r="S11" t="s">
        <v>43</v>
      </c>
      <c r="T11">
        <v>2</v>
      </c>
      <c r="V11">
        <v>2</v>
      </c>
      <c r="W11" t="s">
        <v>73</v>
      </c>
      <c r="X11" t="s">
        <v>99</v>
      </c>
      <c r="AA11" t="s">
        <v>45</v>
      </c>
      <c r="AB11">
        <v>3</v>
      </c>
      <c r="AD11">
        <v>1</v>
      </c>
      <c r="AE11" t="s">
        <v>47</v>
      </c>
      <c r="AI11">
        <v>12</v>
      </c>
      <c r="AJ11">
        <v>31</v>
      </c>
    </row>
    <row r="12" spans="1:36" x14ac:dyDescent="0.25">
      <c r="A12" t="s">
        <v>440</v>
      </c>
      <c r="B12">
        <v>10</v>
      </c>
      <c r="C12" t="s">
        <v>43</v>
      </c>
      <c r="D12">
        <v>1</v>
      </c>
      <c r="F12">
        <v>2</v>
      </c>
      <c r="G12" t="s">
        <v>73</v>
      </c>
      <c r="H12" t="s">
        <v>99</v>
      </c>
      <c r="I12" t="s">
        <v>137</v>
      </c>
      <c r="K12" t="s">
        <v>63</v>
      </c>
      <c r="L12">
        <v>2</v>
      </c>
      <c r="N12">
        <v>1</v>
      </c>
      <c r="O12" t="s">
        <v>103</v>
      </c>
      <c r="P12" t="s">
        <v>95</v>
      </c>
      <c r="S12" t="s">
        <v>53</v>
      </c>
      <c r="T12">
        <v>3</v>
      </c>
      <c r="U12">
        <v>1</v>
      </c>
      <c r="V12">
        <v>1</v>
      </c>
      <c r="W12" t="s">
        <v>54</v>
      </c>
      <c r="AA12" t="s">
        <v>56</v>
      </c>
      <c r="AB12">
        <v>2</v>
      </c>
      <c r="AD12">
        <v>1</v>
      </c>
      <c r="AE12" t="s">
        <v>57</v>
      </c>
      <c r="AF12" t="s">
        <v>122</v>
      </c>
      <c r="AG12" t="s">
        <v>85</v>
      </c>
      <c r="AI12">
        <v>10</v>
      </c>
      <c r="AJ12">
        <v>33</v>
      </c>
    </row>
    <row r="13" spans="1:36" x14ac:dyDescent="0.25">
      <c r="A13" t="s">
        <v>441</v>
      </c>
      <c r="B13">
        <v>11</v>
      </c>
      <c r="C13" t="s">
        <v>53</v>
      </c>
      <c r="D13">
        <v>1</v>
      </c>
      <c r="E13">
        <v>1</v>
      </c>
      <c r="F13">
        <v>1</v>
      </c>
      <c r="G13" t="s">
        <v>54</v>
      </c>
      <c r="H13" t="s">
        <v>83</v>
      </c>
      <c r="I13" t="s">
        <v>105</v>
      </c>
      <c r="K13" t="s">
        <v>56</v>
      </c>
      <c r="L13">
        <v>1</v>
      </c>
      <c r="N13">
        <v>1</v>
      </c>
      <c r="O13" t="s">
        <v>68</v>
      </c>
      <c r="S13" t="s">
        <v>43</v>
      </c>
      <c r="T13">
        <v>2</v>
      </c>
      <c r="V13">
        <v>1</v>
      </c>
      <c r="W13" t="s">
        <v>73</v>
      </c>
      <c r="X13" t="s">
        <v>99</v>
      </c>
      <c r="Y13" t="s">
        <v>75</v>
      </c>
      <c r="Z13" t="s">
        <v>101</v>
      </c>
      <c r="AA13" t="s">
        <v>38</v>
      </c>
      <c r="AB13">
        <v>1</v>
      </c>
      <c r="AC13">
        <v>1</v>
      </c>
      <c r="AD13">
        <v>1</v>
      </c>
      <c r="AE13" t="s">
        <v>152</v>
      </c>
      <c r="AF13" t="s">
        <v>96</v>
      </c>
      <c r="AI13">
        <v>7</v>
      </c>
      <c r="AJ13">
        <v>25</v>
      </c>
    </row>
    <row r="14" spans="1:36" x14ac:dyDescent="0.25">
      <c r="A14" t="s">
        <v>442</v>
      </c>
      <c r="B14">
        <v>12</v>
      </c>
      <c r="C14" t="s">
        <v>53</v>
      </c>
      <c r="D14">
        <v>1</v>
      </c>
      <c r="E14">
        <v>1</v>
      </c>
      <c r="F14">
        <v>2</v>
      </c>
      <c r="G14" t="s">
        <v>54</v>
      </c>
      <c r="K14" t="s">
        <v>56</v>
      </c>
      <c r="L14">
        <v>2</v>
      </c>
      <c r="N14">
        <v>2</v>
      </c>
      <c r="O14" t="s">
        <v>57</v>
      </c>
      <c r="P14" t="s">
        <v>121</v>
      </c>
      <c r="Q14" t="s">
        <v>85</v>
      </c>
      <c r="S14" t="s">
        <v>45</v>
      </c>
      <c r="T14">
        <v>2</v>
      </c>
      <c r="V14">
        <v>1</v>
      </c>
      <c r="W14" t="s">
        <v>86</v>
      </c>
      <c r="AA14" t="s">
        <v>63</v>
      </c>
      <c r="AB14">
        <v>1</v>
      </c>
      <c r="AD14">
        <v>1</v>
      </c>
      <c r="AE14" t="s">
        <v>103</v>
      </c>
      <c r="AF14" t="s">
        <v>95</v>
      </c>
      <c r="AG14" t="s">
        <v>147</v>
      </c>
      <c r="AI14">
        <v>8</v>
      </c>
      <c r="AJ14">
        <v>27</v>
      </c>
    </row>
    <row r="15" spans="1:36" x14ac:dyDescent="0.25">
      <c r="A15" t="s">
        <v>443</v>
      </c>
      <c r="B15">
        <v>13</v>
      </c>
      <c r="C15" t="s">
        <v>45</v>
      </c>
      <c r="D15">
        <v>3</v>
      </c>
      <c r="F15">
        <v>1</v>
      </c>
      <c r="G15" t="s">
        <v>86</v>
      </c>
      <c r="K15" t="s">
        <v>38</v>
      </c>
      <c r="L15">
        <v>3</v>
      </c>
      <c r="M15">
        <v>1</v>
      </c>
      <c r="N15">
        <v>2</v>
      </c>
      <c r="O15" t="s">
        <v>152</v>
      </c>
      <c r="S15" t="s">
        <v>53</v>
      </c>
      <c r="T15">
        <v>2</v>
      </c>
      <c r="U15">
        <v>1</v>
      </c>
      <c r="V15">
        <v>1</v>
      </c>
      <c r="W15" t="s">
        <v>54</v>
      </c>
      <c r="X15" t="s">
        <v>83</v>
      </c>
      <c r="Y15" t="s">
        <v>97</v>
      </c>
      <c r="AA15" t="s">
        <v>56</v>
      </c>
      <c r="AB15">
        <v>1</v>
      </c>
      <c r="AD15">
        <v>3</v>
      </c>
      <c r="AE15" t="s">
        <v>68</v>
      </c>
      <c r="AI15">
        <v>10</v>
      </c>
      <c r="AJ15">
        <v>31</v>
      </c>
    </row>
    <row r="16" spans="1:36" x14ac:dyDescent="0.25">
      <c r="A16" t="s">
        <v>444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54</v>
      </c>
      <c r="H16" t="s">
        <v>83</v>
      </c>
      <c r="K16" t="s">
        <v>56</v>
      </c>
      <c r="L16">
        <v>2</v>
      </c>
      <c r="N16">
        <v>1</v>
      </c>
      <c r="O16" t="s">
        <v>57</v>
      </c>
      <c r="P16" t="s">
        <v>69</v>
      </c>
      <c r="S16" t="s">
        <v>63</v>
      </c>
      <c r="T16">
        <v>2</v>
      </c>
      <c r="V16">
        <v>1</v>
      </c>
      <c r="W16" t="s">
        <v>103</v>
      </c>
      <c r="X16" t="s">
        <v>95</v>
      </c>
      <c r="AA16" t="s">
        <v>38</v>
      </c>
      <c r="AB16">
        <v>1</v>
      </c>
      <c r="AC16">
        <v>1</v>
      </c>
      <c r="AD16">
        <v>1</v>
      </c>
      <c r="AE16" t="s">
        <v>152</v>
      </c>
      <c r="AI16">
        <v>6</v>
      </c>
      <c r="AJ16">
        <v>22</v>
      </c>
    </row>
    <row r="17" spans="1:36" x14ac:dyDescent="0.25">
      <c r="A17" t="s">
        <v>445</v>
      </c>
      <c r="B17">
        <v>15</v>
      </c>
      <c r="C17" t="s">
        <v>53</v>
      </c>
      <c r="D17">
        <v>3</v>
      </c>
      <c r="E17">
        <v>1</v>
      </c>
      <c r="F17">
        <v>2</v>
      </c>
      <c r="G17" t="s">
        <v>54</v>
      </c>
      <c r="K17" t="s">
        <v>48</v>
      </c>
      <c r="L17">
        <v>3</v>
      </c>
      <c r="N17">
        <v>1</v>
      </c>
      <c r="O17" t="s">
        <v>49</v>
      </c>
      <c r="S17" t="s">
        <v>56</v>
      </c>
      <c r="T17">
        <v>1</v>
      </c>
      <c r="V17">
        <v>1</v>
      </c>
      <c r="W17" t="s">
        <v>57</v>
      </c>
      <c r="X17" t="s">
        <v>122</v>
      </c>
      <c r="AA17" t="s">
        <v>33</v>
      </c>
      <c r="AB17">
        <v>2</v>
      </c>
      <c r="AD17">
        <v>3</v>
      </c>
      <c r="AE17" t="s">
        <v>65</v>
      </c>
      <c r="AI17">
        <v>9</v>
      </c>
      <c r="AJ17">
        <v>27</v>
      </c>
    </row>
    <row r="18" spans="1:36" x14ac:dyDescent="0.25">
      <c r="A18" t="s">
        <v>446</v>
      </c>
      <c r="B18">
        <v>16</v>
      </c>
      <c r="C18" t="s">
        <v>53</v>
      </c>
      <c r="D18">
        <v>2</v>
      </c>
      <c r="E18">
        <v>1</v>
      </c>
      <c r="F18">
        <v>1</v>
      </c>
      <c r="G18" t="s">
        <v>54</v>
      </c>
      <c r="H18" t="s">
        <v>55</v>
      </c>
      <c r="I18" t="s">
        <v>114</v>
      </c>
      <c r="J18" t="s">
        <v>98</v>
      </c>
      <c r="K18" t="s">
        <v>48</v>
      </c>
      <c r="L18">
        <v>3</v>
      </c>
      <c r="N18">
        <v>2</v>
      </c>
      <c r="O18" t="s">
        <v>89</v>
      </c>
      <c r="P18" t="s">
        <v>84</v>
      </c>
      <c r="Q18" t="s">
        <v>127</v>
      </c>
      <c r="S18" t="s">
        <v>56</v>
      </c>
      <c r="T18">
        <v>3</v>
      </c>
      <c r="V18">
        <v>1</v>
      </c>
      <c r="W18" t="s">
        <v>57</v>
      </c>
      <c r="X18" t="s">
        <v>121</v>
      </c>
      <c r="Y18" t="s">
        <v>85</v>
      </c>
      <c r="AA18" t="s">
        <v>43</v>
      </c>
      <c r="AB18">
        <v>1</v>
      </c>
      <c r="AD18">
        <v>1</v>
      </c>
      <c r="AE18" t="s">
        <v>73</v>
      </c>
      <c r="AF18" t="s">
        <v>74</v>
      </c>
      <c r="AI18">
        <v>14</v>
      </c>
      <c r="AJ18">
        <v>34</v>
      </c>
    </row>
    <row r="19" spans="1:36" x14ac:dyDescent="0.25">
      <c r="A19" t="s">
        <v>447</v>
      </c>
      <c r="B19">
        <v>17</v>
      </c>
      <c r="C19" t="s">
        <v>53</v>
      </c>
      <c r="D19">
        <v>1</v>
      </c>
      <c r="E19">
        <v>1</v>
      </c>
      <c r="F19">
        <v>1</v>
      </c>
      <c r="G19" t="s">
        <v>54</v>
      </c>
      <c r="K19" t="s">
        <v>48</v>
      </c>
      <c r="L19">
        <v>3</v>
      </c>
      <c r="N19">
        <v>1</v>
      </c>
      <c r="O19" t="s">
        <v>89</v>
      </c>
      <c r="P19" t="s">
        <v>84</v>
      </c>
      <c r="Q19" t="s">
        <v>127</v>
      </c>
      <c r="S19" t="s">
        <v>56</v>
      </c>
      <c r="T19">
        <v>1</v>
      </c>
      <c r="V19">
        <v>2</v>
      </c>
      <c r="W19" t="s">
        <v>57</v>
      </c>
      <c r="X19" t="s">
        <v>121</v>
      </c>
      <c r="Y19" t="s">
        <v>123</v>
      </c>
      <c r="Z19" t="s">
        <v>125</v>
      </c>
      <c r="AA19" t="s">
        <v>45</v>
      </c>
      <c r="AB19">
        <v>3</v>
      </c>
      <c r="AD19">
        <v>1</v>
      </c>
      <c r="AE19" t="s">
        <v>47</v>
      </c>
      <c r="AI19">
        <v>11</v>
      </c>
      <c r="AJ19">
        <v>32</v>
      </c>
    </row>
    <row r="20" spans="1:36" x14ac:dyDescent="0.25">
      <c r="A20" t="s">
        <v>448</v>
      </c>
      <c r="B20">
        <v>18</v>
      </c>
      <c r="C20" t="s">
        <v>56</v>
      </c>
      <c r="D20">
        <v>2</v>
      </c>
      <c r="F20">
        <v>1</v>
      </c>
      <c r="G20" t="s">
        <v>57</v>
      </c>
      <c r="K20" t="s">
        <v>63</v>
      </c>
      <c r="L20">
        <v>3</v>
      </c>
      <c r="N20">
        <v>1</v>
      </c>
      <c r="O20" t="s">
        <v>103</v>
      </c>
      <c r="S20" t="s">
        <v>53</v>
      </c>
      <c r="T20">
        <v>2</v>
      </c>
      <c r="U20">
        <v>1</v>
      </c>
      <c r="V20">
        <v>1</v>
      </c>
      <c r="W20" t="s">
        <v>54</v>
      </c>
      <c r="AA20" t="s">
        <v>48</v>
      </c>
      <c r="AB20">
        <v>2</v>
      </c>
      <c r="AD20">
        <v>1</v>
      </c>
      <c r="AE20" t="s">
        <v>49</v>
      </c>
      <c r="AI20">
        <v>5</v>
      </c>
      <c r="AJ20">
        <v>21</v>
      </c>
    </row>
    <row r="21" spans="1:36" x14ac:dyDescent="0.25">
      <c r="A21" t="s">
        <v>449</v>
      </c>
      <c r="B21">
        <v>19</v>
      </c>
      <c r="C21" t="s">
        <v>56</v>
      </c>
      <c r="D21">
        <v>2</v>
      </c>
      <c r="F21">
        <v>2</v>
      </c>
      <c r="G21" t="s">
        <v>57</v>
      </c>
      <c r="H21" t="s">
        <v>122</v>
      </c>
      <c r="I21" t="s">
        <v>85</v>
      </c>
      <c r="K21" t="s">
        <v>38</v>
      </c>
      <c r="L21">
        <v>1</v>
      </c>
      <c r="M21">
        <v>2</v>
      </c>
      <c r="N21">
        <v>2</v>
      </c>
      <c r="O21" t="s">
        <v>152</v>
      </c>
      <c r="P21" t="s">
        <v>96</v>
      </c>
      <c r="S21" t="s">
        <v>53</v>
      </c>
      <c r="T21">
        <v>3</v>
      </c>
      <c r="U21">
        <v>2</v>
      </c>
      <c r="V21">
        <v>1</v>
      </c>
      <c r="W21" t="s">
        <v>54</v>
      </c>
      <c r="X21" t="s">
        <v>55</v>
      </c>
      <c r="AA21" t="s">
        <v>48</v>
      </c>
      <c r="AB21">
        <v>3</v>
      </c>
      <c r="AD21">
        <v>1</v>
      </c>
      <c r="AE21" t="s">
        <v>49</v>
      </c>
      <c r="AI21">
        <v>13</v>
      </c>
      <c r="AJ21">
        <v>36</v>
      </c>
    </row>
    <row r="22" spans="1:36" x14ac:dyDescent="0.25">
      <c r="A22" t="s">
        <v>450</v>
      </c>
      <c r="B22">
        <v>20</v>
      </c>
      <c r="C22" t="s">
        <v>33</v>
      </c>
      <c r="D22">
        <v>1</v>
      </c>
      <c r="F22">
        <v>3</v>
      </c>
      <c r="G22" t="s">
        <v>34</v>
      </c>
      <c r="H22" t="s">
        <v>66</v>
      </c>
      <c r="K22" t="s">
        <v>43</v>
      </c>
      <c r="L22">
        <v>2</v>
      </c>
      <c r="N22">
        <v>1</v>
      </c>
      <c r="O22" t="s">
        <v>135</v>
      </c>
      <c r="P22" t="s">
        <v>74</v>
      </c>
      <c r="S22" t="s">
        <v>53</v>
      </c>
      <c r="T22">
        <v>1</v>
      </c>
      <c r="U22">
        <v>1</v>
      </c>
      <c r="V22">
        <v>2</v>
      </c>
      <c r="W22" t="s">
        <v>111</v>
      </c>
      <c r="AA22" t="s">
        <v>48</v>
      </c>
      <c r="AB22">
        <v>3</v>
      </c>
      <c r="AD22">
        <v>1</v>
      </c>
      <c r="AE22" t="s">
        <v>89</v>
      </c>
      <c r="AF22" t="s">
        <v>50</v>
      </c>
      <c r="AG22" t="s">
        <v>51</v>
      </c>
      <c r="AI22">
        <v>10</v>
      </c>
      <c r="AJ22">
        <v>35</v>
      </c>
    </row>
    <row r="23" spans="1:36" x14ac:dyDescent="0.25">
      <c r="A23" t="s">
        <v>451</v>
      </c>
      <c r="B23">
        <v>21</v>
      </c>
      <c r="C23" t="s">
        <v>53</v>
      </c>
      <c r="D23">
        <v>3</v>
      </c>
      <c r="E23">
        <v>1</v>
      </c>
      <c r="F23">
        <v>1</v>
      </c>
      <c r="G23" t="s">
        <v>54</v>
      </c>
      <c r="H23" t="s">
        <v>83</v>
      </c>
      <c r="K23" t="s">
        <v>48</v>
      </c>
      <c r="L23">
        <v>3</v>
      </c>
      <c r="N23">
        <v>2</v>
      </c>
      <c r="O23" t="s">
        <v>89</v>
      </c>
      <c r="P23" t="s">
        <v>84</v>
      </c>
      <c r="Q23" t="s">
        <v>90</v>
      </c>
      <c r="R23" t="s">
        <v>129</v>
      </c>
      <c r="S23" t="s">
        <v>33</v>
      </c>
      <c r="T23">
        <v>2</v>
      </c>
      <c r="V23">
        <v>2</v>
      </c>
      <c r="W23" t="s">
        <v>65</v>
      </c>
      <c r="X23" t="s">
        <v>130</v>
      </c>
      <c r="Y23" t="s">
        <v>36</v>
      </c>
      <c r="AA23" t="s">
        <v>45</v>
      </c>
      <c r="AB23">
        <v>2</v>
      </c>
      <c r="AD23">
        <v>1</v>
      </c>
      <c r="AE23" t="s">
        <v>47</v>
      </c>
      <c r="AI23">
        <v>14</v>
      </c>
      <c r="AJ23">
        <v>33</v>
      </c>
    </row>
    <row r="24" spans="1:36" x14ac:dyDescent="0.25">
      <c r="A24" t="s">
        <v>452</v>
      </c>
      <c r="B24">
        <v>22</v>
      </c>
      <c r="C24" t="s">
        <v>53</v>
      </c>
      <c r="D24">
        <v>2</v>
      </c>
      <c r="E24">
        <v>1</v>
      </c>
      <c r="F24">
        <v>1</v>
      </c>
      <c r="G24" t="s">
        <v>54</v>
      </c>
      <c r="H24" t="s">
        <v>83</v>
      </c>
      <c r="K24" t="s">
        <v>48</v>
      </c>
      <c r="L24">
        <v>3</v>
      </c>
      <c r="N24">
        <v>1</v>
      </c>
      <c r="O24" t="s">
        <v>89</v>
      </c>
      <c r="S24" t="s">
        <v>33</v>
      </c>
      <c r="T24">
        <v>1</v>
      </c>
      <c r="V24">
        <v>2</v>
      </c>
      <c r="W24" t="s">
        <v>34</v>
      </c>
      <c r="AA24" t="s">
        <v>63</v>
      </c>
      <c r="AB24">
        <v>2</v>
      </c>
      <c r="AD24">
        <v>1</v>
      </c>
      <c r="AE24" t="s">
        <v>103</v>
      </c>
      <c r="AF24" t="s">
        <v>91</v>
      </c>
      <c r="AG24" t="s">
        <v>147</v>
      </c>
      <c r="AI24">
        <v>8</v>
      </c>
      <c r="AJ24">
        <v>23</v>
      </c>
    </row>
    <row r="25" spans="1:36" x14ac:dyDescent="0.25">
      <c r="A25" t="s">
        <v>453</v>
      </c>
      <c r="B25">
        <v>23</v>
      </c>
      <c r="C25" t="s">
        <v>53</v>
      </c>
      <c r="D25">
        <v>1</v>
      </c>
      <c r="E25">
        <v>1</v>
      </c>
      <c r="F25">
        <v>1</v>
      </c>
      <c r="G25" t="s">
        <v>54</v>
      </c>
      <c r="K25" t="s">
        <v>48</v>
      </c>
      <c r="L25">
        <v>3</v>
      </c>
      <c r="N25">
        <v>1</v>
      </c>
      <c r="O25" t="s">
        <v>89</v>
      </c>
      <c r="P25" t="s">
        <v>71</v>
      </c>
      <c r="Q25" t="s">
        <v>127</v>
      </c>
      <c r="S25" t="s">
        <v>33</v>
      </c>
      <c r="T25">
        <v>2</v>
      </c>
      <c r="V25">
        <v>3</v>
      </c>
      <c r="W25" t="s">
        <v>65</v>
      </c>
      <c r="X25" t="s">
        <v>35</v>
      </c>
      <c r="Y25" t="s">
        <v>131</v>
      </c>
      <c r="AA25" t="s">
        <v>38</v>
      </c>
      <c r="AB25">
        <v>1</v>
      </c>
      <c r="AC25">
        <v>1</v>
      </c>
      <c r="AD25">
        <v>1</v>
      </c>
      <c r="AE25" t="s">
        <v>152</v>
      </c>
      <c r="AI25">
        <v>9</v>
      </c>
      <c r="AJ25">
        <v>25</v>
      </c>
    </row>
    <row r="26" spans="1:36" x14ac:dyDescent="0.25">
      <c r="A26" t="s">
        <v>454</v>
      </c>
      <c r="B26">
        <v>24</v>
      </c>
      <c r="C26" t="s">
        <v>53</v>
      </c>
      <c r="D26">
        <v>1</v>
      </c>
      <c r="E26">
        <v>1</v>
      </c>
      <c r="F26">
        <v>1</v>
      </c>
      <c r="G26" t="s">
        <v>54</v>
      </c>
      <c r="K26" t="s">
        <v>48</v>
      </c>
      <c r="L26">
        <v>3</v>
      </c>
      <c r="N26">
        <v>2</v>
      </c>
      <c r="O26" t="s">
        <v>89</v>
      </c>
      <c r="P26" t="s">
        <v>50</v>
      </c>
      <c r="Q26" t="s">
        <v>127</v>
      </c>
      <c r="R26" t="s">
        <v>129</v>
      </c>
      <c r="S26" t="s">
        <v>43</v>
      </c>
      <c r="T26">
        <v>2</v>
      </c>
      <c r="V26">
        <v>1</v>
      </c>
      <c r="W26" t="s">
        <v>73</v>
      </c>
      <c r="X26" t="s">
        <v>99</v>
      </c>
      <c r="Y26" t="s">
        <v>75</v>
      </c>
      <c r="Z26" t="s">
        <v>101</v>
      </c>
      <c r="AA26" t="s">
        <v>45</v>
      </c>
      <c r="AB26">
        <v>3</v>
      </c>
      <c r="AD26">
        <v>1</v>
      </c>
      <c r="AE26" t="s">
        <v>47</v>
      </c>
      <c r="AI26">
        <v>13</v>
      </c>
      <c r="AJ26">
        <v>36</v>
      </c>
    </row>
    <row r="27" spans="1:36" x14ac:dyDescent="0.25">
      <c r="A27" t="s">
        <v>455</v>
      </c>
      <c r="B27">
        <v>25</v>
      </c>
      <c r="C27" t="s">
        <v>43</v>
      </c>
      <c r="D27">
        <v>1</v>
      </c>
      <c r="F27">
        <v>1</v>
      </c>
      <c r="G27" t="s">
        <v>73</v>
      </c>
      <c r="H27" t="s">
        <v>74</v>
      </c>
      <c r="I27" t="s">
        <v>75</v>
      </c>
      <c r="J27" t="s">
        <v>138</v>
      </c>
      <c r="K27" t="s">
        <v>63</v>
      </c>
      <c r="L27">
        <v>2</v>
      </c>
      <c r="N27">
        <v>1</v>
      </c>
      <c r="O27" t="s">
        <v>103</v>
      </c>
      <c r="P27" t="s">
        <v>95</v>
      </c>
      <c r="Q27" t="s">
        <v>104</v>
      </c>
      <c r="S27" t="s">
        <v>53</v>
      </c>
      <c r="T27">
        <v>2</v>
      </c>
      <c r="U27">
        <v>1</v>
      </c>
      <c r="V27">
        <v>1</v>
      </c>
      <c r="W27" t="s">
        <v>54</v>
      </c>
      <c r="AA27" t="s">
        <v>48</v>
      </c>
      <c r="AB27">
        <v>3</v>
      </c>
      <c r="AD27">
        <v>1</v>
      </c>
      <c r="AE27" t="s">
        <v>89</v>
      </c>
      <c r="AI27">
        <v>9</v>
      </c>
      <c r="AJ27">
        <v>29</v>
      </c>
    </row>
    <row r="28" spans="1:36" x14ac:dyDescent="0.25">
      <c r="A28" t="s">
        <v>456</v>
      </c>
      <c r="B28">
        <v>26</v>
      </c>
      <c r="C28" t="s">
        <v>43</v>
      </c>
      <c r="D28">
        <v>2</v>
      </c>
      <c r="F28">
        <v>1</v>
      </c>
      <c r="G28" t="s">
        <v>73</v>
      </c>
      <c r="H28" t="s">
        <v>74</v>
      </c>
      <c r="I28" t="s">
        <v>75</v>
      </c>
      <c r="J28" t="s">
        <v>101</v>
      </c>
      <c r="K28" t="s">
        <v>38</v>
      </c>
      <c r="L28">
        <v>2</v>
      </c>
      <c r="M28">
        <v>1</v>
      </c>
      <c r="N28">
        <v>1</v>
      </c>
      <c r="O28" t="s">
        <v>152</v>
      </c>
      <c r="S28" t="s">
        <v>53</v>
      </c>
      <c r="T28">
        <v>2</v>
      </c>
      <c r="U28">
        <v>1</v>
      </c>
      <c r="V28">
        <v>1</v>
      </c>
      <c r="W28" t="s">
        <v>54</v>
      </c>
      <c r="AA28" t="s">
        <v>48</v>
      </c>
      <c r="AB28">
        <v>3</v>
      </c>
      <c r="AD28">
        <v>1</v>
      </c>
      <c r="AE28" t="s">
        <v>89</v>
      </c>
      <c r="AI28">
        <v>8</v>
      </c>
      <c r="AJ28">
        <v>25</v>
      </c>
    </row>
    <row r="29" spans="1:36" x14ac:dyDescent="0.25">
      <c r="A29" t="s">
        <v>457</v>
      </c>
      <c r="B29">
        <v>27</v>
      </c>
      <c r="C29" t="s">
        <v>53</v>
      </c>
      <c r="D29">
        <v>3</v>
      </c>
      <c r="E29">
        <v>1</v>
      </c>
      <c r="F29">
        <v>1</v>
      </c>
      <c r="G29" t="s">
        <v>111</v>
      </c>
      <c r="K29" t="s">
        <v>48</v>
      </c>
      <c r="L29">
        <v>3</v>
      </c>
      <c r="N29">
        <v>1</v>
      </c>
      <c r="O29" t="s">
        <v>89</v>
      </c>
      <c r="P29" t="s">
        <v>84</v>
      </c>
      <c r="S29" t="s">
        <v>45</v>
      </c>
      <c r="T29">
        <v>2</v>
      </c>
      <c r="V29">
        <v>2</v>
      </c>
      <c r="W29" t="s">
        <v>47</v>
      </c>
      <c r="AA29" t="s">
        <v>63</v>
      </c>
      <c r="AB29">
        <v>2</v>
      </c>
      <c r="AD29">
        <v>2</v>
      </c>
      <c r="AE29" t="s">
        <v>103</v>
      </c>
      <c r="AF29" t="s">
        <v>95</v>
      </c>
      <c r="AI29">
        <v>10</v>
      </c>
      <c r="AJ29">
        <v>30</v>
      </c>
    </row>
    <row r="30" spans="1:36" x14ac:dyDescent="0.25">
      <c r="A30" t="s">
        <v>458</v>
      </c>
      <c r="B30">
        <v>28</v>
      </c>
      <c r="C30" t="s">
        <v>53</v>
      </c>
      <c r="D30">
        <v>1</v>
      </c>
      <c r="E30">
        <v>1</v>
      </c>
      <c r="F30">
        <v>1</v>
      </c>
      <c r="G30" t="s">
        <v>54</v>
      </c>
      <c r="K30" t="s">
        <v>48</v>
      </c>
      <c r="L30">
        <v>3</v>
      </c>
      <c r="N30">
        <v>2</v>
      </c>
      <c r="O30" t="s">
        <v>89</v>
      </c>
      <c r="P30" t="s">
        <v>84</v>
      </c>
      <c r="Q30" t="s">
        <v>90</v>
      </c>
      <c r="R30" t="s">
        <v>128</v>
      </c>
      <c r="S30" t="s">
        <v>45</v>
      </c>
      <c r="T30">
        <v>3</v>
      </c>
      <c r="V30">
        <v>2</v>
      </c>
      <c r="W30" t="s">
        <v>86</v>
      </c>
      <c r="X30" t="s">
        <v>76</v>
      </c>
      <c r="Y30" t="s">
        <v>93</v>
      </c>
      <c r="Z30" t="s">
        <v>94</v>
      </c>
      <c r="AA30" t="s">
        <v>38</v>
      </c>
      <c r="AB30">
        <v>2</v>
      </c>
      <c r="AC30">
        <v>1</v>
      </c>
      <c r="AD30">
        <v>1</v>
      </c>
      <c r="AE30" t="s">
        <v>152</v>
      </c>
      <c r="AF30" t="s">
        <v>70</v>
      </c>
      <c r="AI30">
        <v>14</v>
      </c>
      <c r="AJ30">
        <v>37</v>
      </c>
    </row>
    <row r="31" spans="1:36" x14ac:dyDescent="0.25">
      <c r="A31" t="s">
        <v>459</v>
      </c>
      <c r="B31">
        <v>29</v>
      </c>
      <c r="C31" t="s">
        <v>63</v>
      </c>
      <c r="D31">
        <v>2</v>
      </c>
      <c r="F31">
        <v>1</v>
      </c>
      <c r="G31" t="s">
        <v>103</v>
      </c>
      <c r="H31" t="s">
        <v>95</v>
      </c>
      <c r="I31" t="s">
        <v>104</v>
      </c>
      <c r="K31" t="s">
        <v>38</v>
      </c>
      <c r="L31">
        <v>3</v>
      </c>
      <c r="M31">
        <v>1</v>
      </c>
      <c r="N31">
        <v>1</v>
      </c>
      <c r="O31" t="s">
        <v>152</v>
      </c>
      <c r="S31" t="s">
        <v>53</v>
      </c>
      <c r="T31">
        <v>3</v>
      </c>
      <c r="U31">
        <v>1</v>
      </c>
      <c r="V31">
        <v>1</v>
      </c>
      <c r="W31" t="s">
        <v>54</v>
      </c>
      <c r="X31" t="s">
        <v>83</v>
      </c>
      <c r="AA31" t="s">
        <v>48</v>
      </c>
      <c r="AB31">
        <v>3</v>
      </c>
      <c r="AD31">
        <v>1</v>
      </c>
      <c r="AE31" t="s">
        <v>49</v>
      </c>
      <c r="AI31">
        <v>10</v>
      </c>
      <c r="AJ31">
        <v>26</v>
      </c>
    </row>
    <row r="32" spans="1:36" x14ac:dyDescent="0.25">
      <c r="A32" t="s">
        <v>460</v>
      </c>
      <c r="B32">
        <v>30</v>
      </c>
      <c r="C32" t="s">
        <v>53</v>
      </c>
      <c r="D32">
        <v>2</v>
      </c>
      <c r="E32">
        <v>1</v>
      </c>
      <c r="F32">
        <v>1</v>
      </c>
      <c r="G32" t="s">
        <v>111</v>
      </c>
      <c r="H32" t="s">
        <v>83</v>
      </c>
      <c r="K32" t="s">
        <v>33</v>
      </c>
      <c r="L32">
        <v>2</v>
      </c>
      <c r="N32">
        <v>2</v>
      </c>
      <c r="O32" t="s">
        <v>46</v>
      </c>
      <c r="S32" t="s">
        <v>56</v>
      </c>
      <c r="T32">
        <v>1</v>
      </c>
      <c r="V32">
        <v>1</v>
      </c>
      <c r="W32" t="s">
        <v>57</v>
      </c>
      <c r="AA32" t="s">
        <v>48</v>
      </c>
      <c r="AB32">
        <v>3</v>
      </c>
      <c r="AD32">
        <v>2</v>
      </c>
      <c r="AE32" t="s">
        <v>89</v>
      </c>
      <c r="AF32" t="s">
        <v>84</v>
      </c>
      <c r="AI32">
        <v>8</v>
      </c>
      <c r="AJ32">
        <v>29</v>
      </c>
    </row>
    <row r="33" spans="1:36" x14ac:dyDescent="0.25">
      <c r="A33" t="s">
        <v>461</v>
      </c>
      <c r="B33">
        <v>31</v>
      </c>
      <c r="C33" t="s">
        <v>53</v>
      </c>
      <c r="D33">
        <v>1</v>
      </c>
      <c r="E33">
        <v>1</v>
      </c>
      <c r="F33">
        <v>1</v>
      </c>
      <c r="G33" t="s">
        <v>111</v>
      </c>
      <c r="H33" t="s">
        <v>113</v>
      </c>
      <c r="K33" t="s">
        <v>33</v>
      </c>
      <c r="L33">
        <v>2</v>
      </c>
      <c r="N33">
        <v>2</v>
      </c>
      <c r="O33" t="s">
        <v>34</v>
      </c>
      <c r="S33" t="s">
        <v>56</v>
      </c>
      <c r="T33">
        <v>1</v>
      </c>
      <c r="V33">
        <v>2</v>
      </c>
      <c r="W33" t="s">
        <v>68</v>
      </c>
      <c r="AA33" t="s">
        <v>43</v>
      </c>
      <c r="AB33">
        <v>3</v>
      </c>
      <c r="AD33">
        <v>1</v>
      </c>
      <c r="AE33" t="s">
        <v>73</v>
      </c>
      <c r="AF33" t="s">
        <v>136</v>
      </c>
      <c r="AG33" t="s">
        <v>137</v>
      </c>
      <c r="AH33" t="s">
        <v>139</v>
      </c>
      <c r="AI33">
        <v>9</v>
      </c>
      <c r="AJ33">
        <v>34</v>
      </c>
    </row>
    <row r="34" spans="1:36" x14ac:dyDescent="0.25">
      <c r="A34" t="s">
        <v>462</v>
      </c>
      <c r="B34">
        <v>32</v>
      </c>
      <c r="C34" t="s">
        <v>53</v>
      </c>
      <c r="D34">
        <v>1</v>
      </c>
      <c r="E34">
        <v>1</v>
      </c>
      <c r="F34">
        <v>1</v>
      </c>
      <c r="G34" t="s">
        <v>111</v>
      </c>
      <c r="H34" t="s">
        <v>113</v>
      </c>
      <c r="K34" t="s">
        <v>33</v>
      </c>
      <c r="L34">
        <v>2</v>
      </c>
      <c r="N34">
        <v>3</v>
      </c>
      <c r="O34" t="s">
        <v>34</v>
      </c>
      <c r="P34" t="s">
        <v>130</v>
      </c>
      <c r="S34" t="s">
        <v>56</v>
      </c>
      <c r="T34">
        <v>3</v>
      </c>
      <c r="V34">
        <v>1</v>
      </c>
      <c r="W34" t="s">
        <v>57</v>
      </c>
      <c r="X34" t="s">
        <v>121</v>
      </c>
      <c r="Y34" t="s">
        <v>123</v>
      </c>
      <c r="AA34" t="s">
        <v>45</v>
      </c>
      <c r="AB34">
        <v>2</v>
      </c>
      <c r="AD34">
        <v>1</v>
      </c>
      <c r="AE34" t="s">
        <v>86</v>
      </c>
      <c r="AI34">
        <v>10</v>
      </c>
      <c r="AJ34">
        <v>29</v>
      </c>
    </row>
    <row r="35" spans="1:36" x14ac:dyDescent="0.25">
      <c r="A35" t="s">
        <v>463</v>
      </c>
      <c r="B35">
        <v>33</v>
      </c>
      <c r="C35" t="s">
        <v>53</v>
      </c>
      <c r="D35">
        <v>1</v>
      </c>
      <c r="E35">
        <v>1</v>
      </c>
      <c r="F35">
        <v>2</v>
      </c>
      <c r="G35" t="s">
        <v>54</v>
      </c>
      <c r="K35" t="s">
        <v>33</v>
      </c>
      <c r="L35">
        <v>1</v>
      </c>
      <c r="N35">
        <v>3</v>
      </c>
      <c r="O35" t="s">
        <v>34</v>
      </c>
      <c r="P35" t="s">
        <v>130</v>
      </c>
      <c r="S35" t="s">
        <v>56</v>
      </c>
      <c r="T35">
        <v>3</v>
      </c>
      <c r="V35">
        <v>1</v>
      </c>
      <c r="W35" t="s">
        <v>57</v>
      </c>
      <c r="X35" t="s">
        <v>69</v>
      </c>
      <c r="AA35" t="s">
        <v>63</v>
      </c>
      <c r="AB35">
        <v>2</v>
      </c>
      <c r="AD35">
        <v>1</v>
      </c>
      <c r="AE35" t="s">
        <v>72</v>
      </c>
      <c r="AF35" t="s">
        <v>95</v>
      </c>
      <c r="AG35" t="s">
        <v>104</v>
      </c>
      <c r="AI35">
        <v>10</v>
      </c>
      <c r="AJ35">
        <v>34</v>
      </c>
    </row>
    <row r="36" spans="1:36" x14ac:dyDescent="0.25">
      <c r="A36" t="s">
        <v>464</v>
      </c>
      <c r="B36">
        <v>35</v>
      </c>
      <c r="C36" t="s">
        <v>53</v>
      </c>
      <c r="D36">
        <v>1</v>
      </c>
      <c r="E36">
        <v>1</v>
      </c>
      <c r="F36">
        <v>1</v>
      </c>
      <c r="G36" t="s">
        <v>111</v>
      </c>
      <c r="H36" t="s">
        <v>113</v>
      </c>
      <c r="I36" t="s">
        <v>114</v>
      </c>
      <c r="K36" t="s">
        <v>33</v>
      </c>
      <c r="L36">
        <v>2</v>
      </c>
      <c r="N36">
        <v>3</v>
      </c>
      <c r="O36" t="s">
        <v>34</v>
      </c>
      <c r="S36" t="s">
        <v>48</v>
      </c>
      <c r="T36">
        <v>2</v>
      </c>
      <c r="V36">
        <v>1</v>
      </c>
      <c r="W36" t="s">
        <v>49</v>
      </c>
      <c r="X36" t="s">
        <v>50</v>
      </c>
      <c r="Y36" t="s">
        <v>127</v>
      </c>
      <c r="Z36" t="s">
        <v>129</v>
      </c>
      <c r="AA36" t="s">
        <v>43</v>
      </c>
      <c r="AB36">
        <v>1</v>
      </c>
      <c r="AD36">
        <v>1</v>
      </c>
      <c r="AE36" t="s">
        <v>73</v>
      </c>
      <c r="AF36" t="s">
        <v>99</v>
      </c>
      <c r="AI36">
        <v>10</v>
      </c>
      <c r="AJ36">
        <v>30</v>
      </c>
    </row>
    <row r="37" spans="1:36" x14ac:dyDescent="0.25">
      <c r="A37" t="s">
        <v>465</v>
      </c>
      <c r="B37">
        <v>39</v>
      </c>
      <c r="C37" t="s">
        <v>43</v>
      </c>
      <c r="D37">
        <v>2</v>
      </c>
      <c r="F37">
        <v>1</v>
      </c>
      <c r="G37" t="s">
        <v>73</v>
      </c>
      <c r="H37" t="s">
        <v>74</v>
      </c>
      <c r="I37" t="s">
        <v>100</v>
      </c>
      <c r="K37" t="s">
        <v>45</v>
      </c>
      <c r="L37">
        <v>3</v>
      </c>
      <c r="N37">
        <v>1</v>
      </c>
      <c r="O37" t="s">
        <v>140</v>
      </c>
      <c r="S37" t="s">
        <v>53</v>
      </c>
      <c r="T37">
        <v>2</v>
      </c>
      <c r="U37">
        <v>2</v>
      </c>
      <c r="V37">
        <v>1</v>
      </c>
      <c r="W37" t="s">
        <v>111</v>
      </c>
      <c r="AA37" t="s">
        <v>33</v>
      </c>
      <c r="AB37">
        <v>2</v>
      </c>
      <c r="AD37">
        <v>3</v>
      </c>
      <c r="AE37" t="s">
        <v>34</v>
      </c>
      <c r="AI37">
        <v>10</v>
      </c>
      <c r="AJ37">
        <v>43</v>
      </c>
    </row>
    <row r="38" spans="1:36" x14ac:dyDescent="0.25">
      <c r="A38" t="s">
        <v>466</v>
      </c>
      <c r="B38">
        <v>40</v>
      </c>
      <c r="C38" t="s">
        <v>43</v>
      </c>
      <c r="D38">
        <v>2</v>
      </c>
      <c r="F38">
        <v>1</v>
      </c>
      <c r="G38" t="s">
        <v>44</v>
      </c>
      <c r="H38" t="s">
        <v>99</v>
      </c>
      <c r="K38" t="s">
        <v>63</v>
      </c>
      <c r="L38">
        <v>2</v>
      </c>
      <c r="N38">
        <v>1</v>
      </c>
      <c r="O38" t="s">
        <v>145</v>
      </c>
      <c r="P38" t="s">
        <v>95</v>
      </c>
      <c r="S38" t="s">
        <v>53</v>
      </c>
      <c r="T38">
        <v>1</v>
      </c>
      <c r="U38">
        <v>2</v>
      </c>
      <c r="V38">
        <v>1</v>
      </c>
      <c r="W38" t="s">
        <v>111</v>
      </c>
      <c r="X38" t="s">
        <v>83</v>
      </c>
      <c r="AA38" t="s">
        <v>33</v>
      </c>
      <c r="AB38">
        <v>2</v>
      </c>
      <c r="AD38">
        <v>2</v>
      </c>
      <c r="AE38" t="s">
        <v>34</v>
      </c>
      <c r="AI38">
        <v>8</v>
      </c>
      <c r="AJ38">
        <v>28</v>
      </c>
    </row>
    <row r="39" spans="1:36" x14ac:dyDescent="0.25">
      <c r="A39" t="s">
        <v>467</v>
      </c>
      <c r="B39">
        <v>42</v>
      </c>
      <c r="C39" t="s">
        <v>45</v>
      </c>
      <c r="D39">
        <v>2</v>
      </c>
      <c r="F39">
        <v>1</v>
      </c>
      <c r="G39" t="s">
        <v>86</v>
      </c>
      <c r="K39" t="s">
        <v>63</v>
      </c>
      <c r="L39">
        <v>1</v>
      </c>
      <c r="N39">
        <v>1</v>
      </c>
      <c r="O39" t="s">
        <v>72</v>
      </c>
      <c r="P39" t="s">
        <v>95</v>
      </c>
      <c r="S39" t="s">
        <v>53</v>
      </c>
      <c r="T39">
        <v>1</v>
      </c>
      <c r="U39">
        <v>1</v>
      </c>
      <c r="V39">
        <v>1</v>
      </c>
      <c r="W39" t="s">
        <v>111</v>
      </c>
      <c r="X39" t="s">
        <v>113</v>
      </c>
      <c r="Y39" t="s">
        <v>97</v>
      </c>
      <c r="AA39" t="s">
        <v>33</v>
      </c>
      <c r="AB39">
        <v>1</v>
      </c>
      <c r="AD39">
        <v>3</v>
      </c>
      <c r="AE39" t="s">
        <v>34</v>
      </c>
      <c r="AI39">
        <v>6</v>
      </c>
      <c r="AJ39">
        <v>22</v>
      </c>
    </row>
    <row r="40" spans="1:36" x14ac:dyDescent="0.25">
      <c r="A40" t="s">
        <v>468</v>
      </c>
      <c r="B40">
        <v>43</v>
      </c>
      <c r="C40" t="s">
        <v>45</v>
      </c>
      <c r="D40">
        <v>3</v>
      </c>
      <c r="F40">
        <v>1</v>
      </c>
      <c r="G40" t="s">
        <v>140</v>
      </c>
      <c r="K40" t="s">
        <v>38</v>
      </c>
      <c r="L40">
        <v>1</v>
      </c>
      <c r="M40">
        <v>1</v>
      </c>
      <c r="N40">
        <v>1</v>
      </c>
      <c r="O40" t="s">
        <v>152</v>
      </c>
      <c r="P40" t="s">
        <v>70</v>
      </c>
      <c r="S40" t="s">
        <v>53</v>
      </c>
      <c r="T40">
        <v>2</v>
      </c>
      <c r="U40">
        <v>1</v>
      </c>
      <c r="V40">
        <v>1</v>
      </c>
      <c r="W40" t="s">
        <v>54</v>
      </c>
      <c r="AA40" t="s">
        <v>33</v>
      </c>
      <c r="AB40">
        <v>3</v>
      </c>
      <c r="AD40">
        <v>2</v>
      </c>
      <c r="AE40" t="s">
        <v>65</v>
      </c>
      <c r="AI40">
        <v>7</v>
      </c>
      <c r="AJ40">
        <v>22</v>
      </c>
    </row>
    <row r="41" spans="1:36" x14ac:dyDescent="0.25">
      <c r="A41" t="s">
        <v>469</v>
      </c>
      <c r="B41">
        <v>45</v>
      </c>
      <c r="C41" t="s">
        <v>53</v>
      </c>
      <c r="D41">
        <v>1</v>
      </c>
      <c r="E41">
        <v>1</v>
      </c>
      <c r="F41">
        <v>1</v>
      </c>
      <c r="G41" t="s">
        <v>111</v>
      </c>
      <c r="H41" t="s">
        <v>113</v>
      </c>
      <c r="I41" t="s">
        <v>114</v>
      </c>
      <c r="J41" t="s">
        <v>98</v>
      </c>
      <c r="K41" t="s">
        <v>43</v>
      </c>
      <c r="L41">
        <v>3</v>
      </c>
      <c r="N41">
        <v>1</v>
      </c>
      <c r="O41" t="s">
        <v>73</v>
      </c>
      <c r="P41" t="s">
        <v>74</v>
      </c>
      <c r="Q41" t="s">
        <v>75</v>
      </c>
      <c r="S41" t="s">
        <v>56</v>
      </c>
      <c r="T41">
        <v>2</v>
      </c>
      <c r="V41">
        <v>1</v>
      </c>
      <c r="W41" t="s">
        <v>57</v>
      </c>
      <c r="X41" t="s">
        <v>121</v>
      </c>
      <c r="AA41" t="s">
        <v>48</v>
      </c>
      <c r="AB41">
        <v>3</v>
      </c>
      <c r="AD41">
        <v>3</v>
      </c>
      <c r="AE41" t="s">
        <v>89</v>
      </c>
      <c r="AI41">
        <v>13</v>
      </c>
      <c r="AJ41">
        <v>40</v>
      </c>
    </row>
    <row r="42" spans="1:36" x14ac:dyDescent="0.25">
      <c r="A42" t="s">
        <v>470</v>
      </c>
      <c r="B42">
        <v>46</v>
      </c>
      <c r="C42" t="s">
        <v>53</v>
      </c>
      <c r="D42">
        <v>1</v>
      </c>
      <c r="E42">
        <v>1</v>
      </c>
      <c r="F42">
        <v>1</v>
      </c>
      <c r="G42" t="s">
        <v>111</v>
      </c>
      <c r="H42" t="s">
        <v>113</v>
      </c>
      <c r="K42" t="s">
        <v>43</v>
      </c>
      <c r="L42">
        <v>3</v>
      </c>
      <c r="N42">
        <v>1</v>
      </c>
      <c r="O42" t="s">
        <v>44</v>
      </c>
      <c r="P42" t="s">
        <v>136</v>
      </c>
      <c r="Q42" t="s">
        <v>137</v>
      </c>
      <c r="S42" t="s">
        <v>56</v>
      </c>
      <c r="T42">
        <v>2</v>
      </c>
      <c r="V42">
        <v>1</v>
      </c>
      <c r="W42" t="s">
        <v>57</v>
      </c>
      <c r="AA42" t="s">
        <v>33</v>
      </c>
      <c r="AB42">
        <v>3</v>
      </c>
      <c r="AD42">
        <v>3</v>
      </c>
      <c r="AE42" t="s">
        <v>34</v>
      </c>
      <c r="AI42">
        <v>10</v>
      </c>
      <c r="AJ42">
        <v>27</v>
      </c>
    </row>
    <row r="43" spans="1:36" x14ac:dyDescent="0.25">
      <c r="A43" t="s">
        <v>471</v>
      </c>
      <c r="B43">
        <v>47</v>
      </c>
      <c r="C43" t="s">
        <v>56</v>
      </c>
      <c r="D43">
        <v>2</v>
      </c>
      <c r="F43">
        <v>1</v>
      </c>
      <c r="G43" t="s">
        <v>57</v>
      </c>
      <c r="H43" t="s">
        <v>122</v>
      </c>
      <c r="K43" t="s">
        <v>45</v>
      </c>
      <c r="L43">
        <v>3</v>
      </c>
      <c r="N43">
        <v>1</v>
      </c>
      <c r="O43" t="s">
        <v>86</v>
      </c>
      <c r="S43" t="s">
        <v>53</v>
      </c>
      <c r="T43">
        <v>2</v>
      </c>
      <c r="U43">
        <v>3</v>
      </c>
      <c r="V43">
        <v>1</v>
      </c>
      <c r="W43" t="s">
        <v>54</v>
      </c>
      <c r="AA43" t="s">
        <v>43</v>
      </c>
      <c r="AB43">
        <v>1</v>
      </c>
      <c r="AD43">
        <v>1</v>
      </c>
      <c r="AE43" t="s">
        <v>73</v>
      </c>
      <c r="AI43">
        <v>7</v>
      </c>
      <c r="AJ43">
        <v>21</v>
      </c>
    </row>
    <row r="44" spans="1:36" x14ac:dyDescent="0.25">
      <c r="A44" t="s">
        <v>472</v>
      </c>
      <c r="B44">
        <v>48</v>
      </c>
      <c r="C44" t="s">
        <v>53</v>
      </c>
      <c r="D44">
        <v>3</v>
      </c>
      <c r="E44">
        <v>1</v>
      </c>
      <c r="F44">
        <v>1</v>
      </c>
      <c r="G44" t="s">
        <v>54</v>
      </c>
      <c r="K44" t="s">
        <v>43</v>
      </c>
      <c r="L44">
        <v>2</v>
      </c>
      <c r="N44">
        <v>1</v>
      </c>
      <c r="O44" t="s">
        <v>73</v>
      </c>
      <c r="P44" t="s">
        <v>99</v>
      </c>
      <c r="Q44" t="s">
        <v>100</v>
      </c>
      <c r="S44" t="s">
        <v>56</v>
      </c>
      <c r="T44">
        <v>2</v>
      </c>
      <c r="V44">
        <v>1</v>
      </c>
      <c r="W44" t="s">
        <v>57</v>
      </c>
      <c r="AA44" t="s">
        <v>63</v>
      </c>
      <c r="AB44">
        <v>1</v>
      </c>
      <c r="AD44">
        <v>1</v>
      </c>
      <c r="AE44" t="s">
        <v>72</v>
      </c>
      <c r="AF44" t="s">
        <v>95</v>
      </c>
      <c r="AI44">
        <v>7</v>
      </c>
      <c r="AJ44">
        <v>22</v>
      </c>
    </row>
    <row r="45" spans="1:36" x14ac:dyDescent="0.25">
      <c r="A45" t="s">
        <v>473</v>
      </c>
      <c r="B45">
        <v>49</v>
      </c>
      <c r="C45" t="s">
        <v>56</v>
      </c>
      <c r="D45">
        <v>1</v>
      </c>
      <c r="F45">
        <v>1</v>
      </c>
      <c r="G45" t="s">
        <v>57</v>
      </c>
      <c r="H45" t="s">
        <v>122</v>
      </c>
      <c r="K45" t="s">
        <v>38</v>
      </c>
      <c r="L45">
        <v>3</v>
      </c>
      <c r="M45">
        <v>1</v>
      </c>
      <c r="N45">
        <v>3</v>
      </c>
      <c r="O45" t="s">
        <v>152</v>
      </c>
      <c r="P45" t="s">
        <v>96</v>
      </c>
      <c r="S45" t="s">
        <v>53</v>
      </c>
      <c r="T45">
        <v>2</v>
      </c>
      <c r="U45">
        <v>1</v>
      </c>
      <c r="V45">
        <v>1</v>
      </c>
      <c r="W45" t="s">
        <v>54</v>
      </c>
      <c r="X45" t="s">
        <v>83</v>
      </c>
      <c r="Y45" t="s">
        <v>105</v>
      </c>
      <c r="AA45" t="s">
        <v>43</v>
      </c>
      <c r="AB45">
        <v>1</v>
      </c>
      <c r="AD45">
        <v>3</v>
      </c>
      <c r="AE45" t="s">
        <v>73</v>
      </c>
      <c r="AF45" t="s">
        <v>99</v>
      </c>
      <c r="AG45" t="s">
        <v>100</v>
      </c>
      <c r="AH45" t="s">
        <v>101</v>
      </c>
      <c r="AI45">
        <v>14</v>
      </c>
      <c r="AJ45">
        <v>42</v>
      </c>
    </row>
    <row r="46" spans="1:36" x14ac:dyDescent="0.25">
      <c r="A46" t="s">
        <v>474</v>
      </c>
      <c r="B46">
        <v>50</v>
      </c>
      <c r="C46" t="s">
        <v>53</v>
      </c>
      <c r="D46">
        <v>1</v>
      </c>
      <c r="E46">
        <v>1</v>
      </c>
      <c r="F46">
        <v>1</v>
      </c>
      <c r="G46" t="s">
        <v>111</v>
      </c>
      <c r="H46" t="s">
        <v>113</v>
      </c>
      <c r="K46" t="s">
        <v>43</v>
      </c>
      <c r="L46">
        <v>2</v>
      </c>
      <c r="N46">
        <v>1</v>
      </c>
      <c r="O46" t="s">
        <v>44</v>
      </c>
      <c r="P46" t="s">
        <v>74</v>
      </c>
      <c r="S46" t="s">
        <v>48</v>
      </c>
      <c r="T46">
        <v>3</v>
      </c>
      <c r="V46">
        <v>1</v>
      </c>
      <c r="W46" t="s">
        <v>89</v>
      </c>
      <c r="AA46" t="s">
        <v>33</v>
      </c>
      <c r="AB46">
        <v>1</v>
      </c>
      <c r="AD46">
        <v>2</v>
      </c>
      <c r="AE46" t="s">
        <v>34</v>
      </c>
      <c r="AI46">
        <v>6</v>
      </c>
      <c r="AJ46">
        <v>20</v>
      </c>
    </row>
    <row r="47" spans="1:36" x14ac:dyDescent="0.25">
      <c r="A47" t="s">
        <v>475</v>
      </c>
      <c r="B47">
        <v>52</v>
      </c>
      <c r="C47" t="s">
        <v>48</v>
      </c>
      <c r="D47">
        <v>2</v>
      </c>
      <c r="F47">
        <v>1</v>
      </c>
      <c r="G47" t="s">
        <v>89</v>
      </c>
      <c r="K47" t="s">
        <v>63</v>
      </c>
      <c r="L47">
        <v>1</v>
      </c>
      <c r="N47">
        <v>2</v>
      </c>
      <c r="O47" t="s">
        <v>103</v>
      </c>
      <c r="P47" t="s">
        <v>95</v>
      </c>
      <c r="S47" t="s">
        <v>53</v>
      </c>
      <c r="T47">
        <v>3</v>
      </c>
      <c r="U47">
        <v>1</v>
      </c>
      <c r="V47">
        <v>1</v>
      </c>
      <c r="W47" t="s">
        <v>54</v>
      </c>
      <c r="AA47" t="s">
        <v>43</v>
      </c>
      <c r="AB47">
        <v>2</v>
      </c>
      <c r="AD47">
        <v>2</v>
      </c>
      <c r="AE47" t="s">
        <v>44</v>
      </c>
      <c r="AI47">
        <v>7</v>
      </c>
      <c r="AJ47">
        <v>24</v>
      </c>
    </row>
    <row r="48" spans="1:36" x14ac:dyDescent="0.25">
      <c r="A48" t="s">
        <v>476</v>
      </c>
      <c r="B48">
        <v>53</v>
      </c>
      <c r="C48" t="s">
        <v>53</v>
      </c>
      <c r="D48">
        <v>2</v>
      </c>
      <c r="E48">
        <v>1</v>
      </c>
      <c r="F48">
        <v>1</v>
      </c>
      <c r="G48" t="s">
        <v>111</v>
      </c>
      <c r="K48" t="s">
        <v>43</v>
      </c>
      <c r="L48">
        <v>3</v>
      </c>
      <c r="N48">
        <v>1</v>
      </c>
      <c r="O48" t="s">
        <v>44</v>
      </c>
      <c r="S48" t="s">
        <v>48</v>
      </c>
      <c r="T48">
        <v>3</v>
      </c>
      <c r="V48">
        <v>1</v>
      </c>
      <c r="W48" t="s">
        <v>49</v>
      </c>
      <c r="AA48" t="s">
        <v>38</v>
      </c>
      <c r="AB48">
        <v>3</v>
      </c>
      <c r="AC48">
        <v>1</v>
      </c>
      <c r="AD48">
        <v>1</v>
      </c>
      <c r="AE48" t="s">
        <v>152</v>
      </c>
      <c r="AI48">
        <v>7</v>
      </c>
      <c r="AJ48">
        <v>21</v>
      </c>
    </row>
    <row r="49" spans="1:36" x14ac:dyDescent="0.25">
      <c r="A49" t="s">
        <v>477</v>
      </c>
      <c r="B49">
        <v>54</v>
      </c>
      <c r="C49" t="s">
        <v>33</v>
      </c>
      <c r="D49">
        <v>1</v>
      </c>
      <c r="F49">
        <v>2</v>
      </c>
      <c r="G49" t="s">
        <v>34</v>
      </c>
      <c r="H49" t="s">
        <v>66</v>
      </c>
      <c r="K49" t="s">
        <v>45</v>
      </c>
      <c r="L49">
        <v>2</v>
      </c>
      <c r="N49">
        <v>1</v>
      </c>
      <c r="O49" t="s">
        <v>140</v>
      </c>
      <c r="S49" t="s">
        <v>53</v>
      </c>
      <c r="T49">
        <v>2</v>
      </c>
      <c r="U49">
        <v>1</v>
      </c>
      <c r="V49">
        <v>1</v>
      </c>
      <c r="W49" t="s">
        <v>111</v>
      </c>
      <c r="AA49" t="s">
        <v>43</v>
      </c>
      <c r="AB49">
        <v>1</v>
      </c>
      <c r="AD49">
        <v>1</v>
      </c>
      <c r="AE49" t="s">
        <v>44</v>
      </c>
      <c r="AF49" t="s">
        <v>136</v>
      </c>
      <c r="AI49">
        <v>5</v>
      </c>
      <c r="AJ49">
        <v>20</v>
      </c>
    </row>
    <row r="50" spans="1:36" x14ac:dyDescent="0.25">
      <c r="A50" t="s">
        <v>478</v>
      </c>
      <c r="B50">
        <v>55</v>
      </c>
      <c r="C50" t="s">
        <v>53</v>
      </c>
      <c r="D50">
        <v>1</v>
      </c>
      <c r="E50">
        <v>1</v>
      </c>
      <c r="F50">
        <v>2</v>
      </c>
      <c r="G50" t="s">
        <v>54</v>
      </c>
      <c r="H50" t="s">
        <v>113</v>
      </c>
      <c r="K50" t="s">
        <v>43</v>
      </c>
      <c r="L50">
        <v>3</v>
      </c>
      <c r="N50">
        <v>1</v>
      </c>
      <c r="O50" t="s">
        <v>44</v>
      </c>
      <c r="S50" t="s">
        <v>33</v>
      </c>
      <c r="T50">
        <v>2</v>
      </c>
      <c r="V50">
        <v>2</v>
      </c>
      <c r="W50" t="s">
        <v>34</v>
      </c>
      <c r="AA50" t="s">
        <v>63</v>
      </c>
      <c r="AB50">
        <v>3</v>
      </c>
      <c r="AD50">
        <v>1</v>
      </c>
      <c r="AE50" t="s">
        <v>145</v>
      </c>
      <c r="AI50">
        <v>8</v>
      </c>
      <c r="AJ50">
        <v>23</v>
      </c>
    </row>
    <row r="51" spans="1:36" x14ac:dyDescent="0.25">
      <c r="A51" t="s">
        <v>479</v>
      </c>
      <c r="B51">
        <v>56</v>
      </c>
      <c r="C51" t="s">
        <v>53</v>
      </c>
      <c r="D51">
        <v>2</v>
      </c>
      <c r="E51">
        <v>1</v>
      </c>
      <c r="F51">
        <v>1</v>
      </c>
      <c r="G51" t="s">
        <v>54</v>
      </c>
      <c r="K51" t="s">
        <v>43</v>
      </c>
      <c r="L51">
        <v>3</v>
      </c>
      <c r="N51">
        <v>1</v>
      </c>
      <c r="O51" t="s">
        <v>44</v>
      </c>
      <c r="P51" t="s">
        <v>74</v>
      </c>
      <c r="S51" t="s">
        <v>33</v>
      </c>
      <c r="T51">
        <v>1</v>
      </c>
      <c r="V51">
        <v>3</v>
      </c>
      <c r="W51" t="s">
        <v>34</v>
      </c>
      <c r="AA51" t="s">
        <v>38</v>
      </c>
      <c r="AB51">
        <v>1</v>
      </c>
      <c r="AC51">
        <v>2</v>
      </c>
      <c r="AD51">
        <v>1</v>
      </c>
      <c r="AE51" t="s">
        <v>152</v>
      </c>
      <c r="AI51">
        <v>7</v>
      </c>
      <c r="AJ51">
        <v>20</v>
      </c>
    </row>
    <row r="52" spans="1:36" x14ac:dyDescent="0.25">
      <c r="A52" t="s">
        <v>480</v>
      </c>
      <c r="B52">
        <v>57</v>
      </c>
      <c r="C52" t="s">
        <v>45</v>
      </c>
      <c r="D52">
        <v>2</v>
      </c>
      <c r="F52">
        <v>1</v>
      </c>
      <c r="G52" t="s">
        <v>86</v>
      </c>
      <c r="K52" t="s">
        <v>63</v>
      </c>
      <c r="L52">
        <v>1</v>
      </c>
      <c r="N52">
        <v>1</v>
      </c>
      <c r="O52" t="s">
        <v>103</v>
      </c>
      <c r="P52" t="s">
        <v>95</v>
      </c>
      <c r="S52" t="s">
        <v>53</v>
      </c>
      <c r="T52">
        <v>2</v>
      </c>
      <c r="U52">
        <v>1</v>
      </c>
      <c r="V52">
        <v>1</v>
      </c>
      <c r="W52" t="s">
        <v>54</v>
      </c>
      <c r="X52" t="s">
        <v>83</v>
      </c>
      <c r="Y52" t="s">
        <v>97</v>
      </c>
      <c r="AA52" t="s">
        <v>43</v>
      </c>
      <c r="AB52">
        <v>2</v>
      </c>
      <c r="AD52">
        <v>1</v>
      </c>
      <c r="AE52" t="s">
        <v>44</v>
      </c>
      <c r="AI52">
        <v>6</v>
      </c>
      <c r="AJ52">
        <v>22</v>
      </c>
    </row>
    <row r="53" spans="1:36" x14ac:dyDescent="0.25">
      <c r="A53" t="s">
        <v>481</v>
      </c>
      <c r="B53">
        <v>58</v>
      </c>
      <c r="C53" t="s">
        <v>45</v>
      </c>
      <c r="D53">
        <v>3</v>
      </c>
      <c r="F53">
        <v>1</v>
      </c>
      <c r="G53" t="s">
        <v>86</v>
      </c>
      <c r="K53" t="s">
        <v>38</v>
      </c>
      <c r="L53">
        <v>2</v>
      </c>
      <c r="M53">
        <v>1</v>
      </c>
      <c r="N53">
        <v>1</v>
      </c>
      <c r="O53" t="s">
        <v>152</v>
      </c>
      <c r="P53" t="s">
        <v>96</v>
      </c>
      <c r="S53" t="s">
        <v>53</v>
      </c>
      <c r="T53">
        <v>3</v>
      </c>
      <c r="U53">
        <v>1</v>
      </c>
      <c r="V53">
        <v>2</v>
      </c>
      <c r="W53" t="s">
        <v>54</v>
      </c>
      <c r="X53" t="s">
        <v>83</v>
      </c>
      <c r="AA53" t="s">
        <v>43</v>
      </c>
      <c r="AB53">
        <v>1</v>
      </c>
      <c r="AD53">
        <v>2</v>
      </c>
      <c r="AE53" t="s">
        <v>44</v>
      </c>
      <c r="AI53">
        <v>9</v>
      </c>
      <c r="AJ53">
        <v>27</v>
      </c>
    </row>
    <row r="54" spans="1:36" x14ac:dyDescent="0.25">
      <c r="A54" t="s">
        <v>482</v>
      </c>
      <c r="B54">
        <v>59</v>
      </c>
      <c r="C54" t="s">
        <v>63</v>
      </c>
      <c r="D54">
        <v>3</v>
      </c>
      <c r="F54">
        <v>1</v>
      </c>
      <c r="G54" t="s">
        <v>72</v>
      </c>
      <c r="H54" t="s">
        <v>95</v>
      </c>
      <c r="I54" t="s">
        <v>147</v>
      </c>
      <c r="K54" t="s">
        <v>38</v>
      </c>
      <c r="L54">
        <v>2</v>
      </c>
      <c r="M54">
        <v>1</v>
      </c>
      <c r="N54">
        <v>1</v>
      </c>
      <c r="O54" t="s">
        <v>152</v>
      </c>
      <c r="S54" t="s">
        <v>53</v>
      </c>
      <c r="T54">
        <v>3</v>
      </c>
      <c r="U54">
        <v>3</v>
      </c>
      <c r="V54">
        <v>2</v>
      </c>
      <c r="W54" t="s">
        <v>111</v>
      </c>
      <c r="X54" t="s">
        <v>83</v>
      </c>
      <c r="AA54" t="s">
        <v>43</v>
      </c>
      <c r="AB54">
        <v>2</v>
      </c>
      <c r="AD54">
        <v>1</v>
      </c>
      <c r="AE54" t="s">
        <v>44</v>
      </c>
      <c r="AI54">
        <v>12</v>
      </c>
      <c r="AJ54">
        <v>31</v>
      </c>
    </row>
    <row r="55" spans="1:36" x14ac:dyDescent="0.25">
      <c r="A55" t="s">
        <v>483</v>
      </c>
      <c r="B55">
        <v>60</v>
      </c>
      <c r="C55" t="s">
        <v>56</v>
      </c>
      <c r="D55">
        <v>2</v>
      </c>
      <c r="F55">
        <v>1</v>
      </c>
      <c r="G55" t="s">
        <v>57</v>
      </c>
      <c r="H55" t="s">
        <v>122</v>
      </c>
      <c r="K55" t="s">
        <v>48</v>
      </c>
      <c r="L55">
        <v>1</v>
      </c>
      <c r="N55">
        <v>1</v>
      </c>
      <c r="O55" t="s">
        <v>49</v>
      </c>
      <c r="P55" t="s">
        <v>50</v>
      </c>
      <c r="Q55" t="s">
        <v>90</v>
      </c>
      <c r="R55" t="s">
        <v>129</v>
      </c>
      <c r="S55" t="s">
        <v>53</v>
      </c>
      <c r="T55">
        <v>3</v>
      </c>
      <c r="U55">
        <v>1</v>
      </c>
      <c r="V55">
        <v>1</v>
      </c>
      <c r="W55" t="s">
        <v>54</v>
      </c>
      <c r="X55" t="s">
        <v>55</v>
      </c>
      <c r="AA55" t="s">
        <v>45</v>
      </c>
      <c r="AB55">
        <v>3</v>
      </c>
      <c r="AD55">
        <v>2</v>
      </c>
      <c r="AE55" t="s">
        <v>47</v>
      </c>
      <c r="AI55">
        <v>11</v>
      </c>
      <c r="AJ55">
        <v>36</v>
      </c>
    </row>
    <row r="56" spans="1:36" x14ac:dyDescent="0.25">
      <c r="A56" t="s">
        <v>484</v>
      </c>
      <c r="B56">
        <v>61</v>
      </c>
      <c r="C56" t="s">
        <v>53</v>
      </c>
      <c r="D56">
        <v>2</v>
      </c>
      <c r="E56">
        <v>1</v>
      </c>
      <c r="F56">
        <v>1</v>
      </c>
      <c r="G56" t="s">
        <v>54</v>
      </c>
      <c r="K56" t="s">
        <v>45</v>
      </c>
      <c r="L56">
        <v>3</v>
      </c>
      <c r="N56">
        <v>1</v>
      </c>
      <c r="O56" t="s">
        <v>86</v>
      </c>
      <c r="P56" t="s">
        <v>141</v>
      </c>
      <c r="S56" t="s">
        <v>56</v>
      </c>
      <c r="T56">
        <v>1</v>
      </c>
      <c r="V56">
        <v>1</v>
      </c>
      <c r="W56" t="s">
        <v>68</v>
      </c>
      <c r="AA56" t="s">
        <v>33</v>
      </c>
      <c r="AB56">
        <v>2</v>
      </c>
      <c r="AD56">
        <v>3</v>
      </c>
      <c r="AE56" t="s">
        <v>65</v>
      </c>
      <c r="AF56" t="s">
        <v>35</v>
      </c>
      <c r="AG56" t="s">
        <v>131</v>
      </c>
      <c r="AH56" t="s">
        <v>134</v>
      </c>
      <c r="AI56">
        <v>10</v>
      </c>
      <c r="AJ56">
        <v>24</v>
      </c>
    </row>
    <row r="57" spans="1:36" x14ac:dyDescent="0.25">
      <c r="A57" t="s">
        <v>485</v>
      </c>
      <c r="B57">
        <v>62</v>
      </c>
      <c r="C57" t="s">
        <v>53</v>
      </c>
      <c r="D57">
        <v>3</v>
      </c>
      <c r="E57">
        <v>2</v>
      </c>
      <c r="F57">
        <v>1</v>
      </c>
      <c r="G57" t="s">
        <v>54</v>
      </c>
      <c r="K57" t="s">
        <v>45</v>
      </c>
      <c r="L57">
        <v>3</v>
      </c>
      <c r="N57">
        <v>1</v>
      </c>
      <c r="O57" t="s">
        <v>86</v>
      </c>
      <c r="S57" t="s">
        <v>56</v>
      </c>
      <c r="T57">
        <v>1</v>
      </c>
      <c r="V57">
        <v>3</v>
      </c>
      <c r="W57" t="s">
        <v>57</v>
      </c>
      <c r="AA57" t="s">
        <v>43</v>
      </c>
      <c r="AB57">
        <v>1</v>
      </c>
      <c r="AD57">
        <v>1</v>
      </c>
      <c r="AE57" t="s">
        <v>73</v>
      </c>
      <c r="AI57">
        <v>8</v>
      </c>
      <c r="AJ57">
        <v>26</v>
      </c>
    </row>
    <row r="58" spans="1:36" x14ac:dyDescent="0.25">
      <c r="A58" t="s">
        <v>486</v>
      </c>
      <c r="B58">
        <v>63</v>
      </c>
      <c r="C58" t="s">
        <v>56</v>
      </c>
      <c r="D58">
        <v>3</v>
      </c>
      <c r="F58">
        <v>1</v>
      </c>
      <c r="G58" t="s">
        <v>57</v>
      </c>
      <c r="K58" t="s">
        <v>63</v>
      </c>
      <c r="L58">
        <v>1</v>
      </c>
      <c r="N58">
        <v>1</v>
      </c>
      <c r="O58" t="s">
        <v>72</v>
      </c>
      <c r="P58" t="s">
        <v>95</v>
      </c>
      <c r="S58" t="s">
        <v>53</v>
      </c>
      <c r="T58">
        <v>2</v>
      </c>
      <c r="U58">
        <v>1</v>
      </c>
      <c r="V58">
        <v>1</v>
      </c>
      <c r="W58" t="s">
        <v>111</v>
      </c>
      <c r="X58" t="s">
        <v>113</v>
      </c>
      <c r="AA58" t="s">
        <v>45</v>
      </c>
      <c r="AB58">
        <v>2</v>
      </c>
      <c r="AD58">
        <v>1</v>
      </c>
      <c r="AE58" t="s">
        <v>86</v>
      </c>
      <c r="AI58">
        <v>6</v>
      </c>
      <c r="AJ58">
        <v>17</v>
      </c>
    </row>
    <row r="59" spans="1:36" x14ac:dyDescent="0.25">
      <c r="A59" t="s">
        <v>487</v>
      </c>
      <c r="B59">
        <v>64</v>
      </c>
      <c r="C59" t="s">
        <v>53</v>
      </c>
      <c r="D59">
        <v>1</v>
      </c>
      <c r="E59">
        <v>1</v>
      </c>
      <c r="F59">
        <v>1</v>
      </c>
      <c r="G59" t="s">
        <v>54</v>
      </c>
      <c r="H59" t="s">
        <v>113</v>
      </c>
      <c r="K59" t="s">
        <v>45</v>
      </c>
      <c r="L59">
        <v>3</v>
      </c>
      <c r="N59">
        <v>1</v>
      </c>
      <c r="O59" t="s">
        <v>86</v>
      </c>
      <c r="S59" t="s">
        <v>56</v>
      </c>
      <c r="T59">
        <v>2</v>
      </c>
      <c r="V59">
        <v>1</v>
      </c>
      <c r="W59" t="s">
        <v>57</v>
      </c>
      <c r="AA59" t="s">
        <v>38</v>
      </c>
      <c r="AB59">
        <v>3</v>
      </c>
      <c r="AC59">
        <v>1</v>
      </c>
      <c r="AD59">
        <v>3</v>
      </c>
      <c r="AE59" t="s">
        <v>152</v>
      </c>
      <c r="AI59">
        <v>8</v>
      </c>
      <c r="AJ59">
        <v>23</v>
      </c>
    </row>
    <row r="60" spans="1:36" x14ac:dyDescent="0.25">
      <c r="A60" t="s">
        <v>488</v>
      </c>
      <c r="B60">
        <v>65</v>
      </c>
      <c r="C60" t="s">
        <v>53</v>
      </c>
      <c r="D60">
        <v>3</v>
      </c>
      <c r="E60">
        <v>1</v>
      </c>
      <c r="F60">
        <v>2</v>
      </c>
      <c r="G60" t="s">
        <v>54</v>
      </c>
      <c r="K60" t="s">
        <v>45</v>
      </c>
      <c r="L60">
        <v>3</v>
      </c>
      <c r="N60">
        <v>1</v>
      </c>
      <c r="O60" t="s">
        <v>86</v>
      </c>
      <c r="S60" t="s">
        <v>48</v>
      </c>
      <c r="T60">
        <v>1</v>
      </c>
      <c r="V60">
        <v>1</v>
      </c>
      <c r="W60" t="s">
        <v>49</v>
      </c>
      <c r="X60" t="s">
        <v>50</v>
      </c>
      <c r="AA60" t="s">
        <v>33</v>
      </c>
      <c r="AB60">
        <v>1</v>
      </c>
      <c r="AD60">
        <v>2</v>
      </c>
      <c r="AE60" t="s">
        <v>34</v>
      </c>
      <c r="AI60">
        <v>7</v>
      </c>
      <c r="AJ60">
        <v>26</v>
      </c>
    </row>
    <row r="61" spans="1:36" x14ac:dyDescent="0.25">
      <c r="A61" t="s">
        <v>489</v>
      </c>
      <c r="B61">
        <v>66</v>
      </c>
      <c r="C61" t="s">
        <v>53</v>
      </c>
      <c r="D61">
        <v>1</v>
      </c>
      <c r="E61">
        <v>1</v>
      </c>
      <c r="F61">
        <v>1</v>
      </c>
      <c r="G61" t="s">
        <v>111</v>
      </c>
      <c r="H61" t="s">
        <v>83</v>
      </c>
      <c r="I61" t="s">
        <v>114</v>
      </c>
      <c r="J61" t="s">
        <v>116</v>
      </c>
      <c r="K61" t="s">
        <v>45</v>
      </c>
      <c r="L61">
        <v>3</v>
      </c>
      <c r="N61">
        <v>1</v>
      </c>
      <c r="O61" t="s">
        <v>86</v>
      </c>
      <c r="S61" t="s">
        <v>48</v>
      </c>
      <c r="T61">
        <v>2</v>
      </c>
      <c r="V61">
        <v>1</v>
      </c>
      <c r="W61" t="s">
        <v>49</v>
      </c>
      <c r="X61" t="s">
        <v>50</v>
      </c>
      <c r="Y61" t="s">
        <v>127</v>
      </c>
      <c r="Z61" t="s">
        <v>129</v>
      </c>
      <c r="AA61" t="s">
        <v>43</v>
      </c>
      <c r="AB61">
        <v>1</v>
      </c>
      <c r="AD61">
        <v>1</v>
      </c>
      <c r="AE61" t="s">
        <v>73</v>
      </c>
      <c r="AF61" t="s">
        <v>74</v>
      </c>
      <c r="AI61">
        <v>10</v>
      </c>
      <c r="AJ61">
        <v>28</v>
      </c>
    </row>
    <row r="62" spans="1:36" x14ac:dyDescent="0.25">
      <c r="A62" t="s">
        <v>490</v>
      </c>
      <c r="B62">
        <v>67</v>
      </c>
      <c r="C62" t="s">
        <v>53</v>
      </c>
      <c r="D62">
        <v>1</v>
      </c>
      <c r="E62">
        <v>1</v>
      </c>
      <c r="F62">
        <v>1</v>
      </c>
      <c r="G62" t="s">
        <v>111</v>
      </c>
      <c r="H62" t="s">
        <v>113</v>
      </c>
      <c r="I62" t="s">
        <v>114</v>
      </c>
      <c r="K62" t="s">
        <v>45</v>
      </c>
      <c r="L62">
        <v>3</v>
      </c>
      <c r="N62">
        <v>2</v>
      </c>
      <c r="O62" t="s">
        <v>47</v>
      </c>
      <c r="S62" t="s">
        <v>48</v>
      </c>
      <c r="T62">
        <v>3</v>
      </c>
      <c r="V62">
        <v>2</v>
      </c>
      <c r="W62" t="s">
        <v>89</v>
      </c>
      <c r="AA62" t="s">
        <v>63</v>
      </c>
      <c r="AB62">
        <v>2</v>
      </c>
      <c r="AD62">
        <v>1</v>
      </c>
      <c r="AE62" t="s">
        <v>72</v>
      </c>
      <c r="AF62" t="s">
        <v>95</v>
      </c>
      <c r="AG62" t="s">
        <v>104</v>
      </c>
      <c r="AI62">
        <v>11</v>
      </c>
      <c r="AJ62">
        <v>46</v>
      </c>
    </row>
    <row r="63" spans="1:36" x14ac:dyDescent="0.25">
      <c r="A63" t="s">
        <v>491</v>
      </c>
      <c r="B63">
        <v>68</v>
      </c>
      <c r="C63" t="s">
        <v>48</v>
      </c>
      <c r="D63">
        <v>1</v>
      </c>
      <c r="F63">
        <v>1</v>
      </c>
      <c r="G63" t="s">
        <v>49</v>
      </c>
      <c r="K63" t="s">
        <v>38</v>
      </c>
      <c r="L63">
        <v>3</v>
      </c>
      <c r="M63">
        <v>2</v>
      </c>
      <c r="N63">
        <v>2</v>
      </c>
      <c r="O63" t="s">
        <v>152</v>
      </c>
      <c r="P63" t="s">
        <v>96</v>
      </c>
      <c r="S63" t="s">
        <v>53</v>
      </c>
      <c r="T63">
        <v>3</v>
      </c>
      <c r="U63">
        <v>1</v>
      </c>
      <c r="V63">
        <v>1</v>
      </c>
      <c r="W63" t="s">
        <v>54</v>
      </c>
      <c r="X63" t="s">
        <v>83</v>
      </c>
      <c r="Y63" t="s">
        <v>97</v>
      </c>
      <c r="AA63" t="s">
        <v>45</v>
      </c>
      <c r="AB63">
        <v>2</v>
      </c>
      <c r="AD63">
        <v>1</v>
      </c>
      <c r="AE63" t="s">
        <v>86</v>
      </c>
      <c r="AI63">
        <v>10</v>
      </c>
      <c r="AJ63">
        <v>25</v>
      </c>
    </row>
    <row r="64" spans="1:36" x14ac:dyDescent="0.25">
      <c r="A64" t="s">
        <v>492</v>
      </c>
      <c r="B64">
        <v>69</v>
      </c>
      <c r="C64" t="s">
        <v>33</v>
      </c>
      <c r="D64">
        <v>1</v>
      </c>
      <c r="F64">
        <v>3</v>
      </c>
      <c r="G64" t="s">
        <v>34</v>
      </c>
      <c r="H64" t="s">
        <v>66</v>
      </c>
      <c r="I64" t="s">
        <v>36</v>
      </c>
      <c r="K64" t="s">
        <v>43</v>
      </c>
      <c r="L64">
        <v>2</v>
      </c>
      <c r="N64">
        <v>2</v>
      </c>
      <c r="O64" t="s">
        <v>135</v>
      </c>
      <c r="P64" t="s">
        <v>74</v>
      </c>
      <c r="Q64" t="s">
        <v>100</v>
      </c>
      <c r="S64" t="s">
        <v>53</v>
      </c>
      <c r="T64">
        <v>1</v>
      </c>
      <c r="U64">
        <v>1</v>
      </c>
      <c r="V64">
        <v>1</v>
      </c>
      <c r="W64" t="s">
        <v>111</v>
      </c>
      <c r="X64" t="s">
        <v>113</v>
      </c>
      <c r="AA64" t="s">
        <v>45</v>
      </c>
      <c r="AB64">
        <v>3</v>
      </c>
      <c r="AD64">
        <v>3</v>
      </c>
      <c r="AE64" t="s">
        <v>140</v>
      </c>
      <c r="AI64">
        <v>13</v>
      </c>
      <c r="AJ64">
        <v>29</v>
      </c>
    </row>
    <row r="65" spans="1:36" x14ac:dyDescent="0.25">
      <c r="A65" t="s">
        <v>493</v>
      </c>
      <c r="B65">
        <v>70</v>
      </c>
      <c r="C65" t="s">
        <v>33</v>
      </c>
      <c r="D65">
        <v>1</v>
      </c>
      <c r="F65">
        <v>3</v>
      </c>
      <c r="G65" t="s">
        <v>34</v>
      </c>
      <c r="H65" t="s">
        <v>66</v>
      </c>
      <c r="I65" t="s">
        <v>36</v>
      </c>
      <c r="J65" t="s">
        <v>133</v>
      </c>
      <c r="K65" t="s">
        <v>63</v>
      </c>
      <c r="L65">
        <v>1</v>
      </c>
      <c r="N65">
        <v>2</v>
      </c>
      <c r="O65" t="s">
        <v>103</v>
      </c>
      <c r="P65" t="s">
        <v>95</v>
      </c>
      <c r="Q65" t="s">
        <v>147</v>
      </c>
      <c r="S65" t="s">
        <v>53</v>
      </c>
      <c r="T65">
        <v>3</v>
      </c>
      <c r="U65">
        <v>1</v>
      </c>
      <c r="V65">
        <v>1</v>
      </c>
      <c r="W65" t="s">
        <v>111</v>
      </c>
      <c r="X65" t="s">
        <v>55</v>
      </c>
      <c r="Y65" t="s">
        <v>105</v>
      </c>
      <c r="AA65" t="s">
        <v>45</v>
      </c>
      <c r="AB65">
        <v>2</v>
      </c>
      <c r="AD65">
        <v>1</v>
      </c>
      <c r="AE65" t="s">
        <v>86</v>
      </c>
      <c r="AI65">
        <v>13</v>
      </c>
      <c r="AJ65">
        <v>38</v>
      </c>
    </row>
    <row r="66" spans="1:36" x14ac:dyDescent="0.25">
      <c r="A66" t="s">
        <v>494</v>
      </c>
      <c r="B66">
        <v>71</v>
      </c>
      <c r="C66" t="s">
        <v>33</v>
      </c>
      <c r="D66">
        <v>3</v>
      </c>
      <c r="F66">
        <v>1</v>
      </c>
      <c r="G66" t="s">
        <v>65</v>
      </c>
      <c r="K66" t="s">
        <v>38</v>
      </c>
      <c r="L66">
        <v>3</v>
      </c>
      <c r="M66">
        <v>1</v>
      </c>
      <c r="N66">
        <v>2</v>
      </c>
      <c r="O66" t="s">
        <v>152</v>
      </c>
      <c r="S66" t="s">
        <v>53</v>
      </c>
      <c r="T66">
        <v>2</v>
      </c>
      <c r="U66">
        <v>1</v>
      </c>
      <c r="V66">
        <v>1</v>
      </c>
      <c r="W66" t="s">
        <v>54</v>
      </c>
      <c r="X66" t="s">
        <v>83</v>
      </c>
      <c r="Y66" t="s">
        <v>97</v>
      </c>
      <c r="AA66" t="s">
        <v>45</v>
      </c>
      <c r="AB66">
        <v>2</v>
      </c>
      <c r="AD66">
        <v>1</v>
      </c>
      <c r="AE66" t="s">
        <v>140</v>
      </c>
      <c r="AI66">
        <v>9</v>
      </c>
      <c r="AJ66">
        <v>27</v>
      </c>
    </row>
    <row r="67" spans="1:36" x14ac:dyDescent="0.25">
      <c r="A67" t="s">
        <v>495</v>
      </c>
      <c r="B67">
        <v>72</v>
      </c>
      <c r="C67" t="s">
        <v>53</v>
      </c>
      <c r="D67">
        <v>2</v>
      </c>
      <c r="E67">
        <v>1</v>
      </c>
      <c r="F67">
        <v>2</v>
      </c>
      <c r="G67" t="s">
        <v>54</v>
      </c>
      <c r="K67" t="s">
        <v>45</v>
      </c>
      <c r="L67">
        <v>3</v>
      </c>
      <c r="N67">
        <v>1</v>
      </c>
      <c r="O67" t="s">
        <v>86</v>
      </c>
      <c r="S67" t="s">
        <v>43</v>
      </c>
      <c r="T67">
        <v>1</v>
      </c>
      <c r="V67">
        <v>1</v>
      </c>
      <c r="W67" t="s">
        <v>73</v>
      </c>
      <c r="X67" t="s">
        <v>74</v>
      </c>
      <c r="Y67" t="s">
        <v>75</v>
      </c>
      <c r="AA67" t="s">
        <v>63</v>
      </c>
      <c r="AB67">
        <v>2</v>
      </c>
      <c r="AD67">
        <v>1</v>
      </c>
      <c r="AE67" t="s">
        <v>72</v>
      </c>
      <c r="AF67" t="s">
        <v>95</v>
      </c>
      <c r="AG67" t="s">
        <v>104</v>
      </c>
      <c r="AI67">
        <v>10</v>
      </c>
      <c r="AJ67">
        <v>27</v>
      </c>
    </row>
    <row r="68" spans="1:36" x14ac:dyDescent="0.25">
      <c r="A68" t="s">
        <v>496</v>
      </c>
      <c r="B68">
        <v>73</v>
      </c>
      <c r="C68" t="s">
        <v>43</v>
      </c>
      <c r="D68">
        <v>2</v>
      </c>
      <c r="F68">
        <v>1</v>
      </c>
      <c r="G68" t="s">
        <v>73</v>
      </c>
      <c r="H68" t="s">
        <v>136</v>
      </c>
      <c r="K68" t="s">
        <v>38</v>
      </c>
      <c r="L68">
        <v>3</v>
      </c>
      <c r="M68">
        <v>1</v>
      </c>
      <c r="N68">
        <v>2</v>
      </c>
      <c r="O68" t="s">
        <v>152</v>
      </c>
      <c r="P68" t="s">
        <v>96</v>
      </c>
      <c r="Q68" t="s">
        <v>41</v>
      </c>
      <c r="S68" t="s">
        <v>53</v>
      </c>
      <c r="T68">
        <v>2</v>
      </c>
      <c r="U68">
        <v>2</v>
      </c>
      <c r="V68">
        <v>1</v>
      </c>
      <c r="W68" t="s">
        <v>111</v>
      </c>
      <c r="X68" t="s">
        <v>83</v>
      </c>
      <c r="Y68" t="s">
        <v>105</v>
      </c>
      <c r="AA68" t="s">
        <v>45</v>
      </c>
      <c r="AB68">
        <v>2</v>
      </c>
      <c r="AD68">
        <v>1</v>
      </c>
      <c r="AE68" t="s">
        <v>140</v>
      </c>
      <c r="AI68">
        <v>13</v>
      </c>
      <c r="AJ68">
        <v>30</v>
      </c>
    </row>
    <row r="69" spans="1:36" x14ac:dyDescent="0.25">
      <c r="A69" t="s">
        <v>497</v>
      </c>
      <c r="B69">
        <v>74</v>
      </c>
      <c r="C69" t="s">
        <v>63</v>
      </c>
      <c r="D69">
        <v>1</v>
      </c>
      <c r="F69">
        <v>2</v>
      </c>
      <c r="G69" t="s">
        <v>103</v>
      </c>
      <c r="H69" t="s">
        <v>95</v>
      </c>
      <c r="I69" t="s">
        <v>147</v>
      </c>
      <c r="J69" t="s">
        <v>150</v>
      </c>
      <c r="K69" t="s">
        <v>38</v>
      </c>
      <c r="L69">
        <v>1</v>
      </c>
      <c r="M69">
        <v>2</v>
      </c>
      <c r="N69">
        <v>1</v>
      </c>
      <c r="O69" t="s">
        <v>152</v>
      </c>
      <c r="S69" t="s">
        <v>53</v>
      </c>
      <c r="T69">
        <v>2</v>
      </c>
      <c r="U69">
        <v>1</v>
      </c>
      <c r="V69">
        <v>1</v>
      </c>
      <c r="W69" t="s">
        <v>54</v>
      </c>
      <c r="X69" t="s">
        <v>83</v>
      </c>
      <c r="Y69" t="s">
        <v>97</v>
      </c>
      <c r="Z69" t="s">
        <v>98</v>
      </c>
      <c r="AA69" t="s">
        <v>45</v>
      </c>
      <c r="AB69">
        <v>2</v>
      </c>
      <c r="AD69">
        <v>1</v>
      </c>
      <c r="AE69" t="s">
        <v>47</v>
      </c>
      <c r="AI69">
        <v>10</v>
      </c>
      <c r="AJ69">
        <v>27</v>
      </c>
    </row>
    <row r="70" spans="1:36" x14ac:dyDescent="0.25">
      <c r="A70" t="s">
        <v>498</v>
      </c>
      <c r="B70">
        <v>75</v>
      </c>
      <c r="C70" t="s">
        <v>56</v>
      </c>
      <c r="D70">
        <v>2</v>
      </c>
      <c r="F70">
        <v>1</v>
      </c>
      <c r="G70" t="s">
        <v>57</v>
      </c>
      <c r="H70" t="s">
        <v>122</v>
      </c>
      <c r="I70" t="s">
        <v>85</v>
      </c>
      <c r="K70" t="s">
        <v>48</v>
      </c>
      <c r="L70">
        <v>3</v>
      </c>
      <c r="N70">
        <v>1</v>
      </c>
      <c r="O70" t="s">
        <v>49</v>
      </c>
      <c r="P70" t="s">
        <v>84</v>
      </c>
      <c r="Q70" t="s">
        <v>51</v>
      </c>
      <c r="S70" t="s">
        <v>53</v>
      </c>
      <c r="T70">
        <v>2</v>
      </c>
      <c r="U70">
        <v>1</v>
      </c>
      <c r="V70">
        <v>1</v>
      </c>
      <c r="W70" t="s">
        <v>54</v>
      </c>
      <c r="AA70" t="s">
        <v>63</v>
      </c>
      <c r="AB70">
        <v>3</v>
      </c>
      <c r="AD70">
        <v>1</v>
      </c>
      <c r="AE70" t="s">
        <v>72</v>
      </c>
      <c r="AF70" t="s">
        <v>146</v>
      </c>
      <c r="AI70">
        <v>11</v>
      </c>
      <c r="AJ70">
        <v>34</v>
      </c>
    </row>
    <row r="71" spans="1:36" x14ac:dyDescent="0.25">
      <c r="A71" t="s">
        <v>499</v>
      </c>
      <c r="B71">
        <v>76</v>
      </c>
      <c r="C71" t="s">
        <v>56</v>
      </c>
      <c r="D71">
        <v>1</v>
      </c>
      <c r="F71">
        <v>1</v>
      </c>
      <c r="G71" t="s">
        <v>57</v>
      </c>
      <c r="H71" t="s">
        <v>122</v>
      </c>
      <c r="I71" t="s">
        <v>85</v>
      </c>
      <c r="K71" t="s">
        <v>33</v>
      </c>
      <c r="L71">
        <v>2</v>
      </c>
      <c r="N71">
        <v>3</v>
      </c>
      <c r="O71" t="s">
        <v>34</v>
      </c>
      <c r="P71" t="s">
        <v>66</v>
      </c>
      <c r="Q71" t="s">
        <v>36</v>
      </c>
      <c r="S71" t="s">
        <v>53</v>
      </c>
      <c r="T71">
        <v>1</v>
      </c>
      <c r="U71">
        <v>2</v>
      </c>
      <c r="V71">
        <v>1</v>
      </c>
      <c r="W71" t="s">
        <v>111</v>
      </c>
      <c r="X71" t="s">
        <v>83</v>
      </c>
      <c r="AA71" t="s">
        <v>63</v>
      </c>
      <c r="AB71">
        <v>3</v>
      </c>
      <c r="AD71">
        <v>1</v>
      </c>
      <c r="AE71" t="s">
        <v>72</v>
      </c>
      <c r="AF71" t="s">
        <v>91</v>
      </c>
      <c r="AG71" t="s">
        <v>104</v>
      </c>
      <c r="AI71">
        <v>13</v>
      </c>
      <c r="AJ71">
        <v>34</v>
      </c>
    </row>
    <row r="72" spans="1:36" x14ac:dyDescent="0.25">
      <c r="A72" t="s">
        <v>500</v>
      </c>
      <c r="B72">
        <v>77</v>
      </c>
      <c r="C72" t="s">
        <v>56</v>
      </c>
      <c r="D72">
        <v>1</v>
      </c>
      <c r="F72">
        <v>1</v>
      </c>
      <c r="G72" t="s">
        <v>57</v>
      </c>
      <c r="K72" t="s">
        <v>43</v>
      </c>
      <c r="L72">
        <v>2</v>
      </c>
      <c r="N72">
        <v>1</v>
      </c>
      <c r="O72" t="s">
        <v>73</v>
      </c>
      <c r="P72" t="s">
        <v>74</v>
      </c>
      <c r="Q72" t="s">
        <v>75</v>
      </c>
      <c r="S72" t="s">
        <v>53</v>
      </c>
      <c r="T72">
        <v>2</v>
      </c>
      <c r="U72">
        <v>1</v>
      </c>
      <c r="V72">
        <v>1</v>
      </c>
      <c r="W72" t="s">
        <v>54</v>
      </c>
      <c r="X72" t="s">
        <v>83</v>
      </c>
      <c r="AA72" t="s">
        <v>63</v>
      </c>
      <c r="AB72">
        <v>2</v>
      </c>
      <c r="AD72">
        <v>1</v>
      </c>
      <c r="AE72" t="s">
        <v>72</v>
      </c>
      <c r="AF72" t="s">
        <v>95</v>
      </c>
      <c r="AG72" t="s">
        <v>147</v>
      </c>
      <c r="AI72">
        <v>8</v>
      </c>
      <c r="AJ72">
        <v>25</v>
      </c>
    </row>
    <row r="73" spans="1:36" x14ac:dyDescent="0.25">
      <c r="A73" t="s">
        <v>501</v>
      </c>
      <c r="B73">
        <v>78</v>
      </c>
      <c r="C73" t="s">
        <v>56</v>
      </c>
      <c r="D73">
        <v>3</v>
      </c>
      <c r="F73">
        <v>1</v>
      </c>
      <c r="G73" t="s">
        <v>57</v>
      </c>
      <c r="H73" t="s">
        <v>122</v>
      </c>
      <c r="K73" t="s">
        <v>45</v>
      </c>
      <c r="L73">
        <v>3</v>
      </c>
      <c r="N73">
        <v>1</v>
      </c>
      <c r="O73" t="s">
        <v>47</v>
      </c>
      <c r="S73" t="s">
        <v>53</v>
      </c>
      <c r="T73">
        <v>1</v>
      </c>
      <c r="U73">
        <v>1</v>
      </c>
      <c r="V73">
        <v>1</v>
      </c>
      <c r="W73" t="s">
        <v>54</v>
      </c>
      <c r="AA73" t="s">
        <v>63</v>
      </c>
      <c r="AB73">
        <v>3</v>
      </c>
      <c r="AD73">
        <v>2</v>
      </c>
      <c r="AE73" t="s">
        <v>72</v>
      </c>
      <c r="AF73" t="s">
        <v>146</v>
      </c>
      <c r="AI73">
        <v>9</v>
      </c>
      <c r="AJ73">
        <v>30</v>
      </c>
    </row>
    <row r="74" spans="1:36" x14ac:dyDescent="0.25">
      <c r="A74" t="s">
        <v>502</v>
      </c>
      <c r="B74">
        <v>79</v>
      </c>
      <c r="C74" t="s">
        <v>53</v>
      </c>
      <c r="D74">
        <v>2</v>
      </c>
      <c r="E74">
        <v>1</v>
      </c>
      <c r="F74">
        <v>1</v>
      </c>
      <c r="G74" t="s">
        <v>54</v>
      </c>
      <c r="H74" t="s">
        <v>83</v>
      </c>
      <c r="K74" t="s">
        <v>63</v>
      </c>
      <c r="L74">
        <v>1</v>
      </c>
      <c r="N74">
        <v>1</v>
      </c>
      <c r="O74" t="s">
        <v>72</v>
      </c>
      <c r="P74" t="s">
        <v>95</v>
      </c>
      <c r="S74" t="s">
        <v>56</v>
      </c>
      <c r="T74">
        <v>1</v>
      </c>
      <c r="V74">
        <v>1</v>
      </c>
      <c r="W74" t="s">
        <v>57</v>
      </c>
      <c r="X74" t="s">
        <v>121</v>
      </c>
      <c r="Y74" t="s">
        <v>85</v>
      </c>
      <c r="AA74" t="s">
        <v>38</v>
      </c>
      <c r="AB74">
        <v>3</v>
      </c>
      <c r="AC74">
        <v>1</v>
      </c>
      <c r="AD74">
        <v>1</v>
      </c>
      <c r="AE74" t="s">
        <v>152</v>
      </c>
      <c r="AI74">
        <v>7</v>
      </c>
      <c r="AJ74">
        <v>24</v>
      </c>
    </row>
    <row r="75" spans="1:36" x14ac:dyDescent="0.25">
      <c r="A75" t="s">
        <v>503</v>
      </c>
      <c r="B75">
        <v>80</v>
      </c>
      <c r="C75" t="s">
        <v>48</v>
      </c>
      <c r="D75">
        <v>3</v>
      </c>
      <c r="F75">
        <v>1</v>
      </c>
      <c r="G75" t="s">
        <v>49</v>
      </c>
      <c r="H75" t="s">
        <v>84</v>
      </c>
      <c r="K75" t="s">
        <v>33</v>
      </c>
      <c r="L75">
        <v>2</v>
      </c>
      <c r="N75">
        <v>2</v>
      </c>
      <c r="O75" t="s">
        <v>34</v>
      </c>
      <c r="S75" t="s">
        <v>53</v>
      </c>
      <c r="T75">
        <v>2</v>
      </c>
      <c r="U75">
        <v>1</v>
      </c>
      <c r="V75">
        <v>1</v>
      </c>
      <c r="W75" t="s">
        <v>111</v>
      </c>
      <c r="X75" t="s">
        <v>83</v>
      </c>
      <c r="AA75" t="s">
        <v>63</v>
      </c>
      <c r="AB75">
        <v>1</v>
      </c>
      <c r="AD75">
        <v>1</v>
      </c>
      <c r="AE75" t="s">
        <v>72</v>
      </c>
      <c r="AF75" t="s">
        <v>95</v>
      </c>
      <c r="AI75">
        <v>9</v>
      </c>
      <c r="AJ75">
        <v>29</v>
      </c>
    </row>
    <row r="76" spans="1:36" x14ac:dyDescent="0.25">
      <c r="A76" t="s">
        <v>504</v>
      </c>
      <c r="B76">
        <v>81</v>
      </c>
      <c r="C76" t="s">
        <v>53</v>
      </c>
      <c r="D76">
        <v>2</v>
      </c>
      <c r="E76">
        <v>2</v>
      </c>
      <c r="F76">
        <v>3</v>
      </c>
      <c r="G76" t="s">
        <v>54</v>
      </c>
      <c r="H76" t="s">
        <v>83</v>
      </c>
      <c r="K76" t="s">
        <v>63</v>
      </c>
      <c r="L76">
        <v>2</v>
      </c>
      <c r="N76">
        <v>1</v>
      </c>
      <c r="O76" t="s">
        <v>72</v>
      </c>
      <c r="S76" t="s">
        <v>48</v>
      </c>
      <c r="T76">
        <v>1</v>
      </c>
      <c r="V76">
        <v>1</v>
      </c>
      <c r="W76" t="s">
        <v>49</v>
      </c>
      <c r="X76" t="s">
        <v>50</v>
      </c>
      <c r="AA76" t="s">
        <v>43</v>
      </c>
      <c r="AB76">
        <v>3</v>
      </c>
      <c r="AD76">
        <v>2</v>
      </c>
      <c r="AE76" t="s">
        <v>44</v>
      </c>
      <c r="AF76" t="s">
        <v>74</v>
      </c>
      <c r="AG76" t="s">
        <v>75</v>
      </c>
      <c r="AI76">
        <v>12</v>
      </c>
      <c r="AJ76">
        <v>35</v>
      </c>
    </row>
    <row r="77" spans="1:36" x14ac:dyDescent="0.25">
      <c r="A77" t="s">
        <v>505</v>
      </c>
      <c r="B77">
        <v>82</v>
      </c>
      <c r="C77" t="s">
        <v>53</v>
      </c>
      <c r="D77">
        <v>2</v>
      </c>
      <c r="E77">
        <v>1</v>
      </c>
      <c r="F77">
        <v>1</v>
      </c>
      <c r="G77" t="s">
        <v>54</v>
      </c>
      <c r="H77" t="s">
        <v>83</v>
      </c>
      <c r="I77" t="s">
        <v>105</v>
      </c>
      <c r="K77" t="s">
        <v>63</v>
      </c>
      <c r="L77">
        <v>2</v>
      </c>
      <c r="N77">
        <v>1</v>
      </c>
      <c r="O77" t="s">
        <v>72</v>
      </c>
      <c r="P77" t="s">
        <v>91</v>
      </c>
      <c r="S77" t="s">
        <v>48</v>
      </c>
      <c r="T77">
        <v>2</v>
      </c>
      <c r="V77">
        <v>1</v>
      </c>
      <c r="W77" t="s">
        <v>49</v>
      </c>
      <c r="AA77" t="s">
        <v>45</v>
      </c>
      <c r="AB77">
        <v>3</v>
      </c>
      <c r="AD77">
        <v>1</v>
      </c>
      <c r="AE77" t="s">
        <v>47</v>
      </c>
      <c r="AF77" t="s">
        <v>92</v>
      </c>
      <c r="AG77" t="s">
        <v>142</v>
      </c>
      <c r="AI77">
        <v>10</v>
      </c>
      <c r="AJ77">
        <v>26</v>
      </c>
    </row>
    <row r="78" spans="1:36" x14ac:dyDescent="0.25">
      <c r="A78" t="s">
        <v>506</v>
      </c>
      <c r="B78">
        <v>83</v>
      </c>
      <c r="C78" t="s">
        <v>48</v>
      </c>
      <c r="D78">
        <v>3</v>
      </c>
      <c r="F78">
        <v>1</v>
      </c>
      <c r="G78" t="s">
        <v>49</v>
      </c>
      <c r="H78" t="s">
        <v>50</v>
      </c>
      <c r="I78" t="s">
        <v>51</v>
      </c>
      <c r="K78" t="s">
        <v>38</v>
      </c>
      <c r="L78">
        <v>1</v>
      </c>
      <c r="M78">
        <v>2</v>
      </c>
      <c r="N78">
        <v>1</v>
      </c>
      <c r="O78" t="s">
        <v>152</v>
      </c>
      <c r="S78" t="s">
        <v>53</v>
      </c>
      <c r="T78">
        <v>2</v>
      </c>
      <c r="U78">
        <v>2</v>
      </c>
      <c r="V78">
        <v>1</v>
      </c>
      <c r="W78" t="s">
        <v>54</v>
      </c>
      <c r="X78" t="s">
        <v>83</v>
      </c>
      <c r="AA78" t="s">
        <v>63</v>
      </c>
      <c r="AB78">
        <v>1</v>
      </c>
      <c r="AD78">
        <v>1</v>
      </c>
      <c r="AE78" t="s">
        <v>72</v>
      </c>
      <c r="AF78" t="s">
        <v>95</v>
      </c>
      <c r="AI78">
        <v>9</v>
      </c>
      <c r="AJ78">
        <v>31</v>
      </c>
    </row>
    <row r="79" spans="1:36" x14ac:dyDescent="0.25">
      <c r="A79" t="s">
        <v>507</v>
      </c>
      <c r="B79">
        <v>84</v>
      </c>
      <c r="C79" t="s">
        <v>33</v>
      </c>
      <c r="D79">
        <v>1</v>
      </c>
      <c r="F79">
        <v>3</v>
      </c>
      <c r="G79" t="s">
        <v>34</v>
      </c>
      <c r="H79" t="s">
        <v>66</v>
      </c>
      <c r="K79" t="s">
        <v>43</v>
      </c>
      <c r="L79">
        <v>2</v>
      </c>
      <c r="N79">
        <v>1</v>
      </c>
      <c r="O79" t="s">
        <v>73</v>
      </c>
      <c r="P79" t="s">
        <v>99</v>
      </c>
      <c r="Q79" t="s">
        <v>75</v>
      </c>
      <c r="S79" t="s">
        <v>53</v>
      </c>
      <c r="T79">
        <v>1</v>
      </c>
      <c r="U79">
        <v>1</v>
      </c>
      <c r="V79">
        <v>2</v>
      </c>
      <c r="W79" t="s">
        <v>111</v>
      </c>
      <c r="X79" t="s">
        <v>83</v>
      </c>
      <c r="Y79" t="s">
        <v>105</v>
      </c>
      <c r="AA79" t="s">
        <v>63</v>
      </c>
      <c r="AB79">
        <v>1</v>
      </c>
      <c r="AD79">
        <v>1</v>
      </c>
      <c r="AE79" t="s">
        <v>72</v>
      </c>
      <c r="AF79" t="s">
        <v>95</v>
      </c>
      <c r="AI79">
        <v>10</v>
      </c>
      <c r="AJ79">
        <v>30</v>
      </c>
    </row>
    <row r="80" spans="1:36" x14ac:dyDescent="0.25">
      <c r="A80" t="s">
        <v>508</v>
      </c>
      <c r="B80">
        <v>85</v>
      </c>
      <c r="C80" t="s">
        <v>33</v>
      </c>
      <c r="D80">
        <v>2</v>
      </c>
      <c r="F80">
        <v>3</v>
      </c>
      <c r="G80" t="s">
        <v>34</v>
      </c>
      <c r="H80" t="s">
        <v>66</v>
      </c>
      <c r="K80" t="s">
        <v>45</v>
      </c>
      <c r="L80">
        <v>3</v>
      </c>
      <c r="N80">
        <v>1</v>
      </c>
      <c r="O80" t="s">
        <v>47</v>
      </c>
      <c r="S80" t="s">
        <v>53</v>
      </c>
      <c r="T80">
        <v>3</v>
      </c>
      <c r="U80">
        <v>1</v>
      </c>
      <c r="V80">
        <v>2</v>
      </c>
      <c r="W80" t="s">
        <v>54</v>
      </c>
      <c r="X80" t="s">
        <v>83</v>
      </c>
      <c r="Y80" t="s">
        <v>105</v>
      </c>
      <c r="AA80" t="s">
        <v>63</v>
      </c>
      <c r="AB80">
        <v>2</v>
      </c>
      <c r="AD80">
        <v>1</v>
      </c>
      <c r="AE80" t="s">
        <v>72</v>
      </c>
      <c r="AF80" t="s">
        <v>91</v>
      </c>
      <c r="AI80">
        <v>13</v>
      </c>
      <c r="AJ80">
        <v>31</v>
      </c>
    </row>
    <row r="81" spans="1:36" x14ac:dyDescent="0.25">
      <c r="A81" t="s">
        <v>509</v>
      </c>
      <c r="B81">
        <v>86</v>
      </c>
      <c r="C81" t="s">
        <v>33</v>
      </c>
      <c r="D81">
        <v>1</v>
      </c>
      <c r="F81">
        <v>3</v>
      </c>
      <c r="G81" t="s">
        <v>34</v>
      </c>
      <c r="H81" t="s">
        <v>35</v>
      </c>
      <c r="K81" t="s">
        <v>38</v>
      </c>
      <c r="L81">
        <v>1</v>
      </c>
      <c r="M81">
        <v>1</v>
      </c>
      <c r="N81">
        <v>1</v>
      </c>
      <c r="O81" t="s">
        <v>152</v>
      </c>
      <c r="P81" t="s">
        <v>96</v>
      </c>
      <c r="S81" t="s">
        <v>53</v>
      </c>
      <c r="T81">
        <v>3</v>
      </c>
      <c r="U81">
        <v>1</v>
      </c>
      <c r="V81">
        <v>1</v>
      </c>
      <c r="W81" t="s">
        <v>54</v>
      </c>
      <c r="X81" t="s">
        <v>83</v>
      </c>
      <c r="AA81" t="s">
        <v>63</v>
      </c>
      <c r="AB81">
        <v>1</v>
      </c>
      <c r="AD81">
        <v>1</v>
      </c>
      <c r="AE81" t="s">
        <v>72</v>
      </c>
      <c r="AF81" t="s">
        <v>95</v>
      </c>
      <c r="AI81">
        <v>8</v>
      </c>
      <c r="AJ81">
        <v>29</v>
      </c>
    </row>
    <row r="82" spans="1:36" x14ac:dyDescent="0.25">
      <c r="A82" t="s">
        <v>510</v>
      </c>
      <c r="B82">
        <v>87</v>
      </c>
      <c r="C82" t="s">
        <v>43</v>
      </c>
      <c r="D82">
        <v>1</v>
      </c>
      <c r="F82">
        <v>1</v>
      </c>
      <c r="G82" t="s">
        <v>73</v>
      </c>
      <c r="H82" t="s">
        <v>99</v>
      </c>
      <c r="I82" t="s">
        <v>100</v>
      </c>
      <c r="J82" t="s">
        <v>139</v>
      </c>
      <c r="K82" t="s">
        <v>45</v>
      </c>
      <c r="L82">
        <v>3</v>
      </c>
      <c r="N82">
        <v>1</v>
      </c>
      <c r="O82" t="s">
        <v>86</v>
      </c>
      <c r="P82" t="s">
        <v>141</v>
      </c>
      <c r="S82" t="s">
        <v>53</v>
      </c>
      <c r="T82">
        <v>1</v>
      </c>
      <c r="U82">
        <v>1</v>
      </c>
      <c r="V82">
        <v>1</v>
      </c>
      <c r="W82" t="s">
        <v>54</v>
      </c>
      <c r="AA82" t="s">
        <v>63</v>
      </c>
      <c r="AB82">
        <v>3</v>
      </c>
      <c r="AD82">
        <v>1</v>
      </c>
      <c r="AE82" t="s">
        <v>72</v>
      </c>
      <c r="AF82" t="s">
        <v>146</v>
      </c>
      <c r="AI82">
        <v>9</v>
      </c>
      <c r="AJ82">
        <v>39</v>
      </c>
    </row>
    <row r="83" spans="1:36" x14ac:dyDescent="0.25">
      <c r="A83" t="s">
        <v>511</v>
      </c>
      <c r="B83">
        <v>88</v>
      </c>
      <c r="C83" t="s">
        <v>43</v>
      </c>
      <c r="D83">
        <v>2</v>
      </c>
      <c r="F83">
        <v>2</v>
      </c>
      <c r="G83" t="s">
        <v>135</v>
      </c>
      <c r="H83" t="s">
        <v>74</v>
      </c>
      <c r="I83" t="s">
        <v>137</v>
      </c>
      <c r="K83" t="s">
        <v>38</v>
      </c>
      <c r="L83">
        <v>3</v>
      </c>
      <c r="M83">
        <v>1</v>
      </c>
      <c r="N83">
        <v>1</v>
      </c>
      <c r="O83" t="s">
        <v>152</v>
      </c>
      <c r="P83" t="s">
        <v>96</v>
      </c>
      <c r="S83" t="s">
        <v>53</v>
      </c>
      <c r="T83">
        <v>2</v>
      </c>
      <c r="U83">
        <v>1</v>
      </c>
      <c r="V83">
        <v>1</v>
      </c>
      <c r="W83" t="s">
        <v>54</v>
      </c>
      <c r="X83" t="s">
        <v>83</v>
      </c>
      <c r="AA83" t="s">
        <v>63</v>
      </c>
      <c r="AB83">
        <v>1</v>
      </c>
      <c r="AD83">
        <v>1</v>
      </c>
      <c r="AE83" t="s">
        <v>72</v>
      </c>
      <c r="AF83" t="s">
        <v>95</v>
      </c>
      <c r="AG83" t="s">
        <v>104</v>
      </c>
      <c r="AI83">
        <v>11</v>
      </c>
      <c r="AJ83">
        <v>31</v>
      </c>
    </row>
    <row r="84" spans="1:36" x14ac:dyDescent="0.25">
      <c r="A84" t="s">
        <v>512</v>
      </c>
      <c r="B84">
        <v>89</v>
      </c>
      <c r="C84" t="s">
        <v>45</v>
      </c>
      <c r="D84">
        <v>3</v>
      </c>
      <c r="F84">
        <v>3</v>
      </c>
      <c r="G84" t="s">
        <v>86</v>
      </c>
      <c r="H84" t="s">
        <v>76</v>
      </c>
      <c r="K84" t="s">
        <v>38</v>
      </c>
      <c r="L84">
        <v>3</v>
      </c>
      <c r="M84">
        <v>1</v>
      </c>
      <c r="N84">
        <v>2</v>
      </c>
      <c r="O84" t="s">
        <v>152</v>
      </c>
      <c r="P84" t="s">
        <v>70</v>
      </c>
      <c r="S84" t="s">
        <v>53</v>
      </c>
      <c r="T84">
        <v>3</v>
      </c>
      <c r="U84">
        <v>1</v>
      </c>
      <c r="V84">
        <v>1</v>
      </c>
      <c r="W84" t="s">
        <v>54</v>
      </c>
      <c r="X84" t="s">
        <v>83</v>
      </c>
      <c r="AA84" t="s">
        <v>63</v>
      </c>
      <c r="AB84">
        <v>2</v>
      </c>
      <c r="AD84">
        <v>1</v>
      </c>
      <c r="AE84" t="s">
        <v>72</v>
      </c>
      <c r="AI84">
        <v>13</v>
      </c>
      <c r="AJ84">
        <v>38</v>
      </c>
    </row>
    <row r="85" spans="1:36" x14ac:dyDescent="0.25">
      <c r="A85" t="s">
        <v>513</v>
      </c>
      <c r="B85">
        <v>90</v>
      </c>
      <c r="C85" t="s">
        <v>53</v>
      </c>
      <c r="D85">
        <v>2</v>
      </c>
      <c r="E85">
        <v>2</v>
      </c>
      <c r="F85">
        <v>2</v>
      </c>
      <c r="G85" t="s">
        <v>54</v>
      </c>
      <c r="H85" t="s">
        <v>83</v>
      </c>
      <c r="I85" t="s">
        <v>97</v>
      </c>
      <c r="K85" t="s">
        <v>38</v>
      </c>
      <c r="L85">
        <v>1</v>
      </c>
      <c r="M85">
        <v>3</v>
      </c>
      <c r="N85">
        <v>2</v>
      </c>
      <c r="O85" t="s">
        <v>152</v>
      </c>
      <c r="S85" t="s">
        <v>56</v>
      </c>
      <c r="T85">
        <v>3</v>
      </c>
      <c r="V85">
        <v>1</v>
      </c>
      <c r="W85" t="s">
        <v>57</v>
      </c>
      <c r="X85" t="s">
        <v>122</v>
      </c>
      <c r="Y85" t="s">
        <v>85</v>
      </c>
      <c r="AA85" t="s">
        <v>48</v>
      </c>
      <c r="AB85">
        <v>2</v>
      </c>
      <c r="AD85">
        <v>1</v>
      </c>
      <c r="AE85" t="s">
        <v>49</v>
      </c>
      <c r="AI85">
        <v>13</v>
      </c>
      <c r="AJ85">
        <v>32</v>
      </c>
    </row>
    <row r="86" spans="1:36" x14ac:dyDescent="0.25">
      <c r="A86" t="s">
        <v>514</v>
      </c>
      <c r="B86">
        <v>91</v>
      </c>
      <c r="C86" t="s">
        <v>56</v>
      </c>
      <c r="D86">
        <v>1</v>
      </c>
      <c r="F86">
        <v>1</v>
      </c>
      <c r="G86" t="s">
        <v>57</v>
      </c>
      <c r="H86" t="s">
        <v>122</v>
      </c>
      <c r="K86" t="s">
        <v>33</v>
      </c>
      <c r="L86">
        <v>1</v>
      </c>
      <c r="N86">
        <v>3</v>
      </c>
      <c r="O86" t="s">
        <v>65</v>
      </c>
      <c r="S86" t="s">
        <v>53</v>
      </c>
      <c r="T86">
        <v>3</v>
      </c>
      <c r="U86">
        <v>1</v>
      </c>
      <c r="V86">
        <v>1</v>
      </c>
      <c r="W86" t="s">
        <v>54</v>
      </c>
      <c r="AA86" t="s">
        <v>38</v>
      </c>
      <c r="AB86">
        <v>1</v>
      </c>
      <c r="AC86">
        <v>2</v>
      </c>
      <c r="AD86">
        <v>3</v>
      </c>
      <c r="AE86" t="s">
        <v>67</v>
      </c>
      <c r="AF86" t="s">
        <v>40</v>
      </c>
      <c r="AI86">
        <v>9</v>
      </c>
      <c r="AJ86">
        <v>33</v>
      </c>
    </row>
    <row r="87" spans="1:36" x14ac:dyDescent="0.25">
      <c r="A87" t="s">
        <v>515</v>
      </c>
      <c r="B87">
        <v>92</v>
      </c>
      <c r="C87" t="s">
        <v>53</v>
      </c>
      <c r="D87">
        <v>3</v>
      </c>
      <c r="E87">
        <v>2</v>
      </c>
      <c r="F87">
        <v>3</v>
      </c>
      <c r="G87" t="s">
        <v>54</v>
      </c>
      <c r="H87" t="s">
        <v>83</v>
      </c>
      <c r="K87" t="s">
        <v>38</v>
      </c>
      <c r="L87">
        <v>1</v>
      </c>
      <c r="M87">
        <v>1</v>
      </c>
      <c r="N87">
        <v>2</v>
      </c>
      <c r="O87" t="s">
        <v>67</v>
      </c>
      <c r="P87" t="s">
        <v>40</v>
      </c>
      <c r="S87" t="s">
        <v>56</v>
      </c>
      <c r="T87">
        <v>3</v>
      </c>
      <c r="V87">
        <v>3</v>
      </c>
      <c r="W87" t="s">
        <v>57</v>
      </c>
      <c r="X87" t="s">
        <v>121</v>
      </c>
      <c r="Y87" t="s">
        <v>85</v>
      </c>
      <c r="Z87" t="s">
        <v>88</v>
      </c>
      <c r="AA87" t="s">
        <v>43</v>
      </c>
      <c r="AB87">
        <v>1</v>
      </c>
      <c r="AD87">
        <v>1</v>
      </c>
      <c r="AE87" t="s">
        <v>73</v>
      </c>
      <c r="AF87" t="s">
        <v>74</v>
      </c>
      <c r="AI87">
        <v>16</v>
      </c>
      <c r="AJ87">
        <v>35</v>
      </c>
    </row>
    <row r="88" spans="1:36" x14ac:dyDescent="0.25">
      <c r="A88" t="s">
        <v>516</v>
      </c>
      <c r="B88">
        <v>93</v>
      </c>
      <c r="C88" t="s">
        <v>53</v>
      </c>
      <c r="D88">
        <v>2</v>
      </c>
      <c r="E88">
        <v>1</v>
      </c>
      <c r="F88">
        <v>1</v>
      </c>
      <c r="G88" t="s">
        <v>54</v>
      </c>
      <c r="K88" t="s">
        <v>38</v>
      </c>
      <c r="L88">
        <v>1</v>
      </c>
      <c r="M88">
        <v>1</v>
      </c>
      <c r="N88">
        <v>2</v>
      </c>
      <c r="O88" t="s">
        <v>67</v>
      </c>
      <c r="S88" t="s">
        <v>56</v>
      </c>
      <c r="T88">
        <v>2</v>
      </c>
      <c r="V88">
        <v>1</v>
      </c>
      <c r="W88" t="s">
        <v>57</v>
      </c>
      <c r="X88" t="s">
        <v>121</v>
      </c>
      <c r="AA88" t="s">
        <v>45</v>
      </c>
      <c r="AB88">
        <v>2</v>
      </c>
      <c r="AD88">
        <v>1</v>
      </c>
      <c r="AE88" t="s">
        <v>47</v>
      </c>
      <c r="AI88">
        <v>5</v>
      </c>
      <c r="AJ88">
        <v>19</v>
      </c>
    </row>
    <row r="89" spans="1:36" x14ac:dyDescent="0.25">
      <c r="A89" t="s">
        <v>517</v>
      </c>
      <c r="B89">
        <v>94</v>
      </c>
      <c r="C89" t="s">
        <v>53</v>
      </c>
      <c r="D89">
        <v>2</v>
      </c>
      <c r="E89">
        <v>2</v>
      </c>
      <c r="F89">
        <v>2</v>
      </c>
      <c r="G89" t="s">
        <v>54</v>
      </c>
      <c r="K89" t="s">
        <v>38</v>
      </c>
      <c r="L89">
        <v>3</v>
      </c>
      <c r="M89">
        <v>1</v>
      </c>
      <c r="N89">
        <v>2</v>
      </c>
      <c r="O89" t="s">
        <v>152</v>
      </c>
      <c r="S89" t="s">
        <v>56</v>
      </c>
      <c r="T89">
        <v>1</v>
      </c>
      <c r="V89">
        <v>1</v>
      </c>
      <c r="W89" t="s">
        <v>57</v>
      </c>
      <c r="X89" t="s">
        <v>122</v>
      </c>
      <c r="Y89" t="s">
        <v>85</v>
      </c>
      <c r="AA89" t="s">
        <v>63</v>
      </c>
      <c r="AB89">
        <v>1</v>
      </c>
      <c r="AD89">
        <v>2</v>
      </c>
      <c r="AE89" t="s">
        <v>103</v>
      </c>
      <c r="AF89" t="s">
        <v>95</v>
      </c>
      <c r="AG89" t="s">
        <v>147</v>
      </c>
      <c r="AI89">
        <v>11</v>
      </c>
      <c r="AJ89">
        <v>34</v>
      </c>
    </row>
    <row r="90" spans="1:36" x14ac:dyDescent="0.25">
      <c r="A90" t="s">
        <v>518</v>
      </c>
      <c r="B90">
        <v>95</v>
      </c>
      <c r="C90" t="s">
        <v>53</v>
      </c>
      <c r="D90">
        <v>2</v>
      </c>
      <c r="E90">
        <v>1</v>
      </c>
      <c r="F90">
        <v>1</v>
      </c>
      <c r="G90" t="s">
        <v>54</v>
      </c>
      <c r="H90" t="s">
        <v>113</v>
      </c>
      <c r="K90" t="s">
        <v>38</v>
      </c>
      <c r="L90">
        <v>3</v>
      </c>
      <c r="M90">
        <v>1</v>
      </c>
      <c r="N90">
        <v>2</v>
      </c>
      <c r="O90" t="s">
        <v>39</v>
      </c>
      <c r="S90" t="s">
        <v>48</v>
      </c>
      <c r="T90">
        <v>2</v>
      </c>
      <c r="V90">
        <v>1</v>
      </c>
      <c r="W90" t="s">
        <v>49</v>
      </c>
      <c r="X90" t="s">
        <v>84</v>
      </c>
      <c r="Y90" t="s">
        <v>127</v>
      </c>
      <c r="AA90" t="s">
        <v>33</v>
      </c>
      <c r="AB90">
        <v>2</v>
      </c>
      <c r="AD90">
        <v>2</v>
      </c>
      <c r="AE90" t="s">
        <v>65</v>
      </c>
      <c r="AF90" t="s">
        <v>35</v>
      </c>
      <c r="AG90" t="s">
        <v>36</v>
      </c>
      <c r="AI90">
        <v>12</v>
      </c>
      <c r="AJ90">
        <v>46</v>
      </c>
    </row>
    <row r="91" spans="1:36" x14ac:dyDescent="0.25">
      <c r="A91" t="s">
        <v>519</v>
      </c>
      <c r="B91">
        <v>96</v>
      </c>
      <c r="C91" t="s">
        <v>53</v>
      </c>
      <c r="D91">
        <v>3</v>
      </c>
      <c r="E91">
        <v>1</v>
      </c>
      <c r="F91">
        <v>1</v>
      </c>
      <c r="G91" t="s">
        <v>54</v>
      </c>
      <c r="H91" t="s">
        <v>83</v>
      </c>
      <c r="I91" t="s">
        <v>105</v>
      </c>
      <c r="K91" t="s">
        <v>38</v>
      </c>
      <c r="L91">
        <v>1</v>
      </c>
      <c r="M91">
        <v>1</v>
      </c>
      <c r="N91">
        <v>2</v>
      </c>
      <c r="O91" t="s">
        <v>67</v>
      </c>
      <c r="S91" t="s">
        <v>48</v>
      </c>
      <c r="T91">
        <v>3</v>
      </c>
      <c r="V91">
        <v>1</v>
      </c>
      <c r="W91" t="s">
        <v>49</v>
      </c>
      <c r="X91" t="s">
        <v>84</v>
      </c>
      <c r="AA91" t="s">
        <v>43</v>
      </c>
      <c r="AB91">
        <v>2</v>
      </c>
      <c r="AD91">
        <v>1</v>
      </c>
      <c r="AE91" t="s">
        <v>73</v>
      </c>
      <c r="AF91" t="s">
        <v>99</v>
      </c>
      <c r="AI91">
        <v>10</v>
      </c>
      <c r="AJ91">
        <v>27</v>
      </c>
    </row>
    <row r="92" spans="1:36" x14ac:dyDescent="0.25">
      <c r="A92" t="s">
        <v>520</v>
      </c>
      <c r="B92">
        <v>97</v>
      </c>
      <c r="C92" t="s">
        <v>48</v>
      </c>
      <c r="D92">
        <v>3</v>
      </c>
      <c r="F92">
        <v>2</v>
      </c>
      <c r="G92" t="s">
        <v>49</v>
      </c>
      <c r="H92" t="s">
        <v>84</v>
      </c>
      <c r="I92" t="s">
        <v>127</v>
      </c>
      <c r="K92" t="s">
        <v>45</v>
      </c>
      <c r="L92">
        <v>2</v>
      </c>
      <c r="N92">
        <v>1</v>
      </c>
      <c r="O92" t="s">
        <v>140</v>
      </c>
      <c r="S92" t="s">
        <v>53</v>
      </c>
      <c r="T92">
        <v>3</v>
      </c>
      <c r="U92">
        <v>2</v>
      </c>
      <c r="V92">
        <v>1</v>
      </c>
      <c r="W92" t="s">
        <v>54</v>
      </c>
      <c r="X92" t="s">
        <v>83</v>
      </c>
      <c r="Y92" t="s">
        <v>105</v>
      </c>
      <c r="AA92" t="s">
        <v>38</v>
      </c>
      <c r="AB92">
        <v>2</v>
      </c>
      <c r="AC92">
        <v>2</v>
      </c>
      <c r="AD92">
        <v>2</v>
      </c>
      <c r="AE92" t="s">
        <v>67</v>
      </c>
      <c r="AI92">
        <v>14</v>
      </c>
      <c r="AJ92">
        <v>37</v>
      </c>
    </row>
    <row r="93" spans="1:36" x14ac:dyDescent="0.25">
      <c r="A93" s="36" t="s">
        <v>521</v>
      </c>
      <c r="B93">
        <v>98</v>
      </c>
      <c r="C93" t="s">
        <v>53</v>
      </c>
      <c r="D93">
        <v>3</v>
      </c>
      <c r="E93">
        <v>1</v>
      </c>
      <c r="F93">
        <v>1</v>
      </c>
      <c r="G93" t="s">
        <v>54</v>
      </c>
      <c r="H93" t="s">
        <v>83</v>
      </c>
      <c r="K93" t="s">
        <v>38</v>
      </c>
      <c r="L93">
        <v>1</v>
      </c>
      <c r="M93">
        <v>2</v>
      </c>
      <c r="N93">
        <v>2</v>
      </c>
      <c r="O93" t="s">
        <v>152</v>
      </c>
      <c r="S93" t="s">
        <v>48</v>
      </c>
      <c r="T93">
        <v>3</v>
      </c>
      <c r="V93">
        <v>1</v>
      </c>
      <c r="W93" t="s">
        <v>49</v>
      </c>
      <c r="AA93" t="s">
        <v>63</v>
      </c>
      <c r="AB93">
        <v>1</v>
      </c>
      <c r="AD93">
        <v>1</v>
      </c>
      <c r="AE93" t="s">
        <v>103</v>
      </c>
      <c r="AF93" t="s">
        <v>95</v>
      </c>
      <c r="AI93">
        <v>8</v>
      </c>
      <c r="AJ93">
        <v>27</v>
      </c>
    </row>
    <row r="94" spans="1:36" x14ac:dyDescent="0.25">
      <c r="A94" t="s">
        <v>522</v>
      </c>
      <c r="B94">
        <v>99</v>
      </c>
      <c r="C94" t="s">
        <v>33</v>
      </c>
      <c r="D94">
        <v>3</v>
      </c>
      <c r="F94">
        <v>2</v>
      </c>
      <c r="G94" t="s">
        <v>65</v>
      </c>
      <c r="H94" t="s">
        <v>66</v>
      </c>
      <c r="K94" t="s">
        <v>43</v>
      </c>
      <c r="L94">
        <v>1</v>
      </c>
      <c r="N94">
        <v>1</v>
      </c>
      <c r="O94" t="s">
        <v>73</v>
      </c>
      <c r="P94" t="s">
        <v>99</v>
      </c>
      <c r="Q94" t="s">
        <v>137</v>
      </c>
      <c r="S94" t="s">
        <v>53</v>
      </c>
      <c r="T94">
        <v>1</v>
      </c>
      <c r="U94">
        <v>1</v>
      </c>
      <c r="V94">
        <v>1</v>
      </c>
      <c r="W94" t="s">
        <v>111</v>
      </c>
      <c r="X94" t="s">
        <v>113</v>
      </c>
      <c r="Y94" t="s">
        <v>105</v>
      </c>
      <c r="AA94" t="s">
        <v>38</v>
      </c>
      <c r="AB94">
        <v>1</v>
      </c>
      <c r="AC94">
        <v>3</v>
      </c>
      <c r="AD94">
        <v>3</v>
      </c>
      <c r="AE94" t="s">
        <v>39</v>
      </c>
      <c r="AF94" t="s">
        <v>40</v>
      </c>
      <c r="AI94">
        <v>13</v>
      </c>
      <c r="AJ94">
        <v>41</v>
      </c>
    </row>
    <row r="95" spans="1:36" x14ac:dyDescent="0.25">
      <c r="A95" t="s">
        <v>523</v>
      </c>
      <c r="B95">
        <v>100</v>
      </c>
      <c r="C95" t="s">
        <v>33</v>
      </c>
      <c r="D95">
        <v>2</v>
      </c>
      <c r="F95">
        <v>2</v>
      </c>
      <c r="G95" t="s">
        <v>65</v>
      </c>
      <c r="H95" t="s">
        <v>66</v>
      </c>
      <c r="K95" t="s">
        <v>45</v>
      </c>
      <c r="L95">
        <v>3</v>
      </c>
      <c r="N95">
        <v>1</v>
      </c>
      <c r="O95" t="s">
        <v>86</v>
      </c>
      <c r="P95" t="s">
        <v>76</v>
      </c>
      <c r="S95" t="s">
        <v>53</v>
      </c>
      <c r="T95">
        <v>3</v>
      </c>
      <c r="U95">
        <v>1</v>
      </c>
      <c r="V95">
        <v>2</v>
      </c>
      <c r="W95" t="s">
        <v>54</v>
      </c>
      <c r="X95" t="s">
        <v>83</v>
      </c>
      <c r="Y95" t="s">
        <v>97</v>
      </c>
      <c r="AA95" t="s">
        <v>38</v>
      </c>
      <c r="AB95">
        <v>1</v>
      </c>
      <c r="AC95">
        <v>1</v>
      </c>
      <c r="AD95">
        <v>3</v>
      </c>
      <c r="AE95" t="s">
        <v>39</v>
      </c>
      <c r="AI95">
        <v>13</v>
      </c>
      <c r="AJ95">
        <v>34</v>
      </c>
    </row>
    <row r="96" spans="1:36" x14ac:dyDescent="0.25">
      <c r="A96" t="s">
        <v>524</v>
      </c>
      <c r="B96">
        <v>101</v>
      </c>
      <c r="C96" t="s">
        <v>33</v>
      </c>
      <c r="D96">
        <v>2</v>
      </c>
      <c r="F96">
        <v>1</v>
      </c>
      <c r="G96" t="s">
        <v>65</v>
      </c>
      <c r="K96" t="s">
        <v>63</v>
      </c>
      <c r="L96">
        <v>1</v>
      </c>
      <c r="N96">
        <v>1</v>
      </c>
      <c r="O96" t="s">
        <v>103</v>
      </c>
      <c r="P96" t="s">
        <v>95</v>
      </c>
      <c r="S96" t="s">
        <v>53</v>
      </c>
      <c r="T96">
        <v>2</v>
      </c>
      <c r="U96">
        <v>1</v>
      </c>
      <c r="V96">
        <v>1</v>
      </c>
      <c r="W96" t="s">
        <v>54</v>
      </c>
      <c r="AA96" t="s">
        <v>38</v>
      </c>
      <c r="AB96">
        <v>1</v>
      </c>
      <c r="AC96">
        <v>1</v>
      </c>
      <c r="AD96">
        <v>3</v>
      </c>
      <c r="AE96" t="s">
        <v>39</v>
      </c>
      <c r="AF96" t="s">
        <v>70</v>
      </c>
      <c r="AI96">
        <v>6</v>
      </c>
      <c r="AJ96">
        <v>18</v>
      </c>
    </row>
    <row r="97" spans="1:36" x14ac:dyDescent="0.25">
      <c r="A97" t="s">
        <v>525</v>
      </c>
      <c r="B97">
        <v>102</v>
      </c>
      <c r="C97" t="s">
        <v>53</v>
      </c>
      <c r="D97">
        <v>2</v>
      </c>
      <c r="E97">
        <v>1</v>
      </c>
      <c r="F97">
        <v>1</v>
      </c>
      <c r="G97" t="s">
        <v>54</v>
      </c>
      <c r="H97" t="s">
        <v>83</v>
      </c>
      <c r="K97" t="s">
        <v>38</v>
      </c>
      <c r="L97">
        <v>1</v>
      </c>
      <c r="M97">
        <v>1</v>
      </c>
      <c r="N97">
        <v>2</v>
      </c>
      <c r="O97" t="s">
        <v>67</v>
      </c>
      <c r="P97" t="s">
        <v>70</v>
      </c>
      <c r="S97" t="s">
        <v>43</v>
      </c>
      <c r="T97">
        <v>1</v>
      </c>
      <c r="V97">
        <v>1</v>
      </c>
      <c r="W97" t="s">
        <v>73</v>
      </c>
      <c r="X97" t="s">
        <v>99</v>
      </c>
      <c r="Y97" t="s">
        <v>100</v>
      </c>
      <c r="AA97" t="s">
        <v>45</v>
      </c>
      <c r="AB97">
        <v>2</v>
      </c>
      <c r="AD97">
        <v>1</v>
      </c>
      <c r="AE97" t="s">
        <v>140</v>
      </c>
      <c r="AI97">
        <v>7</v>
      </c>
      <c r="AJ97">
        <v>24</v>
      </c>
    </row>
    <row r="98" spans="1:36" x14ac:dyDescent="0.25">
      <c r="A98" t="s">
        <v>526</v>
      </c>
      <c r="B98">
        <v>103</v>
      </c>
      <c r="C98" t="s">
        <v>43</v>
      </c>
      <c r="D98">
        <v>1</v>
      </c>
      <c r="F98">
        <v>2</v>
      </c>
      <c r="G98" t="s">
        <v>73</v>
      </c>
      <c r="H98" t="s">
        <v>99</v>
      </c>
      <c r="I98" t="s">
        <v>137</v>
      </c>
      <c r="K98" t="s">
        <v>63</v>
      </c>
      <c r="L98">
        <v>1</v>
      </c>
      <c r="N98">
        <v>1</v>
      </c>
      <c r="O98" t="s">
        <v>103</v>
      </c>
      <c r="P98" t="s">
        <v>95</v>
      </c>
      <c r="S98" t="s">
        <v>53</v>
      </c>
      <c r="T98">
        <v>1</v>
      </c>
      <c r="U98">
        <v>1</v>
      </c>
      <c r="V98">
        <v>1</v>
      </c>
      <c r="W98" t="s">
        <v>54</v>
      </c>
      <c r="X98" t="s">
        <v>83</v>
      </c>
      <c r="Y98" t="s">
        <v>105</v>
      </c>
      <c r="AA98" t="s">
        <v>38</v>
      </c>
      <c r="AB98">
        <v>1</v>
      </c>
      <c r="AC98">
        <v>2</v>
      </c>
      <c r="AD98">
        <v>2</v>
      </c>
      <c r="AE98" t="s">
        <v>67</v>
      </c>
      <c r="AI98">
        <v>8</v>
      </c>
      <c r="AJ98">
        <v>29</v>
      </c>
    </row>
    <row r="99" spans="1:36" x14ac:dyDescent="0.25">
      <c r="A99" t="s">
        <v>527</v>
      </c>
      <c r="B99">
        <v>104</v>
      </c>
      <c r="C99" t="s">
        <v>53</v>
      </c>
      <c r="D99">
        <v>3</v>
      </c>
      <c r="E99">
        <v>1</v>
      </c>
      <c r="F99">
        <v>1</v>
      </c>
      <c r="G99" t="s">
        <v>54</v>
      </c>
      <c r="H99" t="s">
        <v>55</v>
      </c>
      <c r="K99" t="s">
        <v>38</v>
      </c>
      <c r="L99">
        <v>3</v>
      </c>
      <c r="M99">
        <v>1</v>
      </c>
      <c r="N99">
        <v>1</v>
      </c>
      <c r="O99" t="s">
        <v>67</v>
      </c>
      <c r="S99" t="s">
        <v>45</v>
      </c>
      <c r="T99">
        <v>2</v>
      </c>
      <c r="V99">
        <v>2</v>
      </c>
      <c r="W99" t="s">
        <v>86</v>
      </c>
      <c r="AA99" t="s">
        <v>63</v>
      </c>
      <c r="AB99">
        <v>1</v>
      </c>
      <c r="AD99">
        <v>1</v>
      </c>
      <c r="AE99" t="s">
        <v>103</v>
      </c>
      <c r="AF99" t="s">
        <v>95</v>
      </c>
      <c r="AG99" t="s">
        <v>104</v>
      </c>
      <c r="AI99">
        <v>9</v>
      </c>
      <c r="AJ99">
        <v>24</v>
      </c>
    </row>
    <row r="100" spans="1:36" x14ac:dyDescent="0.25">
      <c r="A100" t="s">
        <v>528</v>
      </c>
      <c r="B100">
        <v>105</v>
      </c>
      <c r="C100" t="s">
        <v>33</v>
      </c>
      <c r="D100">
        <v>1</v>
      </c>
      <c r="F100">
        <v>3</v>
      </c>
      <c r="G100" t="s">
        <v>65</v>
      </c>
      <c r="H100" t="s">
        <v>130</v>
      </c>
      <c r="I100" t="s">
        <v>36</v>
      </c>
      <c r="J100" t="s">
        <v>133</v>
      </c>
      <c r="K100" t="s">
        <v>43</v>
      </c>
      <c r="L100">
        <v>1</v>
      </c>
      <c r="N100">
        <v>1</v>
      </c>
      <c r="O100" t="s">
        <v>73</v>
      </c>
      <c r="P100" t="s">
        <v>99</v>
      </c>
      <c r="S100" t="s">
        <v>56</v>
      </c>
      <c r="T100">
        <v>2</v>
      </c>
      <c r="V100">
        <v>1</v>
      </c>
      <c r="W100" t="s">
        <v>68</v>
      </c>
      <c r="AA100" t="s">
        <v>48</v>
      </c>
      <c r="AB100">
        <v>2</v>
      </c>
      <c r="AD100">
        <v>1</v>
      </c>
      <c r="AE100" t="s">
        <v>89</v>
      </c>
      <c r="AF100" t="s">
        <v>84</v>
      </c>
      <c r="AG100" t="s">
        <v>90</v>
      </c>
      <c r="AH100" t="s">
        <v>129</v>
      </c>
      <c r="AI100">
        <v>11</v>
      </c>
      <c r="AJ100">
        <v>31</v>
      </c>
    </row>
    <row r="101" spans="1:36" x14ac:dyDescent="0.25">
      <c r="A101" t="s">
        <v>529</v>
      </c>
      <c r="B101">
        <v>106</v>
      </c>
      <c r="C101" t="s">
        <v>33</v>
      </c>
      <c r="D101">
        <v>2</v>
      </c>
      <c r="F101">
        <v>3</v>
      </c>
      <c r="G101" t="s">
        <v>46</v>
      </c>
      <c r="K101" t="s">
        <v>45</v>
      </c>
      <c r="L101">
        <v>3</v>
      </c>
      <c r="N101">
        <v>1</v>
      </c>
      <c r="O101" t="s">
        <v>140</v>
      </c>
      <c r="S101" t="s">
        <v>56</v>
      </c>
      <c r="T101">
        <v>1</v>
      </c>
      <c r="V101">
        <v>1</v>
      </c>
      <c r="W101" t="s">
        <v>68</v>
      </c>
      <c r="AA101" t="s">
        <v>48</v>
      </c>
      <c r="AB101">
        <v>3</v>
      </c>
      <c r="AD101">
        <v>1</v>
      </c>
      <c r="AE101" t="s">
        <v>89</v>
      </c>
      <c r="AF101" t="s">
        <v>50</v>
      </c>
      <c r="AI101">
        <v>8</v>
      </c>
      <c r="AJ101">
        <v>25</v>
      </c>
    </row>
    <row r="102" spans="1:36" x14ac:dyDescent="0.25">
      <c r="A102" t="s">
        <v>530</v>
      </c>
      <c r="B102">
        <v>108</v>
      </c>
      <c r="C102" t="s">
        <v>56</v>
      </c>
      <c r="D102">
        <v>1</v>
      </c>
      <c r="F102">
        <v>1</v>
      </c>
      <c r="G102" t="s">
        <v>68</v>
      </c>
      <c r="K102" t="s">
        <v>48</v>
      </c>
      <c r="L102">
        <v>3</v>
      </c>
      <c r="N102">
        <v>1</v>
      </c>
      <c r="O102" t="s">
        <v>89</v>
      </c>
      <c r="P102" t="s">
        <v>50</v>
      </c>
      <c r="Q102" t="s">
        <v>127</v>
      </c>
      <c r="S102" t="s">
        <v>33</v>
      </c>
      <c r="T102">
        <v>2</v>
      </c>
      <c r="V102">
        <v>2</v>
      </c>
      <c r="W102" t="s">
        <v>34</v>
      </c>
      <c r="AA102" t="s">
        <v>38</v>
      </c>
      <c r="AB102">
        <v>3</v>
      </c>
      <c r="AC102">
        <v>1</v>
      </c>
      <c r="AD102">
        <v>1</v>
      </c>
      <c r="AE102" t="s">
        <v>152</v>
      </c>
      <c r="AI102">
        <v>8</v>
      </c>
      <c r="AJ102">
        <v>21</v>
      </c>
    </row>
    <row r="103" spans="1:36" x14ac:dyDescent="0.25">
      <c r="A103" t="s">
        <v>531</v>
      </c>
      <c r="B103">
        <v>109</v>
      </c>
      <c r="C103" t="s">
        <v>43</v>
      </c>
      <c r="D103">
        <v>2</v>
      </c>
      <c r="F103">
        <v>1</v>
      </c>
      <c r="G103" t="s">
        <v>73</v>
      </c>
      <c r="H103" t="s">
        <v>99</v>
      </c>
      <c r="I103" t="s">
        <v>75</v>
      </c>
      <c r="J103" t="s">
        <v>139</v>
      </c>
      <c r="K103" t="s">
        <v>45</v>
      </c>
      <c r="L103">
        <v>2</v>
      </c>
      <c r="N103">
        <v>1</v>
      </c>
      <c r="O103" t="s">
        <v>47</v>
      </c>
      <c r="P103" t="s">
        <v>92</v>
      </c>
      <c r="Q103" t="s">
        <v>102</v>
      </c>
      <c r="S103" t="s">
        <v>56</v>
      </c>
      <c r="T103">
        <v>3</v>
      </c>
      <c r="V103">
        <v>2</v>
      </c>
      <c r="W103" t="s">
        <v>68</v>
      </c>
      <c r="AA103" t="s">
        <v>48</v>
      </c>
      <c r="AB103">
        <v>3</v>
      </c>
      <c r="AD103">
        <v>1</v>
      </c>
      <c r="AE103" t="s">
        <v>89</v>
      </c>
      <c r="AI103">
        <v>12</v>
      </c>
      <c r="AJ103">
        <v>30</v>
      </c>
    </row>
    <row r="104" spans="1:36" x14ac:dyDescent="0.25">
      <c r="A104" t="s">
        <v>532</v>
      </c>
      <c r="B104">
        <v>110</v>
      </c>
      <c r="C104" t="s">
        <v>56</v>
      </c>
      <c r="D104">
        <v>2</v>
      </c>
      <c r="F104">
        <v>1</v>
      </c>
      <c r="G104" t="s">
        <v>57</v>
      </c>
      <c r="H104" t="s">
        <v>122</v>
      </c>
      <c r="I104" t="s">
        <v>85</v>
      </c>
      <c r="J104" t="s">
        <v>88</v>
      </c>
      <c r="K104" t="s">
        <v>48</v>
      </c>
      <c r="L104">
        <v>3</v>
      </c>
      <c r="N104">
        <v>1</v>
      </c>
      <c r="O104" t="s">
        <v>89</v>
      </c>
      <c r="S104" t="s">
        <v>43</v>
      </c>
      <c r="T104">
        <v>1</v>
      </c>
      <c r="V104">
        <v>1</v>
      </c>
      <c r="W104" t="s">
        <v>73</v>
      </c>
      <c r="X104" t="s">
        <v>74</v>
      </c>
      <c r="Y104" t="s">
        <v>75</v>
      </c>
      <c r="AA104" t="s">
        <v>63</v>
      </c>
      <c r="AB104">
        <v>2</v>
      </c>
      <c r="AD104">
        <v>1</v>
      </c>
      <c r="AE104" t="s">
        <v>103</v>
      </c>
      <c r="AF104" t="s">
        <v>95</v>
      </c>
      <c r="AG104" t="s">
        <v>104</v>
      </c>
      <c r="AI104">
        <v>11</v>
      </c>
      <c r="AJ104">
        <v>29</v>
      </c>
    </row>
    <row r="105" spans="1:36" x14ac:dyDescent="0.25">
      <c r="A105" t="s">
        <v>533</v>
      </c>
      <c r="B105">
        <v>111</v>
      </c>
      <c r="C105" t="s">
        <v>43</v>
      </c>
      <c r="D105">
        <v>3</v>
      </c>
      <c r="F105">
        <v>1</v>
      </c>
      <c r="G105" t="s">
        <v>73</v>
      </c>
      <c r="H105" t="s">
        <v>99</v>
      </c>
      <c r="I105" t="s">
        <v>137</v>
      </c>
      <c r="J105" t="s">
        <v>101</v>
      </c>
      <c r="K105" t="s">
        <v>38</v>
      </c>
      <c r="L105">
        <v>1</v>
      </c>
      <c r="M105">
        <v>1</v>
      </c>
      <c r="N105">
        <v>3</v>
      </c>
      <c r="O105" t="s">
        <v>67</v>
      </c>
      <c r="S105" t="s">
        <v>56</v>
      </c>
      <c r="T105">
        <v>1</v>
      </c>
      <c r="V105">
        <v>1</v>
      </c>
      <c r="W105" t="s">
        <v>68</v>
      </c>
      <c r="AA105" t="s">
        <v>48</v>
      </c>
      <c r="AB105">
        <v>3</v>
      </c>
      <c r="AD105">
        <v>3</v>
      </c>
      <c r="AE105" t="s">
        <v>89</v>
      </c>
      <c r="AI105">
        <v>11</v>
      </c>
      <c r="AJ105">
        <v>32</v>
      </c>
    </row>
    <row r="106" spans="1:36" x14ac:dyDescent="0.25">
      <c r="A106" t="s">
        <v>534</v>
      </c>
      <c r="B106">
        <v>107</v>
      </c>
      <c r="C106" t="s">
        <v>56</v>
      </c>
      <c r="D106">
        <v>1</v>
      </c>
      <c r="F106">
        <v>1</v>
      </c>
      <c r="G106" t="s">
        <v>68</v>
      </c>
      <c r="K106" t="s">
        <v>48</v>
      </c>
      <c r="L106">
        <v>3</v>
      </c>
      <c r="N106">
        <v>1</v>
      </c>
      <c r="O106" t="s">
        <v>89</v>
      </c>
      <c r="P106" t="s">
        <v>84</v>
      </c>
      <c r="S106" t="s">
        <v>33</v>
      </c>
      <c r="T106">
        <v>1</v>
      </c>
      <c r="V106">
        <v>2</v>
      </c>
      <c r="W106" t="s">
        <v>46</v>
      </c>
      <c r="AA106" t="s">
        <v>63</v>
      </c>
      <c r="AB106">
        <v>2</v>
      </c>
      <c r="AD106">
        <v>1</v>
      </c>
      <c r="AE106" t="s">
        <v>103</v>
      </c>
      <c r="AF106" t="s">
        <v>95</v>
      </c>
      <c r="AI106">
        <v>6</v>
      </c>
      <c r="AJ106">
        <v>25</v>
      </c>
    </row>
    <row r="107" spans="1:36" x14ac:dyDescent="0.25">
      <c r="A107" t="s">
        <v>535</v>
      </c>
      <c r="B107">
        <v>112</v>
      </c>
      <c r="C107" t="s">
        <v>45</v>
      </c>
      <c r="D107">
        <v>2</v>
      </c>
      <c r="F107">
        <v>1</v>
      </c>
      <c r="G107" t="s">
        <v>86</v>
      </c>
      <c r="K107" t="s">
        <v>63</v>
      </c>
      <c r="L107">
        <v>2</v>
      </c>
      <c r="N107">
        <v>1</v>
      </c>
      <c r="O107" t="s">
        <v>103</v>
      </c>
      <c r="P107" t="s">
        <v>95</v>
      </c>
      <c r="Q107" t="s">
        <v>147</v>
      </c>
      <c r="S107" t="s">
        <v>56</v>
      </c>
      <c r="T107">
        <v>3</v>
      </c>
      <c r="V107">
        <v>2</v>
      </c>
      <c r="W107" t="s">
        <v>68</v>
      </c>
      <c r="AA107" t="s">
        <v>48</v>
      </c>
      <c r="AB107">
        <v>3</v>
      </c>
      <c r="AD107">
        <v>1</v>
      </c>
      <c r="AE107" t="s">
        <v>49</v>
      </c>
      <c r="AI107">
        <v>9</v>
      </c>
      <c r="AJ107">
        <v>30</v>
      </c>
    </row>
    <row r="108" spans="1:36" x14ac:dyDescent="0.25">
      <c r="A108" t="s">
        <v>536</v>
      </c>
      <c r="B108">
        <v>113</v>
      </c>
      <c r="C108" t="s">
        <v>56</v>
      </c>
      <c r="D108">
        <v>1</v>
      </c>
      <c r="F108">
        <v>1</v>
      </c>
      <c r="G108" t="s">
        <v>68</v>
      </c>
      <c r="K108" t="s">
        <v>48</v>
      </c>
      <c r="L108">
        <v>3</v>
      </c>
      <c r="N108">
        <v>3</v>
      </c>
      <c r="O108" t="s">
        <v>89</v>
      </c>
      <c r="S108" t="s">
        <v>45</v>
      </c>
      <c r="T108">
        <v>3</v>
      </c>
      <c r="V108">
        <v>1</v>
      </c>
      <c r="W108" t="s">
        <v>86</v>
      </c>
      <c r="AA108" t="s">
        <v>38</v>
      </c>
      <c r="AB108">
        <v>3</v>
      </c>
      <c r="AC108">
        <v>1</v>
      </c>
      <c r="AD108">
        <v>1</v>
      </c>
      <c r="AE108" t="s">
        <v>152</v>
      </c>
      <c r="AI108">
        <v>8</v>
      </c>
      <c r="AJ108">
        <v>28</v>
      </c>
    </row>
    <row r="109" spans="1:36" x14ac:dyDescent="0.25">
      <c r="A109" t="s">
        <v>537</v>
      </c>
      <c r="B109">
        <v>114</v>
      </c>
      <c r="C109" t="s">
        <v>56</v>
      </c>
      <c r="D109">
        <v>2</v>
      </c>
      <c r="F109">
        <v>1</v>
      </c>
      <c r="G109" t="s">
        <v>57</v>
      </c>
      <c r="H109" t="s">
        <v>122</v>
      </c>
      <c r="K109" t="s">
        <v>48</v>
      </c>
      <c r="L109">
        <v>1</v>
      </c>
      <c r="N109">
        <v>1</v>
      </c>
      <c r="O109" t="s">
        <v>49</v>
      </c>
      <c r="P109" t="s">
        <v>50</v>
      </c>
      <c r="Q109" t="s">
        <v>51</v>
      </c>
      <c r="S109" t="s">
        <v>63</v>
      </c>
      <c r="T109">
        <v>1</v>
      </c>
      <c r="V109">
        <v>2</v>
      </c>
      <c r="W109" t="s">
        <v>103</v>
      </c>
      <c r="X109" t="s">
        <v>91</v>
      </c>
      <c r="Y109" t="s">
        <v>147</v>
      </c>
      <c r="AA109" t="s">
        <v>38</v>
      </c>
      <c r="AB109">
        <v>1</v>
      </c>
      <c r="AC109">
        <v>1</v>
      </c>
      <c r="AD109">
        <v>2</v>
      </c>
      <c r="AE109" t="s">
        <v>152</v>
      </c>
      <c r="AI109">
        <v>8</v>
      </c>
      <c r="AJ109">
        <v>27</v>
      </c>
    </row>
    <row r="110" spans="1:36" x14ac:dyDescent="0.25">
      <c r="A110" t="s">
        <v>538</v>
      </c>
      <c r="B110">
        <v>115</v>
      </c>
      <c r="C110" t="s">
        <v>56</v>
      </c>
      <c r="D110">
        <v>1</v>
      </c>
      <c r="F110">
        <v>1</v>
      </c>
      <c r="G110" t="s">
        <v>68</v>
      </c>
      <c r="K110" t="s">
        <v>33</v>
      </c>
      <c r="L110">
        <v>1</v>
      </c>
      <c r="N110">
        <v>3</v>
      </c>
      <c r="O110" t="s">
        <v>34</v>
      </c>
      <c r="P110" t="s">
        <v>66</v>
      </c>
      <c r="Q110" t="s">
        <v>131</v>
      </c>
      <c r="S110" t="s">
        <v>48</v>
      </c>
      <c r="T110">
        <v>1</v>
      </c>
      <c r="V110">
        <v>1</v>
      </c>
      <c r="W110" t="s">
        <v>89</v>
      </c>
      <c r="X110" t="s">
        <v>50</v>
      </c>
      <c r="AA110" t="s">
        <v>43</v>
      </c>
      <c r="AB110">
        <v>2</v>
      </c>
      <c r="AD110">
        <v>1</v>
      </c>
      <c r="AE110" t="s">
        <v>44</v>
      </c>
      <c r="AI110">
        <v>6</v>
      </c>
      <c r="AJ110">
        <v>22</v>
      </c>
    </row>
    <row r="111" spans="1:36" x14ac:dyDescent="0.25">
      <c r="A111" t="s">
        <v>539</v>
      </c>
      <c r="B111">
        <v>116</v>
      </c>
      <c r="C111" t="s">
        <v>56</v>
      </c>
      <c r="D111">
        <v>1</v>
      </c>
      <c r="F111">
        <v>1</v>
      </c>
      <c r="G111" t="s">
        <v>68</v>
      </c>
      <c r="K111" t="s">
        <v>33</v>
      </c>
      <c r="L111">
        <v>2</v>
      </c>
      <c r="N111">
        <v>3</v>
      </c>
      <c r="O111" t="s">
        <v>65</v>
      </c>
      <c r="P111" t="s">
        <v>66</v>
      </c>
      <c r="S111" t="s">
        <v>48</v>
      </c>
      <c r="T111">
        <v>3</v>
      </c>
      <c r="V111">
        <v>1</v>
      </c>
      <c r="W111" t="s">
        <v>49</v>
      </c>
      <c r="X111" t="s">
        <v>84</v>
      </c>
      <c r="AA111" t="s">
        <v>45</v>
      </c>
      <c r="AB111">
        <v>2</v>
      </c>
      <c r="AD111">
        <v>1</v>
      </c>
      <c r="AE111" t="s">
        <v>86</v>
      </c>
      <c r="AI111">
        <v>8</v>
      </c>
      <c r="AJ111">
        <v>28</v>
      </c>
    </row>
    <row r="112" spans="1:36" x14ac:dyDescent="0.25">
      <c r="A112" t="s">
        <v>540</v>
      </c>
      <c r="B112">
        <v>117</v>
      </c>
      <c r="C112" t="s">
        <v>48</v>
      </c>
      <c r="D112">
        <v>3</v>
      </c>
      <c r="F112">
        <v>1</v>
      </c>
      <c r="G112" t="s">
        <v>89</v>
      </c>
      <c r="H112" t="s">
        <v>84</v>
      </c>
      <c r="K112" t="s">
        <v>63</v>
      </c>
      <c r="L112">
        <v>1</v>
      </c>
      <c r="N112">
        <v>1</v>
      </c>
      <c r="O112" t="s">
        <v>145</v>
      </c>
      <c r="P112" t="s">
        <v>95</v>
      </c>
      <c r="S112" t="s">
        <v>56</v>
      </c>
      <c r="T112">
        <v>2</v>
      </c>
      <c r="V112">
        <v>1</v>
      </c>
      <c r="W112" t="s">
        <v>57</v>
      </c>
      <c r="X112" t="s">
        <v>122</v>
      </c>
      <c r="AA112" t="s">
        <v>33</v>
      </c>
      <c r="AB112">
        <v>2</v>
      </c>
      <c r="AD112">
        <v>2</v>
      </c>
      <c r="AE112" t="s">
        <v>65</v>
      </c>
      <c r="AF112" t="s">
        <v>130</v>
      </c>
      <c r="AG112" t="s">
        <v>131</v>
      </c>
      <c r="AH112" t="s">
        <v>134</v>
      </c>
      <c r="AI112">
        <v>11</v>
      </c>
      <c r="AJ112">
        <v>33</v>
      </c>
    </row>
    <row r="113" spans="1:36" x14ac:dyDescent="0.25">
      <c r="A113" t="s">
        <v>541</v>
      </c>
      <c r="B113">
        <v>118</v>
      </c>
      <c r="C113" t="s">
        <v>56</v>
      </c>
      <c r="D113">
        <v>1</v>
      </c>
      <c r="F113">
        <v>1</v>
      </c>
      <c r="G113" t="s">
        <v>68</v>
      </c>
      <c r="H113" t="s">
        <v>69</v>
      </c>
      <c r="K113" t="s">
        <v>33</v>
      </c>
      <c r="L113">
        <v>3</v>
      </c>
      <c r="N113">
        <v>3</v>
      </c>
      <c r="O113" t="s">
        <v>65</v>
      </c>
      <c r="P113" t="s">
        <v>66</v>
      </c>
      <c r="Q113" t="s">
        <v>131</v>
      </c>
      <c r="R113" t="s">
        <v>133</v>
      </c>
      <c r="S113" t="s">
        <v>48</v>
      </c>
      <c r="T113">
        <v>3</v>
      </c>
      <c r="V113">
        <v>1</v>
      </c>
      <c r="W113" t="s">
        <v>89</v>
      </c>
      <c r="X113" t="s">
        <v>71</v>
      </c>
      <c r="Y113" t="s">
        <v>127</v>
      </c>
      <c r="Z113" t="s">
        <v>129</v>
      </c>
      <c r="AA113" t="s">
        <v>38</v>
      </c>
      <c r="AB113">
        <v>2</v>
      </c>
      <c r="AC113">
        <v>1</v>
      </c>
      <c r="AD113">
        <v>3</v>
      </c>
      <c r="AE113" t="s">
        <v>67</v>
      </c>
      <c r="AI113">
        <v>16</v>
      </c>
      <c r="AJ113">
        <v>43</v>
      </c>
    </row>
    <row r="114" spans="1:36" x14ac:dyDescent="0.25">
      <c r="A114" t="s">
        <v>542</v>
      </c>
      <c r="B114">
        <v>119</v>
      </c>
      <c r="C114" t="s">
        <v>43</v>
      </c>
      <c r="D114">
        <v>1</v>
      </c>
      <c r="F114">
        <v>1</v>
      </c>
      <c r="G114" t="s">
        <v>73</v>
      </c>
      <c r="H114" t="s">
        <v>99</v>
      </c>
      <c r="K114" t="s">
        <v>45</v>
      </c>
      <c r="L114">
        <v>3</v>
      </c>
      <c r="N114">
        <v>1</v>
      </c>
      <c r="O114" t="s">
        <v>86</v>
      </c>
      <c r="S114" t="s">
        <v>56</v>
      </c>
      <c r="T114">
        <v>1</v>
      </c>
      <c r="V114">
        <v>2</v>
      </c>
      <c r="W114" t="s">
        <v>68</v>
      </c>
      <c r="AA114" t="s">
        <v>33</v>
      </c>
      <c r="AB114">
        <v>2</v>
      </c>
      <c r="AD114">
        <v>3</v>
      </c>
      <c r="AE114" t="s">
        <v>65</v>
      </c>
      <c r="AI114">
        <v>7</v>
      </c>
      <c r="AJ114">
        <v>25</v>
      </c>
    </row>
    <row r="115" spans="1:36" x14ac:dyDescent="0.25">
      <c r="A115" t="s">
        <v>543</v>
      </c>
      <c r="B115">
        <v>120</v>
      </c>
      <c r="C115" t="s">
        <v>43</v>
      </c>
      <c r="D115">
        <v>1</v>
      </c>
      <c r="F115">
        <v>1</v>
      </c>
      <c r="G115" t="s">
        <v>44</v>
      </c>
      <c r="H115" t="s">
        <v>99</v>
      </c>
      <c r="I115" t="s">
        <v>137</v>
      </c>
      <c r="K115" t="s">
        <v>63</v>
      </c>
      <c r="L115">
        <v>2</v>
      </c>
      <c r="N115">
        <v>1</v>
      </c>
      <c r="O115" t="s">
        <v>145</v>
      </c>
      <c r="P115" t="s">
        <v>95</v>
      </c>
      <c r="S115" t="s">
        <v>56</v>
      </c>
      <c r="T115">
        <v>3</v>
      </c>
      <c r="V115">
        <v>1</v>
      </c>
      <c r="W115" t="s">
        <v>68</v>
      </c>
      <c r="AA115" t="s">
        <v>33</v>
      </c>
      <c r="AB115">
        <v>2</v>
      </c>
      <c r="AD115">
        <v>1</v>
      </c>
      <c r="AE115" t="s">
        <v>34</v>
      </c>
      <c r="AI115">
        <v>7</v>
      </c>
      <c r="AJ115">
        <v>21</v>
      </c>
    </row>
    <row r="116" spans="1:36" x14ac:dyDescent="0.25">
      <c r="A116" t="s">
        <v>544</v>
      </c>
      <c r="B116">
        <v>121</v>
      </c>
      <c r="C116" t="s">
        <v>43</v>
      </c>
      <c r="D116">
        <v>3</v>
      </c>
      <c r="F116">
        <v>3</v>
      </c>
      <c r="G116" t="s">
        <v>135</v>
      </c>
      <c r="H116" t="s">
        <v>136</v>
      </c>
      <c r="K116" t="s">
        <v>38</v>
      </c>
      <c r="L116">
        <v>1</v>
      </c>
      <c r="M116">
        <v>1</v>
      </c>
      <c r="N116">
        <v>2</v>
      </c>
      <c r="O116" t="s">
        <v>152</v>
      </c>
      <c r="P116" t="s">
        <v>70</v>
      </c>
      <c r="S116" t="s">
        <v>56</v>
      </c>
      <c r="T116">
        <v>2</v>
      </c>
      <c r="V116">
        <v>1</v>
      </c>
      <c r="W116" t="s">
        <v>68</v>
      </c>
      <c r="AA116" t="s">
        <v>33</v>
      </c>
      <c r="AB116">
        <v>2</v>
      </c>
      <c r="AD116">
        <v>3</v>
      </c>
      <c r="AE116" t="s">
        <v>65</v>
      </c>
      <c r="AF116" t="s">
        <v>35</v>
      </c>
      <c r="AG116" t="s">
        <v>131</v>
      </c>
      <c r="AI116">
        <v>13</v>
      </c>
      <c r="AJ116">
        <v>33</v>
      </c>
    </row>
    <row r="117" spans="1:36" x14ac:dyDescent="0.25">
      <c r="A117" t="s">
        <v>545</v>
      </c>
      <c r="B117">
        <v>122</v>
      </c>
      <c r="C117" t="s">
        <v>45</v>
      </c>
      <c r="D117">
        <v>3</v>
      </c>
      <c r="F117">
        <v>1</v>
      </c>
      <c r="G117" t="s">
        <v>86</v>
      </c>
      <c r="K117" t="s">
        <v>63</v>
      </c>
      <c r="L117">
        <v>1</v>
      </c>
      <c r="N117">
        <v>1</v>
      </c>
      <c r="O117" t="s">
        <v>103</v>
      </c>
      <c r="S117" t="s">
        <v>56</v>
      </c>
      <c r="T117">
        <v>1</v>
      </c>
      <c r="V117">
        <v>1</v>
      </c>
      <c r="W117" t="s">
        <v>68</v>
      </c>
      <c r="X117" t="s">
        <v>121</v>
      </c>
      <c r="Y117" t="s">
        <v>85</v>
      </c>
      <c r="AA117" t="s">
        <v>33</v>
      </c>
      <c r="AB117">
        <v>1</v>
      </c>
      <c r="AD117">
        <v>3</v>
      </c>
      <c r="AE117" t="s">
        <v>34</v>
      </c>
      <c r="AI117">
        <v>6</v>
      </c>
      <c r="AJ117">
        <v>21</v>
      </c>
    </row>
    <row r="118" spans="1:36" x14ac:dyDescent="0.25">
      <c r="A118" t="s">
        <v>546</v>
      </c>
      <c r="B118">
        <v>123</v>
      </c>
      <c r="C118" t="s">
        <v>56</v>
      </c>
      <c r="D118">
        <v>1</v>
      </c>
      <c r="F118">
        <v>1</v>
      </c>
      <c r="G118" t="s">
        <v>68</v>
      </c>
      <c r="K118" t="s">
        <v>33</v>
      </c>
      <c r="L118">
        <v>3</v>
      </c>
      <c r="N118">
        <v>3</v>
      </c>
      <c r="O118" t="s">
        <v>65</v>
      </c>
      <c r="S118" t="s">
        <v>45</v>
      </c>
      <c r="T118">
        <v>3</v>
      </c>
      <c r="V118">
        <v>1</v>
      </c>
      <c r="W118" t="s">
        <v>140</v>
      </c>
      <c r="AA118" t="s">
        <v>38</v>
      </c>
      <c r="AB118">
        <v>1</v>
      </c>
      <c r="AC118">
        <v>1</v>
      </c>
      <c r="AD118">
        <v>2</v>
      </c>
      <c r="AE118" t="s">
        <v>152</v>
      </c>
      <c r="AI118">
        <v>7</v>
      </c>
      <c r="AJ118">
        <v>25</v>
      </c>
    </row>
    <row r="119" spans="1:36" x14ac:dyDescent="0.25">
      <c r="A119" t="s">
        <v>547</v>
      </c>
      <c r="B119">
        <v>124</v>
      </c>
      <c r="C119" t="s">
        <v>63</v>
      </c>
      <c r="D119">
        <v>2</v>
      </c>
      <c r="F119">
        <v>2</v>
      </c>
      <c r="G119" t="s">
        <v>145</v>
      </c>
      <c r="H119" t="s">
        <v>95</v>
      </c>
      <c r="K119" t="s">
        <v>38</v>
      </c>
      <c r="L119">
        <v>3</v>
      </c>
      <c r="M119">
        <v>1</v>
      </c>
      <c r="N119">
        <v>2</v>
      </c>
      <c r="O119" t="s">
        <v>67</v>
      </c>
      <c r="S119" t="s">
        <v>56</v>
      </c>
      <c r="T119">
        <v>1</v>
      </c>
      <c r="V119">
        <v>1</v>
      </c>
      <c r="W119" t="s">
        <v>57</v>
      </c>
      <c r="AA119" t="s">
        <v>33</v>
      </c>
      <c r="AB119">
        <v>2</v>
      </c>
      <c r="AD119">
        <v>3</v>
      </c>
      <c r="AE119" t="s">
        <v>65</v>
      </c>
      <c r="AF119" t="s">
        <v>35</v>
      </c>
      <c r="AG119" t="s">
        <v>131</v>
      </c>
      <c r="AI119">
        <v>11</v>
      </c>
      <c r="AJ119">
        <v>28</v>
      </c>
    </row>
    <row r="120" spans="1:36" x14ac:dyDescent="0.25">
      <c r="A120" t="s">
        <v>548</v>
      </c>
      <c r="B120">
        <v>125</v>
      </c>
      <c r="C120" t="s">
        <v>48</v>
      </c>
      <c r="D120">
        <v>2</v>
      </c>
      <c r="F120">
        <v>1</v>
      </c>
      <c r="G120" t="s">
        <v>89</v>
      </c>
      <c r="H120" t="s">
        <v>50</v>
      </c>
      <c r="I120" t="s">
        <v>51</v>
      </c>
      <c r="K120" t="s">
        <v>33</v>
      </c>
      <c r="L120">
        <v>2</v>
      </c>
      <c r="N120">
        <v>3</v>
      </c>
      <c r="O120" t="s">
        <v>34</v>
      </c>
      <c r="P120" t="s">
        <v>66</v>
      </c>
      <c r="S120" t="s">
        <v>56</v>
      </c>
      <c r="T120">
        <v>2</v>
      </c>
      <c r="V120">
        <v>1</v>
      </c>
      <c r="W120" t="s">
        <v>68</v>
      </c>
      <c r="AA120" t="s">
        <v>43</v>
      </c>
      <c r="AB120">
        <v>3</v>
      </c>
      <c r="AD120">
        <v>2</v>
      </c>
      <c r="AE120" t="s">
        <v>44</v>
      </c>
      <c r="AF120" t="s">
        <v>136</v>
      </c>
      <c r="AI120">
        <v>12</v>
      </c>
      <c r="AJ120">
        <v>33</v>
      </c>
    </row>
    <row r="121" spans="1:36" x14ac:dyDescent="0.25">
      <c r="A121" t="s">
        <v>549</v>
      </c>
      <c r="B121">
        <v>126</v>
      </c>
      <c r="C121" t="s">
        <v>48</v>
      </c>
      <c r="D121">
        <v>3</v>
      </c>
      <c r="F121">
        <v>1</v>
      </c>
      <c r="G121" t="s">
        <v>89</v>
      </c>
      <c r="H121" t="s">
        <v>50</v>
      </c>
      <c r="I121" t="s">
        <v>51</v>
      </c>
      <c r="J121" t="s">
        <v>128</v>
      </c>
      <c r="K121" t="s">
        <v>45</v>
      </c>
      <c r="L121">
        <v>2</v>
      </c>
      <c r="N121">
        <v>1</v>
      </c>
      <c r="O121" t="s">
        <v>140</v>
      </c>
      <c r="S121" t="s">
        <v>56</v>
      </c>
      <c r="T121">
        <v>2</v>
      </c>
      <c r="V121">
        <v>3</v>
      </c>
      <c r="W121" t="s">
        <v>68</v>
      </c>
      <c r="AA121" t="s">
        <v>43</v>
      </c>
      <c r="AB121">
        <v>2</v>
      </c>
      <c r="AD121">
        <v>1</v>
      </c>
      <c r="AE121" t="s">
        <v>44</v>
      </c>
      <c r="AI121">
        <v>10</v>
      </c>
      <c r="AJ121">
        <v>28</v>
      </c>
    </row>
    <row r="122" spans="1:36" x14ac:dyDescent="0.25">
      <c r="A122" t="s">
        <v>550</v>
      </c>
      <c r="B122">
        <v>127</v>
      </c>
      <c r="C122" t="s">
        <v>56</v>
      </c>
      <c r="D122">
        <v>3</v>
      </c>
      <c r="F122">
        <v>2</v>
      </c>
      <c r="G122" t="s">
        <v>57</v>
      </c>
      <c r="K122" t="s">
        <v>43</v>
      </c>
      <c r="L122">
        <v>2</v>
      </c>
      <c r="N122">
        <v>1</v>
      </c>
      <c r="O122" t="s">
        <v>44</v>
      </c>
      <c r="P122" t="s">
        <v>74</v>
      </c>
      <c r="Q122" t="s">
        <v>75</v>
      </c>
      <c r="S122" t="s">
        <v>48</v>
      </c>
      <c r="T122">
        <v>1</v>
      </c>
      <c r="V122">
        <v>1</v>
      </c>
      <c r="W122" t="s">
        <v>89</v>
      </c>
      <c r="X122" t="s">
        <v>50</v>
      </c>
      <c r="Y122" t="s">
        <v>51</v>
      </c>
      <c r="AA122" t="s">
        <v>63</v>
      </c>
      <c r="AB122">
        <v>1</v>
      </c>
      <c r="AD122">
        <v>1</v>
      </c>
      <c r="AE122" t="s">
        <v>72</v>
      </c>
      <c r="AF122" t="s">
        <v>91</v>
      </c>
      <c r="AI122">
        <v>9</v>
      </c>
      <c r="AJ122">
        <v>38</v>
      </c>
    </row>
    <row r="123" spans="1:36" x14ac:dyDescent="0.25">
      <c r="A123" t="s">
        <v>551</v>
      </c>
      <c r="B123">
        <v>128</v>
      </c>
      <c r="C123" t="s">
        <v>56</v>
      </c>
      <c r="D123">
        <v>1</v>
      </c>
      <c r="F123">
        <v>1</v>
      </c>
      <c r="G123" t="s">
        <v>57</v>
      </c>
      <c r="K123" t="s">
        <v>43</v>
      </c>
      <c r="L123">
        <v>2</v>
      </c>
      <c r="N123">
        <v>2</v>
      </c>
      <c r="O123" t="s">
        <v>44</v>
      </c>
      <c r="S123" t="s">
        <v>48</v>
      </c>
      <c r="T123">
        <v>2</v>
      </c>
      <c r="V123">
        <v>1</v>
      </c>
      <c r="W123" t="s">
        <v>89</v>
      </c>
      <c r="AA123" t="s">
        <v>38</v>
      </c>
      <c r="AB123">
        <v>2</v>
      </c>
      <c r="AC123">
        <v>1</v>
      </c>
      <c r="AD123">
        <v>2</v>
      </c>
      <c r="AE123" t="s">
        <v>67</v>
      </c>
      <c r="AI123">
        <v>5</v>
      </c>
      <c r="AJ123">
        <v>22</v>
      </c>
    </row>
    <row r="124" spans="1:36" x14ac:dyDescent="0.25">
      <c r="A124" t="s">
        <v>552</v>
      </c>
      <c r="B124">
        <v>129</v>
      </c>
      <c r="C124" t="s">
        <v>56</v>
      </c>
      <c r="D124">
        <v>1</v>
      </c>
      <c r="F124">
        <v>1</v>
      </c>
      <c r="G124" t="s">
        <v>68</v>
      </c>
      <c r="K124" t="s">
        <v>43</v>
      </c>
      <c r="L124">
        <v>3</v>
      </c>
      <c r="N124">
        <v>1</v>
      </c>
      <c r="O124" t="s">
        <v>44</v>
      </c>
      <c r="S124" t="s">
        <v>33</v>
      </c>
      <c r="T124">
        <v>1</v>
      </c>
      <c r="V124">
        <v>3</v>
      </c>
      <c r="W124" t="s">
        <v>34</v>
      </c>
      <c r="AA124" t="s">
        <v>45</v>
      </c>
      <c r="AB124">
        <v>2</v>
      </c>
      <c r="AD124">
        <v>1</v>
      </c>
      <c r="AE124" t="s">
        <v>140</v>
      </c>
      <c r="AI124">
        <v>5</v>
      </c>
      <c r="AJ124">
        <v>17</v>
      </c>
    </row>
    <row r="125" spans="1:36" x14ac:dyDescent="0.25">
      <c r="A125" t="s">
        <v>553</v>
      </c>
      <c r="B125">
        <v>130</v>
      </c>
      <c r="C125" t="s">
        <v>33</v>
      </c>
      <c r="D125">
        <v>1</v>
      </c>
      <c r="F125">
        <v>3</v>
      </c>
      <c r="G125" t="s">
        <v>34</v>
      </c>
      <c r="H125" t="s">
        <v>35</v>
      </c>
      <c r="K125" t="s">
        <v>63</v>
      </c>
      <c r="L125">
        <v>1</v>
      </c>
      <c r="N125">
        <v>1</v>
      </c>
      <c r="O125" t="s">
        <v>72</v>
      </c>
      <c r="P125" t="s">
        <v>91</v>
      </c>
      <c r="S125" t="s">
        <v>56</v>
      </c>
      <c r="T125">
        <v>1</v>
      </c>
      <c r="V125">
        <v>2</v>
      </c>
      <c r="W125" t="s">
        <v>68</v>
      </c>
      <c r="AA125" t="s">
        <v>43</v>
      </c>
      <c r="AB125">
        <v>2</v>
      </c>
      <c r="AD125">
        <v>1</v>
      </c>
      <c r="AE125" t="s">
        <v>44</v>
      </c>
      <c r="AF125" t="s">
        <v>136</v>
      </c>
      <c r="AI125">
        <v>7</v>
      </c>
      <c r="AJ125">
        <v>29</v>
      </c>
    </row>
    <row r="126" spans="1:36" x14ac:dyDescent="0.25">
      <c r="A126" t="s">
        <v>554</v>
      </c>
      <c r="B126">
        <v>131</v>
      </c>
      <c r="C126" t="s">
        <v>56</v>
      </c>
      <c r="D126">
        <v>1</v>
      </c>
      <c r="F126">
        <v>1</v>
      </c>
      <c r="G126" t="s">
        <v>68</v>
      </c>
      <c r="H126" t="s">
        <v>69</v>
      </c>
      <c r="K126" t="s">
        <v>43</v>
      </c>
      <c r="L126">
        <v>3</v>
      </c>
      <c r="N126">
        <v>3</v>
      </c>
      <c r="O126" t="s">
        <v>44</v>
      </c>
      <c r="P126" t="s">
        <v>74</v>
      </c>
      <c r="Q126" t="s">
        <v>100</v>
      </c>
      <c r="R126" t="s">
        <v>139</v>
      </c>
      <c r="S126" t="s">
        <v>33</v>
      </c>
      <c r="T126">
        <v>1</v>
      </c>
      <c r="V126">
        <v>3</v>
      </c>
      <c r="W126" t="s">
        <v>34</v>
      </c>
      <c r="AA126" t="s">
        <v>38</v>
      </c>
      <c r="AB126">
        <v>3</v>
      </c>
      <c r="AC126">
        <v>2</v>
      </c>
      <c r="AD126">
        <v>3</v>
      </c>
      <c r="AE126" t="s">
        <v>67</v>
      </c>
      <c r="AF126" t="s">
        <v>40</v>
      </c>
      <c r="AI126">
        <v>16</v>
      </c>
      <c r="AJ126">
        <v>36</v>
      </c>
    </row>
    <row r="127" spans="1:36" x14ac:dyDescent="0.25">
      <c r="A127" t="s">
        <v>555</v>
      </c>
      <c r="B127">
        <v>132</v>
      </c>
      <c r="C127" t="s">
        <v>56</v>
      </c>
      <c r="D127">
        <v>1</v>
      </c>
      <c r="F127">
        <v>1</v>
      </c>
      <c r="G127" t="s">
        <v>57</v>
      </c>
      <c r="H127" t="s">
        <v>121</v>
      </c>
      <c r="K127" t="s">
        <v>43</v>
      </c>
      <c r="L127">
        <v>2</v>
      </c>
      <c r="N127">
        <v>1</v>
      </c>
      <c r="O127" t="s">
        <v>44</v>
      </c>
      <c r="P127" t="s">
        <v>74</v>
      </c>
      <c r="S127" t="s">
        <v>45</v>
      </c>
      <c r="T127">
        <v>2</v>
      </c>
      <c r="V127">
        <v>1</v>
      </c>
      <c r="W127" t="s">
        <v>86</v>
      </c>
      <c r="AA127" t="s">
        <v>63</v>
      </c>
      <c r="AB127">
        <v>2</v>
      </c>
      <c r="AD127">
        <v>1</v>
      </c>
      <c r="AE127" t="s">
        <v>72</v>
      </c>
      <c r="AI127">
        <v>5</v>
      </c>
      <c r="AJ127">
        <v>16</v>
      </c>
    </row>
    <row r="128" spans="1:36" x14ac:dyDescent="0.25">
      <c r="A128" t="s">
        <v>556</v>
      </c>
      <c r="B128">
        <v>133</v>
      </c>
      <c r="C128" t="s">
        <v>45</v>
      </c>
      <c r="D128">
        <v>2</v>
      </c>
      <c r="F128">
        <v>2</v>
      </c>
      <c r="G128" t="s">
        <v>140</v>
      </c>
      <c r="K128" t="s">
        <v>38</v>
      </c>
      <c r="L128">
        <v>1</v>
      </c>
      <c r="M128">
        <v>1</v>
      </c>
      <c r="N128">
        <v>2</v>
      </c>
      <c r="O128" t="s">
        <v>67</v>
      </c>
      <c r="P128" t="s">
        <v>96</v>
      </c>
      <c r="S128" t="s">
        <v>56</v>
      </c>
      <c r="T128">
        <v>2</v>
      </c>
      <c r="V128">
        <v>2</v>
      </c>
      <c r="W128" t="s">
        <v>68</v>
      </c>
      <c r="AA128" t="s">
        <v>43</v>
      </c>
      <c r="AB128">
        <v>1</v>
      </c>
      <c r="AD128">
        <v>1</v>
      </c>
      <c r="AE128" t="s">
        <v>73</v>
      </c>
      <c r="AF128" t="s">
        <v>136</v>
      </c>
      <c r="AI128">
        <v>7</v>
      </c>
      <c r="AJ128">
        <v>23</v>
      </c>
    </row>
    <row r="129" spans="1:36" x14ac:dyDescent="0.25">
      <c r="A129" t="s">
        <v>557</v>
      </c>
      <c r="B129">
        <v>134</v>
      </c>
      <c r="C129" t="s">
        <v>63</v>
      </c>
      <c r="D129">
        <v>3</v>
      </c>
      <c r="F129">
        <v>1</v>
      </c>
      <c r="G129" t="s">
        <v>72</v>
      </c>
      <c r="H129" t="s">
        <v>146</v>
      </c>
      <c r="I129" t="s">
        <v>147</v>
      </c>
      <c r="K129" t="s">
        <v>38</v>
      </c>
      <c r="L129">
        <v>2</v>
      </c>
      <c r="M129">
        <v>1</v>
      </c>
      <c r="N129">
        <v>2</v>
      </c>
      <c r="O129" t="s">
        <v>67</v>
      </c>
      <c r="S129" t="s">
        <v>56</v>
      </c>
      <c r="T129">
        <v>3</v>
      </c>
      <c r="V129">
        <v>2</v>
      </c>
      <c r="W129" t="s">
        <v>57</v>
      </c>
      <c r="X129" t="s">
        <v>122</v>
      </c>
      <c r="Y129" t="s">
        <v>123</v>
      </c>
      <c r="AA129" t="s">
        <v>43</v>
      </c>
      <c r="AB129">
        <v>2</v>
      </c>
      <c r="AD129">
        <v>1</v>
      </c>
      <c r="AE129" t="s">
        <v>44</v>
      </c>
      <c r="AI129">
        <v>12</v>
      </c>
      <c r="AJ129">
        <v>36</v>
      </c>
    </row>
    <row r="130" spans="1:36" x14ac:dyDescent="0.25">
      <c r="A130" t="s">
        <v>558</v>
      </c>
      <c r="B130">
        <v>135</v>
      </c>
      <c r="C130" t="s">
        <v>48</v>
      </c>
      <c r="D130">
        <v>3</v>
      </c>
      <c r="F130">
        <v>1</v>
      </c>
      <c r="G130" t="s">
        <v>89</v>
      </c>
      <c r="H130" t="s">
        <v>84</v>
      </c>
      <c r="I130" t="s">
        <v>127</v>
      </c>
      <c r="K130" t="s">
        <v>33</v>
      </c>
      <c r="L130">
        <v>1</v>
      </c>
      <c r="N130">
        <v>2</v>
      </c>
      <c r="O130" t="s">
        <v>34</v>
      </c>
      <c r="S130" t="s">
        <v>56</v>
      </c>
      <c r="T130">
        <v>2</v>
      </c>
      <c r="V130">
        <v>1</v>
      </c>
      <c r="W130" t="s">
        <v>68</v>
      </c>
      <c r="AA130" t="s">
        <v>45</v>
      </c>
      <c r="AB130">
        <v>3</v>
      </c>
      <c r="AD130">
        <v>1</v>
      </c>
      <c r="AE130" t="s">
        <v>140</v>
      </c>
      <c r="AI130">
        <v>8</v>
      </c>
      <c r="AJ130">
        <v>24</v>
      </c>
    </row>
    <row r="131" spans="1:36" x14ac:dyDescent="0.25">
      <c r="A131" t="s">
        <v>559</v>
      </c>
      <c r="B131">
        <v>136</v>
      </c>
      <c r="C131" t="s">
        <v>56</v>
      </c>
      <c r="D131">
        <v>3</v>
      </c>
      <c r="F131">
        <v>2</v>
      </c>
      <c r="G131" t="s">
        <v>68</v>
      </c>
      <c r="H131" t="s">
        <v>121</v>
      </c>
      <c r="K131" t="s">
        <v>45</v>
      </c>
      <c r="L131">
        <v>2</v>
      </c>
      <c r="N131">
        <v>1</v>
      </c>
      <c r="O131" t="s">
        <v>86</v>
      </c>
      <c r="S131" t="s">
        <v>48</v>
      </c>
      <c r="T131">
        <v>3</v>
      </c>
      <c r="V131">
        <v>1</v>
      </c>
      <c r="W131" t="s">
        <v>89</v>
      </c>
      <c r="AA131" t="s">
        <v>43</v>
      </c>
      <c r="AB131">
        <v>1</v>
      </c>
      <c r="AD131">
        <v>2</v>
      </c>
      <c r="AE131" t="s">
        <v>73</v>
      </c>
      <c r="AF131" t="s">
        <v>99</v>
      </c>
      <c r="AI131">
        <v>9</v>
      </c>
      <c r="AJ131">
        <v>26</v>
      </c>
    </row>
    <row r="132" spans="1:36" x14ac:dyDescent="0.25">
      <c r="A132" t="s">
        <v>560</v>
      </c>
      <c r="B132">
        <v>137</v>
      </c>
      <c r="C132" t="s">
        <v>56</v>
      </c>
      <c r="D132">
        <v>2</v>
      </c>
      <c r="F132">
        <v>1</v>
      </c>
      <c r="G132" t="s">
        <v>57</v>
      </c>
      <c r="H132" t="s">
        <v>122</v>
      </c>
      <c r="I132" t="s">
        <v>85</v>
      </c>
      <c r="K132" t="s">
        <v>45</v>
      </c>
      <c r="L132">
        <v>3</v>
      </c>
      <c r="N132">
        <v>2</v>
      </c>
      <c r="O132" t="s">
        <v>86</v>
      </c>
      <c r="S132" t="s">
        <v>48</v>
      </c>
      <c r="T132">
        <v>1</v>
      </c>
      <c r="V132">
        <v>1</v>
      </c>
      <c r="W132" t="s">
        <v>89</v>
      </c>
      <c r="X132" t="s">
        <v>50</v>
      </c>
      <c r="AA132" t="s">
        <v>63</v>
      </c>
      <c r="AB132">
        <v>3</v>
      </c>
      <c r="AD132">
        <v>1</v>
      </c>
      <c r="AE132" t="s">
        <v>72</v>
      </c>
      <c r="AF132" t="s">
        <v>146</v>
      </c>
      <c r="AG132" t="s">
        <v>104</v>
      </c>
      <c r="AI132">
        <v>11</v>
      </c>
      <c r="AJ132">
        <v>31</v>
      </c>
    </row>
    <row r="133" spans="1:36" x14ac:dyDescent="0.25">
      <c r="A133" t="s">
        <v>561</v>
      </c>
      <c r="B133">
        <v>138</v>
      </c>
      <c r="C133" t="s">
        <v>48</v>
      </c>
      <c r="D133">
        <v>3</v>
      </c>
      <c r="F133">
        <v>1</v>
      </c>
      <c r="G133" t="s">
        <v>89</v>
      </c>
      <c r="H133" t="s">
        <v>84</v>
      </c>
      <c r="I133" t="s">
        <v>127</v>
      </c>
      <c r="K133" t="s">
        <v>38</v>
      </c>
      <c r="L133">
        <v>1</v>
      </c>
      <c r="M133">
        <v>1</v>
      </c>
      <c r="N133">
        <v>1</v>
      </c>
      <c r="O133" t="s">
        <v>152</v>
      </c>
      <c r="S133" t="s">
        <v>56</v>
      </c>
      <c r="T133">
        <v>2</v>
      </c>
      <c r="V133">
        <v>2</v>
      </c>
      <c r="W133" t="s">
        <v>57</v>
      </c>
      <c r="X133" t="s">
        <v>122</v>
      </c>
      <c r="AA133" t="s">
        <v>45</v>
      </c>
      <c r="AB133">
        <v>2</v>
      </c>
      <c r="AD133">
        <v>1</v>
      </c>
      <c r="AE133" t="s">
        <v>140</v>
      </c>
      <c r="AI133">
        <v>8</v>
      </c>
      <c r="AJ133">
        <v>24</v>
      </c>
    </row>
    <row r="134" spans="1:36" x14ac:dyDescent="0.25">
      <c r="A134" t="s">
        <v>562</v>
      </c>
      <c r="B134">
        <v>139</v>
      </c>
      <c r="C134" t="s">
        <v>33</v>
      </c>
      <c r="D134">
        <v>1</v>
      </c>
      <c r="F134">
        <v>2</v>
      </c>
      <c r="G134" t="s">
        <v>34</v>
      </c>
      <c r="K134" t="s">
        <v>43</v>
      </c>
      <c r="L134">
        <v>2</v>
      </c>
      <c r="N134">
        <v>3</v>
      </c>
      <c r="O134" t="s">
        <v>135</v>
      </c>
      <c r="P134" t="s">
        <v>99</v>
      </c>
      <c r="S134" t="s">
        <v>56</v>
      </c>
      <c r="T134">
        <v>1</v>
      </c>
      <c r="V134">
        <v>2</v>
      </c>
      <c r="W134" t="s">
        <v>68</v>
      </c>
      <c r="AA134" t="s">
        <v>45</v>
      </c>
      <c r="AB134">
        <v>3</v>
      </c>
      <c r="AD134">
        <v>1</v>
      </c>
      <c r="AE134" t="s">
        <v>140</v>
      </c>
      <c r="AI134">
        <v>8</v>
      </c>
      <c r="AJ134">
        <v>25</v>
      </c>
    </row>
    <row r="135" spans="1:36" x14ac:dyDescent="0.25">
      <c r="A135" t="s">
        <v>563</v>
      </c>
      <c r="B135">
        <v>140</v>
      </c>
      <c r="C135" t="s">
        <v>33</v>
      </c>
      <c r="D135">
        <v>1</v>
      </c>
      <c r="F135">
        <v>2</v>
      </c>
      <c r="G135" t="s">
        <v>34</v>
      </c>
      <c r="H135" t="s">
        <v>66</v>
      </c>
      <c r="K135" t="s">
        <v>63</v>
      </c>
      <c r="L135">
        <v>2</v>
      </c>
      <c r="N135">
        <v>1</v>
      </c>
      <c r="O135" t="s">
        <v>145</v>
      </c>
      <c r="P135" t="s">
        <v>146</v>
      </c>
      <c r="S135" t="s">
        <v>56</v>
      </c>
      <c r="T135">
        <v>3</v>
      </c>
      <c r="V135">
        <v>1</v>
      </c>
      <c r="W135" t="s">
        <v>57</v>
      </c>
      <c r="X135" t="s">
        <v>122</v>
      </c>
      <c r="Y135" t="s">
        <v>87</v>
      </c>
      <c r="AA135" t="s">
        <v>45</v>
      </c>
      <c r="AB135">
        <v>3</v>
      </c>
      <c r="AD135">
        <v>1</v>
      </c>
      <c r="AE135" t="s">
        <v>140</v>
      </c>
      <c r="AI135">
        <v>10</v>
      </c>
      <c r="AJ135">
        <v>29</v>
      </c>
    </row>
    <row r="136" spans="1:36" x14ac:dyDescent="0.25">
      <c r="A136" t="s">
        <v>564</v>
      </c>
      <c r="B136">
        <v>141</v>
      </c>
      <c r="C136" t="s">
        <v>56</v>
      </c>
      <c r="D136">
        <v>1</v>
      </c>
      <c r="F136">
        <v>1</v>
      </c>
      <c r="G136" t="s">
        <v>68</v>
      </c>
      <c r="K136" t="s">
        <v>45</v>
      </c>
      <c r="L136">
        <v>3</v>
      </c>
      <c r="N136">
        <v>1</v>
      </c>
      <c r="O136" t="s">
        <v>140</v>
      </c>
      <c r="S136" t="s">
        <v>33</v>
      </c>
      <c r="T136">
        <v>1</v>
      </c>
      <c r="V136">
        <v>2</v>
      </c>
      <c r="W136" t="s">
        <v>34</v>
      </c>
      <c r="AA136" t="s">
        <v>38</v>
      </c>
      <c r="AB136">
        <v>2</v>
      </c>
      <c r="AC136">
        <v>1</v>
      </c>
      <c r="AD136">
        <v>2</v>
      </c>
      <c r="AE136" t="s">
        <v>39</v>
      </c>
      <c r="AI136">
        <v>5</v>
      </c>
      <c r="AJ136">
        <v>23</v>
      </c>
    </row>
    <row r="137" spans="1:36" x14ac:dyDescent="0.25">
      <c r="A137" t="s">
        <v>565</v>
      </c>
      <c r="B137">
        <v>142</v>
      </c>
      <c r="C137" t="s">
        <v>56</v>
      </c>
      <c r="D137">
        <v>2</v>
      </c>
      <c r="F137">
        <v>3</v>
      </c>
      <c r="G137" t="s">
        <v>57</v>
      </c>
      <c r="H137" t="s">
        <v>122</v>
      </c>
      <c r="I137" t="s">
        <v>85</v>
      </c>
      <c r="K137" t="s">
        <v>45</v>
      </c>
      <c r="L137">
        <v>3</v>
      </c>
      <c r="N137">
        <v>2</v>
      </c>
      <c r="O137" t="s">
        <v>86</v>
      </c>
      <c r="S137" t="s">
        <v>43</v>
      </c>
      <c r="T137">
        <v>1</v>
      </c>
      <c r="V137">
        <v>1</v>
      </c>
      <c r="W137" t="s">
        <v>73</v>
      </c>
      <c r="X137" t="s">
        <v>74</v>
      </c>
      <c r="Y137" t="s">
        <v>100</v>
      </c>
      <c r="Z137" t="s">
        <v>101</v>
      </c>
      <c r="AA137" t="s">
        <v>63</v>
      </c>
      <c r="AB137">
        <v>3</v>
      </c>
      <c r="AD137">
        <v>1</v>
      </c>
      <c r="AE137" t="s">
        <v>72</v>
      </c>
      <c r="AF137" t="s">
        <v>146</v>
      </c>
      <c r="AG137" t="s">
        <v>104</v>
      </c>
      <c r="AI137">
        <v>15</v>
      </c>
      <c r="AJ137">
        <v>46</v>
      </c>
    </row>
    <row r="138" spans="1:36" x14ac:dyDescent="0.25">
      <c r="A138" t="s">
        <v>566</v>
      </c>
      <c r="B138">
        <v>143</v>
      </c>
      <c r="C138" t="s">
        <v>56</v>
      </c>
      <c r="D138">
        <v>1</v>
      </c>
      <c r="F138">
        <v>2</v>
      </c>
      <c r="G138" t="s">
        <v>68</v>
      </c>
      <c r="K138" t="s">
        <v>45</v>
      </c>
      <c r="L138">
        <v>3</v>
      </c>
      <c r="N138">
        <v>1</v>
      </c>
      <c r="O138" t="s">
        <v>140</v>
      </c>
      <c r="S138" t="s">
        <v>43</v>
      </c>
      <c r="T138">
        <v>2</v>
      </c>
      <c r="V138">
        <v>2</v>
      </c>
      <c r="W138" t="s">
        <v>44</v>
      </c>
      <c r="AA138" t="s">
        <v>38</v>
      </c>
      <c r="AB138">
        <v>1</v>
      </c>
      <c r="AC138">
        <v>1</v>
      </c>
      <c r="AD138">
        <v>2</v>
      </c>
      <c r="AE138" t="s">
        <v>67</v>
      </c>
      <c r="AF138" t="s">
        <v>40</v>
      </c>
      <c r="AI138">
        <v>7</v>
      </c>
      <c r="AJ138">
        <v>18</v>
      </c>
    </row>
    <row r="139" spans="1:36" x14ac:dyDescent="0.25">
      <c r="A139" t="s">
        <v>567</v>
      </c>
      <c r="B139">
        <v>144</v>
      </c>
      <c r="C139" t="s">
        <v>63</v>
      </c>
      <c r="D139">
        <v>2</v>
      </c>
      <c r="F139">
        <v>1</v>
      </c>
      <c r="G139" t="s">
        <v>103</v>
      </c>
      <c r="H139" t="s">
        <v>95</v>
      </c>
      <c r="K139" t="s">
        <v>38</v>
      </c>
      <c r="L139">
        <v>1</v>
      </c>
      <c r="M139">
        <v>1</v>
      </c>
      <c r="N139">
        <v>2</v>
      </c>
      <c r="O139" t="s">
        <v>67</v>
      </c>
      <c r="S139" t="s">
        <v>56</v>
      </c>
      <c r="T139">
        <v>2</v>
      </c>
      <c r="V139">
        <v>1</v>
      </c>
      <c r="W139" t="s">
        <v>57</v>
      </c>
      <c r="AA139" t="s">
        <v>45</v>
      </c>
      <c r="AB139">
        <v>2</v>
      </c>
      <c r="AD139">
        <v>1</v>
      </c>
      <c r="AE139" t="s">
        <v>86</v>
      </c>
      <c r="AI139">
        <v>5</v>
      </c>
      <c r="AJ139">
        <v>19</v>
      </c>
    </row>
    <row r="140" spans="1:36" x14ac:dyDescent="0.25">
      <c r="A140" t="s">
        <v>568</v>
      </c>
      <c r="B140">
        <v>145</v>
      </c>
      <c r="C140" t="s">
        <v>48</v>
      </c>
      <c r="D140">
        <v>2</v>
      </c>
      <c r="F140">
        <v>1</v>
      </c>
      <c r="G140" t="s">
        <v>49</v>
      </c>
      <c r="H140" t="s">
        <v>50</v>
      </c>
      <c r="I140" t="s">
        <v>51</v>
      </c>
      <c r="J140" t="s">
        <v>52</v>
      </c>
      <c r="K140" t="s">
        <v>33</v>
      </c>
      <c r="L140">
        <v>2</v>
      </c>
      <c r="N140">
        <v>1</v>
      </c>
      <c r="O140" t="s">
        <v>34</v>
      </c>
      <c r="P140" t="s">
        <v>66</v>
      </c>
      <c r="S140" t="s">
        <v>56</v>
      </c>
      <c r="T140">
        <v>1</v>
      </c>
      <c r="V140">
        <v>1</v>
      </c>
      <c r="W140" t="s">
        <v>57</v>
      </c>
      <c r="AA140" t="s">
        <v>63</v>
      </c>
      <c r="AB140">
        <v>3</v>
      </c>
      <c r="AD140">
        <v>1</v>
      </c>
      <c r="AE140" t="s">
        <v>145</v>
      </c>
      <c r="AF140" t="s">
        <v>91</v>
      </c>
      <c r="AI140">
        <v>9</v>
      </c>
      <c r="AJ140">
        <v>30</v>
      </c>
    </row>
    <row r="141" spans="1:36" x14ac:dyDescent="0.25">
      <c r="A141" t="s">
        <v>569</v>
      </c>
      <c r="B141">
        <v>146</v>
      </c>
      <c r="C141" t="s">
        <v>48</v>
      </c>
      <c r="D141">
        <v>1</v>
      </c>
      <c r="F141">
        <v>1</v>
      </c>
      <c r="G141" t="s">
        <v>49</v>
      </c>
      <c r="H141" t="s">
        <v>84</v>
      </c>
      <c r="I141" t="s">
        <v>51</v>
      </c>
      <c r="J141" t="s">
        <v>128</v>
      </c>
      <c r="K141" t="s">
        <v>43</v>
      </c>
      <c r="L141">
        <v>3</v>
      </c>
      <c r="N141">
        <v>1</v>
      </c>
      <c r="O141" t="s">
        <v>44</v>
      </c>
      <c r="S141" t="s">
        <v>56</v>
      </c>
      <c r="T141">
        <v>3</v>
      </c>
      <c r="V141">
        <v>2</v>
      </c>
      <c r="W141" t="s">
        <v>68</v>
      </c>
      <c r="AA141" t="s">
        <v>63</v>
      </c>
      <c r="AB141">
        <v>2</v>
      </c>
      <c r="AD141">
        <v>1</v>
      </c>
      <c r="AE141" t="s">
        <v>72</v>
      </c>
      <c r="AF141" t="s">
        <v>91</v>
      </c>
      <c r="AI141">
        <v>10</v>
      </c>
      <c r="AJ141">
        <v>31</v>
      </c>
    </row>
    <row r="142" spans="1:36" x14ac:dyDescent="0.25">
      <c r="A142" s="36" t="s">
        <v>570</v>
      </c>
      <c r="B142">
        <v>147</v>
      </c>
      <c r="C142" t="s">
        <v>48</v>
      </c>
      <c r="D142">
        <v>2</v>
      </c>
      <c r="F142">
        <v>1</v>
      </c>
      <c r="G142" t="s">
        <v>49</v>
      </c>
      <c r="K142" t="s">
        <v>45</v>
      </c>
      <c r="L142">
        <v>3</v>
      </c>
      <c r="N142">
        <v>2</v>
      </c>
      <c r="O142" t="s">
        <v>86</v>
      </c>
      <c r="S142" t="s">
        <v>56</v>
      </c>
      <c r="T142">
        <v>2</v>
      </c>
      <c r="V142">
        <v>3</v>
      </c>
      <c r="W142" t="s">
        <v>68</v>
      </c>
      <c r="AA142" t="s">
        <v>63</v>
      </c>
      <c r="AB142">
        <v>1</v>
      </c>
      <c r="AD142">
        <v>1</v>
      </c>
      <c r="AE142" t="s">
        <v>72</v>
      </c>
      <c r="AF142" t="s">
        <v>95</v>
      </c>
      <c r="AI142">
        <v>8</v>
      </c>
      <c r="AJ142">
        <v>31</v>
      </c>
    </row>
    <row r="143" spans="1:36" x14ac:dyDescent="0.25">
      <c r="A143" t="s">
        <v>571</v>
      </c>
      <c r="B143">
        <v>148</v>
      </c>
      <c r="C143" t="s">
        <v>48</v>
      </c>
      <c r="D143">
        <v>3</v>
      </c>
      <c r="F143">
        <v>1</v>
      </c>
      <c r="G143" t="s">
        <v>49</v>
      </c>
      <c r="H143" t="s">
        <v>50</v>
      </c>
      <c r="I143" t="s">
        <v>51</v>
      </c>
      <c r="K143" t="s">
        <v>38</v>
      </c>
      <c r="L143">
        <v>1</v>
      </c>
      <c r="M143">
        <v>1</v>
      </c>
      <c r="N143">
        <v>1</v>
      </c>
      <c r="O143" t="s">
        <v>152</v>
      </c>
      <c r="S143" t="s">
        <v>56</v>
      </c>
      <c r="T143">
        <v>1</v>
      </c>
      <c r="V143">
        <v>1</v>
      </c>
      <c r="W143" t="s">
        <v>57</v>
      </c>
      <c r="X143" t="s">
        <v>121</v>
      </c>
      <c r="AA143" t="s">
        <v>63</v>
      </c>
      <c r="AB143">
        <v>2</v>
      </c>
      <c r="AD143">
        <v>1</v>
      </c>
      <c r="AE143" t="s">
        <v>72</v>
      </c>
      <c r="AF143" t="s">
        <v>95</v>
      </c>
      <c r="AG143" t="s">
        <v>147</v>
      </c>
      <c r="AI143">
        <v>8</v>
      </c>
      <c r="AJ143">
        <v>28</v>
      </c>
    </row>
    <row r="144" spans="1:36" x14ac:dyDescent="0.25">
      <c r="A144" t="s">
        <v>572</v>
      </c>
      <c r="B144">
        <v>149</v>
      </c>
      <c r="C144" t="s">
        <v>33</v>
      </c>
      <c r="D144">
        <v>3</v>
      </c>
      <c r="F144">
        <v>3</v>
      </c>
      <c r="G144" t="s">
        <v>34</v>
      </c>
      <c r="K144" t="s">
        <v>43</v>
      </c>
      <c r="L144">
        <v>2</v>
      </c>
      <c r="N144">
        <v>1</v>
      </c>
      <c r="O144" t="s">
        <v>73</v>
      </c>
      <c r="P144" t="s">
        <v>136</v>
      </c>
      <c r="S144" t="s">
        <v>56</v>
      </c>
      <c r="T144">
        <v>1</v>
      </c>
      <c r="V144">
        <v>1</v>
      </c>
      <c r="W144" t="s">
        <v>68</v>
      </c>
      <c r="AA144" t="s">
        <v>63</v>
      </c>
      <c r="AB144">
        <v>3</v>
      </c>
      <c r="AD144">
        <v>1</v>
      </c>
      <c r="AE144" t="s">
        <v>145</v>
      </c>
      <c r="AF144" t="s">
        <v>146</v>
      </c>
      <c r="AG144" t="s">
        <v>104</v>
      </c>
      <c r="AI144">
        <v>11</v>
      </c>
      <c r="AJ144">
        <v>32</v>
      </c>
    </row>
    <row r="145" spans="1:36" x14ac:dyDescent="0.25">
      <c r="A145" t="s">
        <v>573</v>
      </c>
      <c r="B145">
        <v>150</v>
      </c>
      <c r="C145" t="s">
        <v>56</v>
      </c>
      <c r="D145">
        <v>1</v>
      </c>
      <c r="F145">
        <v>1</v>
      </c>
      <c r="G145" t="s">
        <v>68</v>
      </c>
      <c r="H145" t="s">
        <v>121</v>
      </c>
      <c r="K145" t="s">
        <v>63</v>
      </c>
      <c r="L145">
        <v>1</v>
      </c>
      <c r="N145">
        <v>1</v>
      </c>
      <c r="O145" t="s">
        <v>145</v>
      </c>
      <c r="P145" t="s">
        <v>95</v>
      </c>
      <c r="Q145" t="s">
        <v>104</v>
      </c>
      <c r="S145" t="s">
        <v>33</v>
      </c>
      <c r="T145">
        <v>1</v>
      </c>
      <c r="V145">
        <v>2</v>
      </c>
      <c r="W145" t="s">
        <v>46</v>
      </c>
      <c r="AA145" t="s">
        <v>45</v>
      </c>
      <c r="AB145">
        <v>2</v>
      </c>
      <c r="AD145">
        <v>1</v>
      </c>
      <c r="AE145" t="s">
        <v>140</v>
      </c>
      <c r="AI145">
        <v>5</v>
      </c>
      <c r="AJ145">
        <v>14</v>
      </c>
    </row>
    <row r="146" spans="1:36" x14ac:dyDescent="0.25">
      <c r="A146" t="s">
        <v>574</v>
      </c>
      <c r="B146">
        <v>151</v>
      </c>
      <c r="C146" t="s">
        <v>33</v>
      </c>
      <c r="D146">
        <v>3</v>
      </c>
      <c r="F146">
        <v>1</v>
      </c>
      <c r="G146" t="s">
        <v>46</v>
      </c>
      <c r="H146" t="s">
        <v>130</v>
      </c>
      <c r="I146" t="s">
        <v>131</v>
      </c>
      <c r="K146" t="s">
        <v>38</v>
      </c>
      <c r="L146">
        <v>2</v>
      </c>
      <c r="M146">
        <v>1</v>
      </c>
      <c r="N146">
        <v>1</v>
      </c>
      <c r="O146" t="s">
        <v>152</v>
      </c>
      <c r="S146" t="s">
        <v>56</v>
      </c>
      <c r="T146">
        <v>1</v>
      </c>
      <c r="V146">
        <v>2</v>
      </c>
      <c r="W146" t="s">
        <v>68</v>
      </c>
      <c r="X146" t="s">
        <v>121</v>
      </c>
      <c r="Y146" t="s">
        <v>87</v>
      </c>
      <c r="AA146" t="s">
        <v>63</v>
      </c>
      <c r="AB146">
        <v>1</v>
      </c>
      <c r="AD146">
        <v>1</v>
      </c>
      <c r="AE146" t="s">
        <v>145</v>
      </c>
      <c r="AF146" t="s">
        <v>91</v>
      </c>
      <c r="AG146" t="s">
        <v>147</v>
      </c>
      <c r="AI146">
        <v>10</v>
      </c>
      <c r="AJ146">
        <v>30</v>
      </c>
    </row>
    <row r="147" spans="1:36" x14ac:dyDescent="0.25">
      <c r="A147" t="s">
        <v>575</v>
      </c>
      <c r="B147">
        <v>152</v>
      </c>
      <c r="C147" t="s">
        <v>56</v>
      </c>
      <c r="D147">
        <v>1</v>
      </c>
      <c r="F147">
        <v>3</v>
      </c>
      <c r="G147" t="s">
        <v>68</v>
      </c>
      <c r="H147" t="s">
        <v>121</v>
      </c>
      <c r="K147" t="s">
        <v>63</v>
      </c>
      <c r="L147">
        <v>2</v>
      </c>
      <c r="N147">
        <v>1</v>
      </c>
      <c r="O147" t="s">
        <v>72</v>
      </c>
      <c r="P147" t="s">
        <v>91</v>
      </c>
      <c r="S147" t="s">
        <v>43</v>
      </c>
      <c r="T147">
        <v>3</v>
      </c>
      <c r="V147">
        <v>1</v>
      </c>
      <c r="W147" t="s">
        <v>73</v>
      </c>
      <c r="X147" t="s">
        <v>99</v>
      </c>
      <c r="Y147" t="s">
        <v>100</v>
      </c>
      <c r="AA147" t="s">
        <v>45</v>
      </c>
      <c r="AB147">
        <v>2</v>
      </c>
      <c r="AD147">
        <v>1</v>
      </c>
      <c r="AE147" t="s">
        <v>47</v>
      </c>
      <c r="AI147">
        <v>10</v>
      </c>
      <c r="AJ147">
        <v>30</v>
      </c>
    </row>
    <row r="148" spans="1:36" x14ac:dyDescent="0.25">
      <c r="A148" t="s">
        <v>576</v>
      </c>
      <c r="B148">
        <v>153</v>
      </c>
      <c r="C148" t="s">
        <v>56</v>
      </c>
      <c r="D148">
        <v>3</v>
      </c>
      <c r="F148">
        <v>1</v>
      </c>
      <c r="G148" t="s">
        <v>68</v>
      </c>
      <c r="H148" t="s">
        <v>69</v>
      </c>
      <c r="K148" t="s">
        <v>63</v>
      </c>
      <c r="L148">
        <v>3</v>
      </c>
      <c r="N148">
        <v>3</v>
      </c>
      <c r="O148" t="s">
        <v>72</v>
      </c>
      <c r="P148" t="s">
        <v>95</v>
      </c>
      <c r="Q148" t="s">
        <v>148</v>
      </c>
      <c r="R148" t="s">
        <v>151</v>
      </c>
      <c r="S148" t="s">
        <v>43</v>
      </c>
      <c r="T148">
        <v>3</v>
      </c>
      <c r="V148">
        <v>3</v>
      </c>
      <c r="W148" t="s">
        <v>73</v>
      </c>
      <c r="X148" t="s">
        <v>74</v>
      </c>
      <c r="Y148" t="s">
        <v>100</v>
      </c>
      <c r="Z148" t="s">
        <v>101</v>
      </c>
      <c r="AA148" t="s">
        <v>38</v>
      </c>
      <c r="AB148">
        <v>1</v>
      </c>
      <c r="AC148">
        <v>1</v>
      </c>
      <c r="AD148">
        <v>1</v>
      </c>
      <c r="AE148" t="s">
        <v>152</v>
      </c>
      <c r="AI148">
        <v>19</v>
      </c>
      <c r="AJ148">
        <v>81</v>
      </c>
    </row>
    <row r="149" spans="1:36" x14ac:dyDescent="0.25">
      <c r="A149" t="s">
        <v>577</v>
      </c>
      <c r="B149">
        <v>154</v>
      </c>
      <c r="C149" t="s">
        <v>56</v>
      </c>
      <c r="D149">
        <v>1</v>
      </c>
      <c r="F149">
        <v>2</v>
      </c>
      <c r="G149" t="s">
        <v>68</v>
      </c>
      <c r="H149" t="s">
        <v>122</v>
      </c>
      <c r="K149" t="s">
        <v>63</v>
      </c>
      <c r="L149">
        <v>2</v>
      </c>
      <c r="N149">
        <v>1</v>
      </c>
      <c r="O149" t="s">
        <v>72</v>
      </c>
      <c r="P149" t="s">
        <v>146</v>
      </c>
      <c r="S149" t="s">
        <v>45</v>
      </c>
      <c r="T149">
        <v>3</v>
      </c>
      <c r="V149">
        <v>1</v>
      </c>
      <c r="W149" t="s">
        <v>86</v>
      </c>
      <c r="AA149" t="s">
        <v>38</v>
      </c>
      <c r="AB149">
        <v>3</v>
      </c>
      <c r="AC149">
        <v>2</v>
      </c>
      <c r="AD149">
        <v>1</v>
      </c>
      <c r="AE149" t="s">
        <v>152</v>
      </c>
      <c r="AI149">
        <v>9</v>
      </c>
      <c r="AJ149">
        <v>25</v>
      </c>
    </row>
    <row r="150" spans="1:36" x14ac:dyDescent="0.25">
      <c r="A150" t="s">
        <v>578</v>
      </c>
      <c r="B150">
        <v>155</v>
      </c>
      <c r="C150" t="s">
        <v>56</v>
      </c>
      <c r="D150">
        <v>2</v>
      </c>
      <c r="F150">
        <v>1</v>
      </c>
      <c r="G150" t="s">
        <v>68</v>
      </c>
      <c r="K150" t="s">
        <v>38</v>
      </c>
      <c r="L150">
        <v>3</v>
      </c>
      <c r="M150">
        <v>1</v>
      </c>
      <c r="N150">
        <v>2</v>
      </c>
      <c r="O150" t="s">
        <v>39</v>
      </c>
      <c r="P150" t="s">
        <v>96</v>
      </c>
      <c r="S150" t="s">
        <v>48</v>
      </c>
      <c r="T150">
        <v>2</v>
      </c>
      <c r="V150">
        <v>1</v>
      </c>
      <c r="W150" t="s">
        <v>89</v>
      </c>
      <c r="X150" t="s">
        <v>50</v>
      </c>
      <c r="Y150" t="s">
        <v>127</v>
      </c>
      <c r="Z150" t="s">
        <v>128</v>
      </c>
      <c r="AA150" t="s">
        <v>33</v>
      </c>
      <c r="AB150">
        <v>2</v>
      </c>
      <c r="AD150">
        <v>1</v>
      </c>
      <c r="AE150" t="s">
        <v>46</v>
      </c>
      <c r="AI150">
        <v>10</v>
      </c>
      <c r="AJ150">
        <v>24</v>
      </c>
    </row>
    <row r="151" spans="1:36" x14ac:dyDescent="0.25">
      <c r="A151" t="s">
        <v>579</v>
      </c>
      <c r="B151">
        <v>156</v>
      </c>
      <c r="C151" t="s">
        <v>48</v>
      </c>
      <c r="D151">
        <v>2</v>
      </c>
      <c r="F151">
        <v>1</v>
      </c>
      <c r="G151" t="s">
        <v>89</v>
      </c>
      <c r="K151" t="s">
        <v>43</v>
      </c>
      <c r="L151">
        <v>2</v>
      </c>
      <c r="N151">
        <v>1</v>
      </c>
      <c r="O151" t="s">
        <v>44</v>
      </c>
      <c r="P151" t="s">
        <v>99</v>
      </c>
      <c r="Q151" t="s">
        <v>137</v>
      </c>
      <c r="S151" t="s">
        <v>56</v>
      </c>
      <c r="T151">
        <v>1</v>
      </c>
      <c r="V151">
        <v>2</v>
      </c>
      <c r="W151" t="s">
        <v>68</v>
      </c>
      <c r="X151" t="s">
        <v>121</v>
      </c>
      <c r="AA151" t="s">
        <v>38</v>
      </c>
      <c r="AB151">
        <v>1</v>
      </c>
      <c r="AC151">
        <v>1</v>
      </c>
      <c r="AD151">
        <v>2</v>
      </c>
      <c r="AE151" t="s">
        <v>39</v>
      </c>
      <c r="AI151">
        <v>7</v>
      </c>
      <c r="AJ151">
        <v>22</v>
      </c>
    </row>
    <row r="152" spans="1:36" x14ac:dyDescent="0.25">
      <c r="A152" t="s">
        <v>580</v>
      </c>
      <c r="B152">
        <v>157</v>
      </c>
      <c r="C152" t="s">
        <v>48</v>
      </c>
      <c r="D152">
        <v>3</v>
      </c>
      <c r="F152">
        <v>1</v>
      </c>
      <c r="G152" t="s">
        <v>89</v>
      </c>
      <c r="H152" t="s">
        <v>50</v>
      </c>
      <c r="K152" t="s">
        <v>45</v>
      </c>
      <c r="L152">
        <v>3</v>
      </c>
      <c r="N152">
        <v>1</v>
      </c>
      <c r="O152" t="s">
        <v>140</v>
      </c>
      <c r="S152" t="s">
        <v>56</v>
      </c>
      <c r="T152">
        <v>2</v>
      </c>
      <c r="V152">
        <v>1</v>
      </c>
      <c r="W152" t="s">
        <v>57</v>
      </c>
      <c r="AA152" t="s">
        <v>38</v>
      </c>
      <c r="AB152">
        <v>2</v>
      </c>
      <c r="AC152">
        <v>1</v>
      </c>
      <c r="AD152">
        <v>2</v>
      </c>
      <c r="AE152" t="s">
        <v>39</v>
      </c>
      <c r="AI152">
        <v>8</v>
      </c>
      <c r="AJ152">
        <v>26</v>
      </c>
    </row>
    <row r="153" spans="1:36" x14ac:dyDescent="0.25">
      <c r="A153" t="s">
        <v>581</v>
      </c>
      <c r="B153">
        <v>158</v>
      </c>
      <c r="C153" t="s">
        <v>48</v>
      </c>
      <c r="D153">
        <v>2</v>
      </c>
      <c r="F153">
        <v>1</v>
      </c>
      <c r="G153" t="s">
        <v>49</v>
      </c>
      <c r="H153" t="s">
        <v>84</v>
      </c>
      <c r="K153" t="s">
        <v>63</v>
      </c>
      <c r="L153">
        <v>2</v>
      </c>
      <c r="N153">
        <v>1</v>
      </c>
      <c r="O153" t="s">
        <v>103</v>
      </c>
      <c r="P153" t="s">
        <v>95</v>
      </c>
      <c r="Q153" t="s">
        <v>147</v>
      </c>
      <c r="S153" t="s">
        <v>56</v>
      </c>
      <c r="T153">
        <v>2</v>
      </c>
      <c r="V153">
        <v>1</v>
      </c>
      <c r="W153" t="s">
        <v>57</v>
      </c>
      <c r="AA153" t="s">
        <v>38</v>
      </c>
      <c r="AB153">
        <v>3</v>
      </c>
      <c r="AC153">
        <v>1</v>
      </c>
      <c r="AD153">
        <v>2</v>
      </c>
      <c r="AE153" t="s">
        <v>67</v>
      </c>
      <c r="AI153">
        <v>9</v>
      </c>
      <c r="AJ153">
        <v>24</v>
      </c>
    </row>
    <row r="154" spans="1:36" x14ac:dyDescent="0.25">
      <c r="A154" t="s">
        <v>582</v>
      </c>
      <c r="B154">
        <v>159</v>
      </c>
      <c r="C154" t="s">
        <v>56</v>
      </c>
      <c r="D154">
        <v>2</v>
      </c>
      <c r="F154">
        <v>2</v>
      </c>
      <c r="G154" t="s">
        <v>68</v>
      </c>
      <c r="K154" t="s">
        <v>38</v>
      </c>
      <c r="L154">
        <v>3</v>
      </c>
      <c r="M154">
        <v>2</v>
      </c>
      <c r="N154">
        <v>2</v>
      </c>
      <c r="O154" t="s">
        <v>39</v>
      </c>
      <c r="P154" t="s">
        <v>96</v>
      </c>
      <c r="S154" t="s">
        <v>33</v>
      </c>
      <c r="T154">
        <v>2</v>
      </c>
      <c r="V154">
        <v>3</v>
      </c>
      <c r="W154" t="s">
        <v>65</v>
      </c>
      <c r="AA154" t="s">
        <v>43</v>
      </c>
      <c r="AB154">
        <v>2</v>
      </c>
      <c r="AD154">
        <v>1</v>
      </c>
      <c r="AE154" t="s">
        <v>44</v>
      </c>
      <c r="AI154">
        <v>11</v>
      </c>
      <c r="AJ154">
        <v>25</v>
      </c>
    </row>
    <row r="155" spans="1:36" x14ac:dyDescent="0.25">
      <c r="A155" t="s">
        <v>583</v>
      </c>
      <c r="B155">
        <v>160</v>
      </c>
      <c r="C155" t="s">
        <v>33</v>
      </c>
      <c r="D155">
        <v>2</v>
      </c>
      <c r="F155">
        <v>2</v>
      </c>
      <c r="G155" t="s">
        <v>65</v>
      </c>
      <c r="K155" t="s">
        <v>45</v>
      </c>
      <c r="L155">
        <v>3</v>
      </c>
      <c r="N155">
        <v>1</v>
      </c>
      <c r="O155" t="s">
        <v>86</v>
      </c>
      <c r="S155" t="s">
        <v>56</v>
      </c>
      <c r="T155">
        <v>2</v>
      </c>
      <c r="V155">
        <v>2</v>
      </c>
      <c r="W155" t="s">
        <v>68</v>
      </c>
      <c r="AA155" t="s">
        <v>38</v>
      </c>
      <c r="AB155">
        <v>1</v>
      </c>
      <c r="AC155">
        <v>1</v>
      </c>
      <c r="AD155">
        <v>2</v>
      </c>
      <c r="AE155" t="s">
        <v>39</v>
      </c>
      <c r="AF155" t="s">
        <v>96</v>
      </c>
      <c r="AI155">
        <v>8</v>
      </c>
      <c r="AJ155">
        <v>20</v>
      </c>
    </row>
    <row r="156" spans="1:36" x14ac:dyDescent="0.25">
      <c r="A156" t="s">
        <v>584</v>
      </c>
      <c r="B156">
        <v>161</v>
      </c>
      <c r="C156" t="s">
        <v>33</v>
      </c>
      <c r="D156">
        <v>3</v>
      </c>
      <c r="F156">
        <v>1</v>
      </c>
      <c r="G156" t="s">
        <v>65</v>
      </c>
      <c r="H156" t="s">
        <v>35</v>
      </c>
      <c r="K156" t="s">
        <v>63</v>
      </c>
      <c r="L156">
        <v>1</v>
      </c>
      <c r="N156">
        <v>1</v>
      </c>
      <c r="O156" t="s">
        <v>103</v>
      </c>
      <c r="P156" t="s">
        <v>95</v>
      </c>
      <c r="S156" t="s">
        <v>56</v>
      </c>
      <c r="T156">
        <v>1</v>
      </c>
      <c r="V156">
        <v>1</v>
      </c>
      <c r="W156" t="s">
        <v>57</v>
      </c>
      <c r="X156" t="s">
        <v>122</v>
      </c>
      <c r="AA156" t="s">
        <v>38</v>
      </c>
      <c r="AB156">
        <v>1</v>
      </c>
      <c r="AC156">
        <v>2</v>
      </c>
      <c r="AD156">
        <v>2</v>
      </c>
      <c r="AE156" t="s">
        <v>67</v>
      </c>
      <c r="AF156" t="s">
        <v>40</v>
      </c>
      <c r="AI156">
        <v>8</v>
      </c>
      <c r="AJ156">
        <v>31</v>
      </c>
    </row>
    <row r="157" spans="1:36" x14ac:dyDescent="0.25">
      <c r="A157" t="s">
        <v>585</v>
      </c>
      <c r="B157">
        <v>162</v>
      </c>
      <c r="C157" t="s">
        <v>56</v>
      </c>
      <c r="D157">
        <v>1</v>
      </c>
      <c r="F157">
        <v>1</v>
      </c>
      <c r="G157" t="s">
        <v>68</v>
      </c>
      <c r="K157" t="s">
        <v>38</v>
      </c>
      <c r="L157">
        <v>3</v>
      </c>
      <c r="M157">
        <v>1</v>
      </c>
      <c r="N157">
        <v>3</v>
      </c>
      <c r="O157" t="s">
        <v>39</v>
      </c>
      <c r="P157" t="s">
        <v>96</v>
      </c>
      <c r="S157" t="s">
        <v>43</v>
      </c>
      <c r="T157">
        <v>3</v>
      </c>
      <c r="V157">
        <v>1</v>
      </c>
      <c r="W157" t="s">
        <v>44</v>
      </c>
      <c r="X157" t="s">
        <v>99</v>
      </c>
      <c r="Y157" t="s">
        <v>75</v>
      </c>
      <c r="AA157" t="s">
        <v>45</v>
      </c>
      <c r="AB157">
        <v>3</v>
      </c>
      <c r="AD157">
        <v>1</v>
      </c>
      <c r="AE157" t="s">
        <v>140</v>
      </c>
      <c r="AI157">
        <v>11</v>
      </c>
      <c r="AJ157">
        <v>27</v>
      </c>
    </row>
    <row r="158" spans="1:36" x14ac:dyDescent="0.25">
      <c r="A158" t="s">
        <v>586</v>
      </c>
      <c r="B158">
        <v>163</v>
      </c>
      <c r="C158" t="s">
        <v>56</v>
      </c>
      <c r="D158">
        <v>2</v>
      </c>
      <c r="F158">
        <v>1</v>
      </c>
      <c r="G158" t="s">
        <v>68</v>
      </c>
      <c r="H158" t="s">
        <v>122</v>
      </c>
      <c r="I158" t="s">
        <v>85</v>
      </c>
      <c r="K158" t="s">
        <v>38</v>
      </c>
      <c r="L158">
        <v>1</v>
      </c>
      <c r="M158">
        <v>1</v>
      </c>
      <c r="N158">
        <v>2</v>
      </c>
      <c r="O158" t="s">
        <v>67</v>
      </c>
      <c r="S158" t="s">
        <v>43</v>
      </c>
      <c r="T158">
        <v>2</v>
      </c>
      <c r="V158">
        <v>1</v>
      </c>
      <c r="W158" t="s">
        <v>73</v>
      </c>
      <c r="X158" t="s">
        <v>74</v>
      </c>
      <c r="AA158" t="s">
        <v>63</v>
      </c>
      <c r="AB158">
        <v>2</v>
      </c>
      <c r="AD158">
        <v>1</v>
      </c>
      <c r="AE158" t="s">
        <v>103</v>
      </c>
      <c r="AI158">
        <v>7</v>
      </c>
      <c r="AJ158">
        <v>23</v>
      </c>
    </row>
    <row r="159" spans="1:36" x14ac:dyDescent="0.25">
      <c r="A159" t="s">
        <v>587</v>
      </c>
      <c r="B159">
        <v>164</v>
      </c>
      <c r="C159" t="s">
        <v>56</v>
      </c>
      <c r="D159">
        <v>3</v>
      </c>
      <c r="F159">
        <v>3</v>
      </c>
      <c r="G159" t="s">
        <v>57</v>
      </c>
      <c r="H159" t="s">
        <v>121</v>
      </c>
      <c r="I159" t="s">
        <v>85</v>
      </c>
      <c r="K159" t="s">
        <v>38</v>
      </c>
      <c r="L159">
        <v>1</v>
      </c>
      <c r="M159">
        <v>1</v>
      </c>
      <c r="N159">
        <v>1</v>
      </c>
      <c r="O159" t="s">
        <v>152</v>
      </c>
      <c r="S159" t="s">
        <v>45</v>
      </c>
      <c r="T159">
        <v>2</v>
      </c>
      <c r="V159">
        <v>1</v>
      </c>
      <c r="W159" t="s">
        <v>86</v>
      </c>
      <c r="AA159" t="s">
        <v>63</v>
      </c>
      <c r="AB159">
        <v>3</v>
      </c>
      <c r="AD159">
        <v>1</v>
      </c>
      <c r="AE159" t="s">
        <v>103</v>
      </c>
      <c r="AF159" t="s">
        <v>91</v>
      </c>
      <c r="AI159">
        <v>10</v>
      </c>
      <c r="AJ159">
        <v>31</v>
      </c>
    </row>
    <row r="160" spans="1:36" x14ac:dyDescent="0.25">
      <c r="A160" t="s">
        <v>588</v>
      </c>
      <c r="B160">
        <v>165</v>
      </c>
      <c r="C160" t="s">
        <v>43</v>
      </c>
      <c r="D160">
        <v>3</v>
      </c>
      <c r="F160">
        <v>2</v>
      </c>
      <c r="G160" t="s">
        <v>44</v>
      </c>
      <c r="H160" t="s">
        <v>136</v>
      </c>
      <c r="K160" t="s">
        <v>45</v>
      </c>
      <c r="L160">
        <v>2</v>
      </c>
      <c r="N160">
        <v>1</v>
      </c>
      <c r="O160" t="s">
        <v>140</v>
      </c>
      <c r="S160" t="s">
        <v>48</v>
      </c>
      <c r="T160">
        <v>2</v>
      </c>
      <c r="V160">
        <v>1</v>
      </c>
      <c r="W160" t="s">
        <v>89</v>
      </c>
      <c r="AA160" t="s">
        <v>33</v>
      </c>
      <c r="AB160">
        <v>1</v>
      </c>
      <c r="AD160">
        <v>3</v>
      </c>
      <c r="AE160" t="s">
        <v>34</v>
      </c>
      <c r="AF160" t="s">
        <v>66</v>
      </c>
      <c r="AG160" t="s">
        <v>131</v>
      </c>
      <c r="AH160" t="s">
        <v>133</v>
      </c>
      <c r="AI160">
        <v>11</v>
      </c>
      <c r="AJ160">
        <v>30</v>
      </c>
    </row>
    <row r="161" spans="1:36" x14ac:dyDescent="0.25">
      <c r="A161" t="s">
        <v>589</v>
      </c>
      <c r="B161">
        <v>166</v>
      </c>
      <c r="C161" t="s">
        <v>43</v>
      </c>
      <c r="D161">
        <v>2</v>
      </c>
      <c r="F161">
        <v>1</v>
      </c>
      <c r="G161" t="s">
        <v>44</v>
      </c>
      <c r="K161" t="s">
        <v>63</v>
      </c>
      <c r="L161">
        <v>2</v>
      </c>
      <c r="N161">
        <v>2</v>
      </c>
      <c r="O161" t="s">
        <v>145</v>
      </c>
      <c r="P161" t="s">
        <v>95</v>
      </c>
      <c r="Q161" t="s">
        <v>147</v>
      </c>
      <c r="S161" t="s">
        <v>48</v>
      </c>
      <c r="T161">
        <v>1</v>
      </c>
      <c r="V161">
        <v>2</v>
      </c>
      <c r="W161" t="s">
        <v>89</v>
      </c>
      <c r="X161" t="s">
        <v>84</v>
      </c>
      <c r="Y161" t="s">
        <v>127</v>
      </c>
      <c r="AA161" t="s">
        <v>33</v>
      </c>
      <c r="AB161">
        <v>2</v>
      </c>
      <c r="AD161">
        <v>1</v>
      </c>
      <c r="AE161" t="s">
        <v>34</v>
      </c>
      <c r="AI161">
        <v>9</v>
      </c>
      <c r="AJ161">
        <v>24</v>
      </c>
    </row>
    <row r="162" spans="1:36" x14ac:dyDescent="0.25">
      <c r="A162" t="s">
        <v>590</v>
      </c>
      <c r="B162">
        <v>167</v>
      </c>
      <c r="C162" t="s">
        <v>48</v>
      </c>
      <c r="D162">
        <v>1</v>
      </c>
      <c r="F162">
        <v>1</v>
      </c>
      <c r="G162" t="s">
        <v>89</v>
      </c>
      <c r="H162" t="s">
        <v>50</v>
      </c>
      <c r="I162" t="s">
        <v>51</v>
      </c>
      <c r="K162" t="s">
        <v>33</v>
      </c>
      <c r="L162">
        <v>2</v>
      </c>
      <c r="N162">
        <v>1</v>
      </c>
      <c r="O162" t="s">
        <v>65</v>
      </c>
      <c r="S162" t="s">
        <v>43</v>
      </c>
      <c r="T162">
        <v>2</v>
      </c>
      <c r="V162">
        <v>1</v>
      </c>
      <c r="W162" t="s">
        <v>44</v>
      </c>
      <c r="X162" t="s">
        <v>74</v>
      </c>
      <c r="AA162" t="s">
        <v>38</v>
      </c>
      <c r="AB162">
        <v>3</v>
      </c>
      <c r="AC162">
        <v>2</v>
      </c>
      <c r="AD162">
        <v>2</v>
      </c>
      <c r="AE162" t="s">
        <v>39</v>
      </c>
      <c r="AI162">
        <v>9</v>
      </c>
      <c r="AJ162">
        <v>27</v>
      </c>
    </row>
    <row r="163" spans="1:36" x14ac:dyDescent="0.25">
      <c r="A163" t="s">
        <v>591</v>
      </c>
      <c r="B163">
        <v>168</v>
      </c>
      <c r="C163" t="s">
        <v>45</v>
      </c>
      <c r="D163">
        <v>3</v>
      </c>
      <c r="F163">
        <v>1</v>
      </c>
      <c r="G163" t="s">
        <v>86</v>
      </c>
      <c r="K163" t="s">
        <v>63</v>
      </c>
      <c r="L163">
        <v>1</v>
      </c>
      <c r="N163">
        <v>2</v>
      </c>
      <c r="O163" t="s">
        <v>145</v>
      </c>
      <c r="P163" t="s">
        <v>95</v>
      </c>
      <c r="S163" t="s">
        <v>48</v>
      </c>
      <c r="T163">
        <v>3</v>
      </c>
      <c r="V163">
        <v>1</v>
      </c>
      <c r="W163" t="s">
        <v>49</v>
      </c>
      <c r="X163" t="s">
        <v>84</v>
      </c>
      <c r="AA163" t="s">
        <v>33</v>
      </c>
      <c r="AB163">
        <v>1</v>
      </c>
      <c r="AD163">
        <v>2</v>
      </c>
      <c r="AE163" t="s">
        <v>34</v>
      </c>
      <c r="AF163" t="s">
        <v>130</v>
      </c>
      <c r="AI163">
        <v>9</v>
      </c>
      <c r="AJ163">
        <v>25</v>
      </c>
    </row>
    <row r="164" spans="1:36" x14ac:dyDescent="0.25">
      <c r="A164" t="s">
        <v>592</v>
      </c>
      <c r="B164">
        <v>169</v>
      </c>
      <c r="C164" t="s">
        <v>45</v>
      </c>
      <c r="D164">
        <v>2</v>
      </c>
      <c r="F164">
        <v>1</v>
      </c>
      <c r="G164" t="s">
        <v>47</v>
      </c>
      <c r="K164" t="s">
        <v>38</v>
      </c>
      <c r="L164">
        <v>3</v>
      </c>
      <c r="M164">
        <v>1</v>
      </c>
      <c r="N164">
        <v>2</v>
      </c>
      <c r="O164" t="s">
        <v>39</v>
      </c>
      <c r="S164" t="s">
        <v>48</v>
      </c>
      <c r="T164">
        <v>2</v>
      </c>
      <c r="V164">
        <v>1</v>
      </c>
      <c r="W164" t="s">
        <v>89</v>
      </c>
      <c r="X164" t="s">
        <v>50</v>
      </c>
      <c r="Y164" t="s">
        <v>127</v>
      </c>
      <c r="AA164" t="s">
        <v>33</v>
      </c>
      <c r="AB164">
        <v>2</v>
      </c>
      <c r="AD164">
        <v>3</v>
      </c>
      <c r="AE164" t="s">
        <v>65</v>
      </c>
      <c r="AI164">
        <v>10</v>
      </c>
      <c r="AJ164">
        <v>28</v>
      </c>
    </row>
    <row r="165" spans="1:36" x14ac:dyDescent="0.25">
      <c r="A165" t="s">
        <v>593</v>
      </c>
      <c r="B165">
        <v>170</v>
      </c>
      <c r="C165" t="s">
        <v>48</v>
      </c>
      <c r="D165">
        <v>3</v>
      </c>
      <c r="F165">
        <v>1</v>
      </c>
      <c r="G165" t="s">
        <v>49</v>
      </c>
      <c r="H165" t="s">
        <v>71</v>
      </c>
      <c r="K165" t="s">
        <v>33</v>
      </c>
      <c r="L165">
        <v>1</v>
      </c>
      <c r="N165">
        <v>2</v>
      </c>
      <c r="O165" t="s">
        <v>46</v>
      </c>
      <c r="P165" t="s">
        <v>66</v>
      </c>
      <c r="Q165" t="s">
        <v>36</v>
      </c>
      <c r="S165" t="s">
        <v>63</v>
      </c>
      <c r="T165">
        <v>1</v>
      </c>
      <c r="V165">
        <v>1</v>
      </c>
      <c r="W165" t="s">
        <v>72</v>
      </c>
      <c r="X165" t="s">
        <v>95</v>
      </c>
      <c r="AA165" t="s">
        <v>38</v>
      </c>
      <c r="AB165">
        <v>2</v>
      </c>
      <c r="AC165">
        <v>1</v>
      </c>
      <c r="AD165">
        <v>2</v>
      </c>
      <c r="AE165" t="s">
        <v>39</v>
      </c>
      <c r="AF165" t="s">
        <v>70</v>
      </c>
      <c r="AG165" t="s">
        <v>153</v>
      </c>
      <c r="AH165" t="s">
        <v>42</v>
      </c>
      <c r="AI165">
        <v>12</v>
      </c>
      <c r="AJ165">
        <v>37</v>
      </c>
    </row>
    <row r="166" spans="1:36" x14ac:dyDescent="0.25">
      <c r="A166" t="s">
        <v>594</v>
      </c>
      <c r="B166">
        <v>171</v>
      </c>
      <c r="C166" t="s">
        <v>48</v>
      </c>
      <c r="D166">
        <v>3</v>
      </c>
      <c r="F166">
        <v>1</v>
      </c>
      <c r="G166" t="s">
        <v>89</v>
      </c>
      <c r="K166" t="s">
        <v>43</v>
      </c>
      <c r="L166">
        <v>3</v>
      </c>
      <c r="N166">
        <v>1</v>
      </c>
      <c r="O166" t="s">
        <v>44</v>
      </c>
      <c r="P166" t="s">
        <v>136</v>
      </c>
      <c r="S166" t="s">
        <v>33</v>
      </c>
      <c r="T166">
        <v>2</v>
      </c>
      <c r="V166">
        <v>3</v>
      </c>
      <c r="W166" t="s">
        <v>34</v>
      </c>
      <c r="AA166" t="s">
        <v>45</v>
      </c>
      <c r="AB166">
        <v>2</v>
      </c>
      <c r="AD166">
        <v>1</v>
      </c>
      <c r="AE166" t="s">
        <v>140</v>
      </c>
      <c r="AI166">
        <v>9</v>
      </c>
      <c r="AJ166">
        <v>18</v>
      </c>
    </row>
    <row r="167" spans="1:36" x14ac:dyDescent="0.25">
      <c r="A167" t="s">
        <v>595</v>
      </c>
      <c r="B167">
        <v>172</v>
      </c>
      <c r="C167" t="s">
        <v>48</v>
      </c>
      <c r="D167">
        <v>2</v>
      </c>
      <c r="F167">
        <v>1</v>
      </c>
      <c r="G167" t="s">
        <v>89</v>
      </c>
      <c r="H167" t="s">
        <v>84</v>
      </c>
      <c r="K167" t="s">
        <v>43</v>
      </c>
      <c r="L167">
        <v>3</v>
      </c>
      <c r="N167">
        <v>3</v>
      </c>
      <c r="O167" t="s">
        <v>44</v>
      </c>
      <c r="P167" t="s">
        <v>74</v>
      </c>
      <c r="S167" t="s">
        <v>33</v>
      </c>
      <c r="T167">
        <v>1</v>
      </c>
      <c r="V167">
        <v>3</v>
      </c>
      <c r="W167" t="s">
        <v>34</v>
      </c>
      <c r="AA167" t="s">
        <v>63</v>
      </c>
      <c r="AB167">
        <v>2</v>
      </c>
      <c r="AD167">
        <v>2</v>
      </c>
      <c r="AE167" t="s">
        <v>145</v>
      </c>
      <c r="AF167" t="s">
        <v>91</v>
      </c>
      <c r="AG167" t="s">
        <v>147</v>
      </c>
      <c r="AI167">
        <v>13</v>
      </c>
      <c r="AJ167">
        <v>29</v>
      </c>
    </row>
    <row r="168" spans="1:36" x14ac:dyDescent="0.25">
      <c r="A168" t="s">
        <v>596</v>
      </c>
      <c r="B168">
        <v>173</v>
      </c>
      <c r="C168" t="s">
        <v>48</v>
      </c>
      <c r="D168">
        <v>1</v>
      </c>
      <c r="F168">
        <v>1</v>
      </c>
      <c r="G168" t="s">
        <v>89</v>
      </c>
      <c r="K168" t="s">
        <v>43</v>
      </c>
      <c r="L168">
        <v>3</v>
      </c>
      <c r="N168">
        <v>1</v>
      </c>
      <c r="O168" t="s">
        <v>44</v>
      </c>
      <c r="P168" t="s">
        <v>74</v>
      </c>
      <c r="S168" t="s">
        <v>33</v>
      </c>
      <c r="T168">
        <v>1</v>
      </c>
      <c r="V168">
        <v>3</v>
      </c>
      <c r="W168" t="s">
        <v>34</v>
      </c>
      <c r="AA168" t="s">
        <v>38</v>
      </c>
      <c r="AB168">
        <v>3</v>
      </c>
      <c r="AC168">
        <v>1</v>
      </c>
      <c r="AD168">
        <v>1</v>
      </c>
      <c r="AE168" t="s">
        <v>39</v>
      </c>
      <c r="AI168">
        <v>8</v>
      </c>
      <c r="AJ168">
        <v>24</v>
      </c>
    </row>
    <row r="169" spans="1:36" x14ac:dyDescent="0.25">
      <c r="A169" t="s">
        <v>597</v>
      </c>
      <c r="B169">
        <v>174</v>
      </c>
      <c r="C169" t="s">
        <v>45</v>
      </c>
      <c r="D169">
        <v>3</v>
      </c>
      <c r="F169">
        <v>1</v>
      </c>
      <c r="G169" t="s">
        <v>86</v>
      </c>
      <c r="K169" t="s">
        <v>63</v>
      </c>
      <c r="L169">
        <v>1</v>
      </c>
      <c r="N169">
        <v>1</v>
      </c>
      <c r="O169" t="s">
        <v>145</v>
      </c>
      <c r="P169" t="s">
        <v>95</v>
      </c>
      <c r="S169" t="s">
        <v>48</v>
      </c>
      <c r="T169">
        <v>3</v>
      </c>
      <c r="V169">
        <v>1</v>
      </c>
      <c r="W169" t="s">
        <v>49</v>
      </c>
      <c r="AA169" t="s">
        <v>43</v>
      </c>
      <c r="AB169">
        <v>2</v>
      </c>
      <c r="AD169">
        <v>1</v>
      </c>
      <c r="AE169" t="s">
        <v>44</v>
      </c>
      <c r="AI169">
        <v>6</v>
      </c>
      <c r="AJ169">
        <v>18</v>
      </c>
    </row>
    <row r="170" spans="1:36" x14ac:dyDescent="0.25">
      <c r="A170" t="s">
        <v>598</v>
      </c>
      <c r="B170">
        <v>175</v>
      </c>
      <c r="C170" t="s">
        <v>48</v>
      </c>
      <c r="D170">
        <v>3</v>
      </c>
      <c r="F170">
        <v>3</v>
      </c>
      <c r="G170" t="s">
        <v>89</v>
      </c>
      <c r="H170" t="s">
        <v>50</v>
      </c>
      <c r="I170" t="s">
        <v>51</v>
      </c>
      <c r="K170" t="s">
        <v>43</v>
      </c>
      <c r="L170">
        <v>1</v>
      </c>
      <c r="N170">
        <v>1</v>
      </c>
      <c r="O170" t="s">
        <v>44</v>
      </c>
      <c r="S170" t="s">
        <v>45</v>
      </c>
      <c r="T170">
        <v>3</v>
      </c>
      <c r="V170">
        <v>2</v>
      </c>
      <c r="W170" t="s">
        <v>86</v>
      </c>
      <c r="X170" t="s">
        <v>141</v>
      </c>
      <c r="Y170" t="s">
        <v>93</v>
      </c>
      <c r="Z170" t="s">
        <v>144</v>
      </c>
      <c r="AA170" t="s">
        <v>38</v>
      </c>
      <c r="AB170">
        <v>1</v>
      </c>
      <c r="AC170">
        <v>1</v>
      </c>
      <c r="AD170">
        <v>2</v>
      </c>
      <c r="AE170" t="s">
        <v>39</v>
      </c>
      <c r="AF170" t="s">
        <v>96</v>
      </c>
      <c r="AI170">
        <v>14</v>
      </c>
      <c r="AJ170">
        <v>38</v>
      </c>
    </row>
    <row r="171" spans="1:36" x14ac:dyDescent="0.25">
      <c r="A171" t="s">
        <v>599</v>
      </c>
      <c r="B171">
        <v>176</v>
      </c>
      <c r="C171" t="s">
        <v>48</v>
      </c>
      <c r="D171">
        <v>2</v>
      </c>
      <c r="F171">
        <v>1</v>
      </c>
      <c r="G171" t="s">
        <v>49</v>
      </c>
      <c r="K171" t="s">
        <v>43</v>
      </c>
      <c r="L171">
        <v>2</v>
      </c>
      <c r="N171">
        <v>1</v>
      </c>
      <c r="O171" t="s">
        <v>44</v>
      </c>
      <c r="S171" t="s">
        <v>63</v>
      </c>
      <c r="T171">
        <v>1</v>
      </c>
      <c r="V171">
        <v>1</v>
      </c>
      <c r="W171" t="s">
        <v>72</v>
      </c>
      <c r="X171" t="s">
        <v>91</v>
      </c>
      <c r="AA171" t="s">
        <v>38</v>
      </c>
      <c r="AB171">
        <v>2</v>
      </c>
      <c r="AC171">
        <v>1</v>
      </c>
      <c r="AD171">
        <v>2</v>
      </c>
      <c r="AE171" t="s">
        <v>67</v>
      </c>
      <c r="AI171">
        <v>5</v>
      </c>
      <c r="AJ171">
        <v>20</v>
      </c>
    </row>
    <row r="172" spans="1:36" x14ac:dyDescent="0.25">
      <c r="A172" t="s">
        <v>600</v>
      </c>
      <c r="B172">
        <v>177</v>
      </c>
      <c r="C172" t="s">
        <v>33</v>
      </c>
      <c r="D172">
        <v>2</v>
      </c>
      <c r="F172">
        <v>1</v>
      </c>
      <c r="G172" t="s">
        <v>65</v>
      </c>
      <c r="K172" t="s">
        <v>43</v>
      </c>
      <c r="L172">
        <v>3</v>
      </c>
      <c r="N172">
        <v>1</v>
      </c>
      <c r="O172" t="s">
        <v>135</v>
      </c>
      <c r="P172" t="s">
        <v>74</v>
      </c>
      <c r="S172" t="s">
        <v>48</v>
      </c>
      <c r="T172">
        <v>2</v>
      </c>
      <c r="V172">
        <v>1</v>
      </c>
      <c r="W172" t="s">
        <v>89</v>
      </c>
      <c r="X172" t="s">
        <v>50</v>
      </c>
      <c r="AA172" t="s">
        <v>45</v>
      </c>
      <c r="AB172">
        <v>3</v>
      </c>
      <c r="AD172">
        <v>1</v>
      </c>
      <c r="AE172" t="s">
        <v>140</v>
      </c>
      <c r="AI172">
        <v>8</v>
      </c>
      <c r="AJ172">
        <v>17</v>
      </c>
    </row>
    <row r="173" spans="1:36" x14ac:dyDescent="0.25">
      <c r="A173" t="s">
        <v>601</v>
      </c>
      <c r="B173">
        <v>178</v>
      </c>
      <c r="C173" t="s">
        <v>48</v>
      </c>
      <c r="D173">
        <v>3</v>
      </c>
      <c r="F173">
        <v>1</v>
      </c>
      <c r="G173" t="s">
        <v>49</v>
      </c>
      <c r="H173" t="s">
        <v>50</v>
      </c>
      <c r="I173" t="s">
        <v>127</v>
      </c>
      <c r="J173" t="s">
        <v>129</v>
      </c>
      <c r="K173" t="s">
        <v>45</v>
      </c>
      <c r="L173">
        <v>2</v>
      </c>
      <c r="N173">
        <v>1</v>
      </c>
      <c r="O173" t="s">
        <v>140</v>
      </c>
      <c r="S173" t="s">
        <v>33</v>
      </c>
      <c r="T173">
        <v>2</v>
      </c>
      <c r="V173">
        <v>3</v>
      </c>
      <c r="W173" t="s">
        <v>65</v>
      </c>
      <c r="AA173" t="s">
        <v>63</v>
      </c>
      <c r="AB173">
        <v>2</v>
      </c>
      <c r="AD173">
        <v>1</v>
      </c>
      <c r="AE173" t="s">
        <v>145</v>
      </c>
      <c r="AF173" t="s">
        <v>95</v>
      </c>
      <c r="AG173" t="s">
        <v>147</v>
      </c>
      <c r="AI173">
        <v>12</v>
      </c>
      <c r="AJ173">
        <v>34</v>
      </c>
    </row>
    <row r="174" spans="1:36" x14ac:dyDescent="0.25">
      <c r="A174" t="s">
        <v>602</v>
      </c>
      <c r="B174">
        <v>179</v>
      </c>
      <c r="C174" t="s">
        <v>48</v>
      </c>
      <c r="D174">
        <v>2</v>
      </c>
      <c r="F174">
        <v>1</v>
      </c>
      <c r="G174" t="s">
        <v>89</v>
      </c>
      <c r="K174" t="s">
        <v>45</v>
      </c>
      <c r="L174">
        <v>3</v>
      </c>
      <c r="N174">
        <v>1</v>
      </c>
      <c r="O174" t="s">
        <v>140</v>
      </c>
      <c r="S174" t="s">
        <v>33</v>
      </c>
      <c r="T174">
        <v>2</v>
      </c>
      <c r="V174">
        <v>3</v>
      </c>
      <c r="W174" t="s">
        <v>65</v>
      </c>
      <c r="X174" t="s">
        <v>35</v>
      </c>
      <c r="AA174" t="s">
        <v>38</v>
      </c>
      <c r="AB174">
        <v>2</v>
      </c>
      <c r="AC174">
        <v>1</v>
      </c>
      <c r="AD174">
        <v>1</v>
      </c>
      <c r="AE174" t="s">
        <v>39</v>
      </c>
      <c r="AF174" t="s">
        <v>96</v>
      </c>
      <c r="AI174">
        <v>9</v>
      </c>
      <c r="AJ174">
        <v>25</v>
      </c>
    </row>
    <row r="175" spans="1:36" x14ac:dyDescent="0.25">
      <c r="A175" t="s">
        <v>603</v>
      </c>
      <c r="B175">
        <v>180</v>
      </c>
      <c r="C175" t="s">
        <v>48</v>
      </c>
      <c r="D175">
        <v>2</v>
      </c>
      <c r="F175">
        <v>1</v>
      </c>
      <c r="G175" t="s">
        <v>89</v>
      </c>
      <c r="H175" t="s">
        <v>71</v>
      </c>
      <c r="I175" t="s">
        <v>51</v>
      </c>
      <c r="K175" t="s">
        <v>45</v>
      </c>
      <c r="L175">
        <v>3</v>
      </c>
      <c r="N175">
        <v>1</v>
      </c>
      <c r="O175" t="s">
        <v>86</v>
      </c>
      <c r="S175" t="s">
        <v>43</v>
      </c>
      <c r="T175">
        <v>2</v>
      </c>
      <c r="V175">
        <v>1</v>
      </c>
      <c r="W175" t="s">
        <v>44</v>
      </c>
      <c r="X175" t="s">
        <v>74</v>
      </c>
      <c r="AA175" t="s">
        <v>63</v>
      </c>
      <c r="AB175">
        <v>2</v>
      </c>
      <c r="AD175">
        <v>1</v>
      </c>
      <c r="AE175" t="s">
        <v>145</v>
      </c>
      <c r="AF175" t="s">
        <v>91</v>
      </c>
      <c r="AG175" t="s">
        <v>147</v>
      </c>
      <c r="AI175">
        <v>10</v>
      </c>
      <c r="AJ175">
        <v>30</v>
      </c>
    </row>
    <row r="176" spans="1:36" x14ac:dyDescent="0.25">
      <c r="A176" t="s">
        <v>604</v>
      </c>
      <c r="B176">
        <v>181</v>
      </c>
      <c r="C176" t="s">
        <v>43</v>
      </c>
      <c r="D176">
        <v>3</v>
      </c>
      <c r="F176">
        <v>2</v>
      </c>
      <c r="G176" t="s">
        <v>44</v>
      </c>
      <c r="K176" t="s">
        <v>38</v>
      </c>
      <c r="L176">
        <v>1</v>
      </c>
      <c r="M176">
        <v>1</v>
      </c>
      <c r="N176">
        <v>2</v>
      </c>
      <c r="O176" t="s">
        <v>67</v>
      </c>
      <c r="S176" t="s">
        <v>48</v>
      </c>
      <c r="T176">
        <v>3</v>
      </c>
      <c r="V176">
        <v>1</v>
      </c>
      <c r="W176" t="s">
        <v>89</v>
      </c>
      <c r="AA176" t="s">
        <v>45</v>
      </c>
      <c r="AB176">
        <v>3</v>
      </c>
      <c r="AD176">
        <v>1</v>
      </c>
      <c r="AE176" t="s">
        <v>140</v>
      </c>
      <c r="AI176">
        <v>8</v>
      </c>
      <c r="AJ176">
        <v>22</v>
      </c>
    </row>
    <row r="177" spans="1:36" x14ac:dyDescent="0.25">
      <c r="A177" t="s">
        <v>605</v>
      </c>
      <c r="B177">
        <v>182</v>
      </c>
      <c r="C177" t="s">
        <v>63</v>
      </c>
      <c r="D177">
        <v>1</v>
      </c>
      <c r="F177">
        <v>1</v>
      </c>
      <c r="G177" t="s">
        <v>72</v>
      </c>
      <c r="H177" t="s">
        <v>95</v>
      </c>
      <c r="I177" t="s">
        <v>147</v>
      </c>
      <c r="J177" t="s">
        <v>151</v>
      </c>
      <c r="K177" t="s">
        <v>38</v>
      </c>
      <c r="L177">
        <v>3</v>
      </c>
      <c r="M177">
        <v>1</v>
      </c>
      <c r="N177">
        <v>2</v>
      </c>
      <c r="O177" t="s">
        <v>67</v>
      </c>
      <c r="P177" t="s">
        <v>40</v>
      </c>
      <c r="S177" t="s">
        <v>48</v>
      </c>
      <c r="T177">
        <v>3</v>
      </c>
      <c r="V177">
        <v>2</v>
      </c>
      <c r="W177" t="s">
        <v>49</v>
      </c>
      <c r="X177" t="s">
        <v>50</v>
      </c>
      <c r="AA177" t="s">
        <v>45</v>
      </c>
      <c r="AB177">
        <v>2</v>
      </c>
      <c r="AD177">
        <v>2</v>
      </c>
      <c r="AE177" t="s">
        <v>86</v>
      </c>
      <c r="AI177">
        <v>13</v>
      </c>
      <c r="AJ177">
        <v>34</v>
      </c>
    </row>
    <row r="178" spans="1:36" x14ac:dyDescent="0.25">
      <c r="A178" t="s">
        <v>606</v>
      </c>
      <c r="B178">
        <v>183</v>
      </c>
      <c r="C178" t="s">
        <v>48</v>
      </c>
      <c r="D178">
        <v>2</v>
      </c>
      <c r="F178">
        <v>1</v>
      </c>
      <c r="G178" t="s">
        <v>89</v>
      </c>
      <c r="H178" t="s">
        <v>50</v>
      </c>
      <c r="I178" t="s">
        <v>51</v>
      </c>
      <c r="K178" t="s">
        <v>63</v>
      </c>
      <c r="L178">
        <v>2</v>
      </c>
      <c r="N178">
        <v>1</v>
      </c>
      <c r="O178" t="s">
        <v>145</v>
      </c>
      <c r="P178" t="s">
        <v>91</v>
      </c>
      <c r="S178" t="s">
        <v>33</v>
      </c>
      <c r="T178">
        <v>3</v>
      </c>
      <c r="V178">
        <v>1</v>
      </c>
      <c r="W178" t="s">
        <v>46</v>
      </c>
      <c r="AA178" t="s">
        <v>43</v>
      </c>
      <c r="AB178">
        <v>1</v>
      </c>
      <c r="AD178">
        <v>1</v>
      </c>
      <c r="AE178" t="s">
        <v>73</v>
      </c>
      <c r="AF178" t="s">
        <v>99</v>
      </c>
      <c r="AG178" t="s">
        <v>75</v>
      </c>
      <c r="AH178" t="s">
        <v>101</v>
      </c>
      <c r="AI178">
        <v>10</v>
      </c>
      <c r="AJ178">
        <v>28</v>
      </c>
    </row>
    <row r="179" spans="1:36" x14ac:dyDescent="0.25">
      <c r="A179" t="s">
        <v>607</v>
      </c>
      <c r="B179">
        <v>184</v>
      </c>
      <c r="C179" t="s">
        <v>48</v>
      </c>
      <c r="D179">
        <v>2</v>
      </c>
      <c r="F179">
        <v>1</v>
      </c>
      <c r="G179" t="s">
        <v>89</v>
      </c>
      <c r="K179" t="s">
        <v>63</v>
      </c>
      <c r="L179">
        <v>3</v>
      </c>
      <c r="N179">
        <v>1</v>
      </c>
      <c r="O179" t="s">
        <v>145</v>
      </c>
      <c r="P179" t="s">
        <v>95</v>
      </c>
      <c r="S179" t="s">
        <v>33</v>
      </c>
      <c r="T179">
        <v>2</v>
      </c>
      <c r="V179">
        <v>3</v>
      </c>
      <c r="W179" t="s">
        <v>65</v>
      </c>
      <c r="X179" t="s">
        <v>35</v>
      </c>
      <c r="AA179" t="s">
        <v>45</v>
      </c>
      <c r="AB179">
        <v>2</v>
      </c>
      <c r="AD179">
        <v>1</v>
      </c>
      <c r="AE179" t="s">
        <v>86</v>
      </c>
      <c r="AF179" t="s">
        <v>92</v>
      </c>
      <c r="AG179" t="s">
        <v>102</v>
      </c>
      <c r="AH179" t="s">
        <v>143</v>
      </c>
      <c r="AI179">
        <v>12</v>
      </c>
      <c r="AJ179">
        <v>26</v>
      </c>
    </row>
    <row r="180" spans="1:36" x14ac:dyDescent="0.25">
      <c r="A180" t="s">
        <v>608</v>
      </c>
      <c r="B180">
        <v>185</v>
      </c>
      <c r="C180" t="s">
        <v>48</v>
      </c>
      <c r="D180">
        <v>3</v>
      </c>
      <c r="F180">
        <v>2</v>
      </c>
      <c r="G180" t="s">
        <v>89</v>
      </c>
      <c r="K180" t="s">
        <v>63</v>
      </c>
      <c r="L180">
        <v>1</v>
      </c>
      <c r="N180">
        <v>1</v>
      </c>
      <c r="O180" t="s">
        <v>72</v>
      </c>
      <c r="P180" t="s">
        <v>95</v>
      </c>
      <c r="S180" t="s">
        <v>33</v>
      </c>
      <c r="T180">
        <v>1</v>
      </c>
      <c r="V180">
        <v>3</v>
      </c>
      <c r="W180" t="s">
        <v>65</v>
      </c>
      <c r="X180" t="s">
        <v>35</v>
      </c>
      <c r="Y180" t="s">
        <v>131</v>
      </c>
      <c r="Z180" t="s">
        <v>134</v>
      </c>
      <c r="AA180" t="s">
        <v>38</v>
      </c>
      <c r="AB180">
        <v>1</v>
      </c>
      <c r="AC180">
        <v>3</v>
      </c>
      <c r="AD180">
        <v>1</v>
      </c>
      <c r="AE180" t="s">
        <v>152</v>
      </c>
      <c r="AI180">
        <v>11</v>
      </c>
      <c r="AJ180">
        <v>33</v>
      </c>
    </row>
    <row r="181" spans="1:36" x14ac:dyDescent="0.25">
      <c r="A181" t="s">
        <v>609</v>
      </c>
      <c r="B181">
        <v>186</v>
      </c>
      <c r="C181" t="s">
        <v>43</v>
      </c>
      <c r="D181">
        <v>3</v>
      </c>
      <c r="F181">
        <v>1</v>
      </c>
      <c r="G181" t="s">
        <v>44</v>
      </c>
      <c r="H181" t="s">
        <v>99</v>
      </c>
      <c r="I181" t="s">
        <v>75</v>
      </c>
      <c r="J181" t="s">
        <v>139</v>
      </c>
      <c r="K181" t="s">
        <v>45</v>
      </c>
      <c r="L181">
        <v>2</v>
      </c>
      <c r="N181">
        <v>1</v>
      </c>
      <c r="O181" t="s">
        <v>86</v>
      </c>
      <c r="S181" t="s">
        <v>48</v>
      </c>
      <c r="T181">
        <v>1</v>
      </c>
      <c r="V181">
        <v>1</v>
      </c>
      <c r="W181" t="s">
        <v>89</v>
      </c>
      <c r="X181" t="s">
        <v>50</v>
      </c>
      <c r="AA181" t="s">
        <v>63</v>
      </c>
      <c r="AB181">
        <v>3</v>
      </c>
      <c r="AD181">
        <v>2</v>
      </c>
      <c r="AE181" t="s">
        <v>72</v>
      </c>
      <c r="AF181" t="s">
        <v>146</v>
      </c>
      <c r="AI181">
        <v>11</v>
      </c>
      <c r="AJ181">
        <v>26</v>
      </c>
    </row>
    <row r="182" spans="1:36" x14ac:dyDescent="0.25">
      <c r="A182" t="s">
        <v>610</v>
      </c>
      <c r="B182">
        <v>187</v>
      </c>
      <c r="C182" t="s">
        <v>48</v>
      </c>
      <c r="D182">
        <v>3</v>
      </c>
      <c r="F182">
        <v>1</v>
      </c>
      <c r="G182" t="s">
        <v>89</v>
      </c>
      <c r="H182" t="s">
        <v>71</v>
      </c>
      <c r="K182" t="s">
        <v>63</v>
      </c>
      <c r="L182">
        <v>1</v>
      </c>
      <c r="N182">
        <v>1</v>
      </c>
      <c r="O182" t="s">
        <v>72</v>
      </c>
      <c r="P182" t="s">
        <v>95</v>
      </c>
      <c r="S182" t="s">
        <v>43</v>
      </c>
      <c r="T182">
        <v>2</v>
      </c>
      <c r="V182">
        <v>1</v>
      </c>
      <c r="W182" t="s">
        <v>44</v>
      </c>
      <c r="X182" t="s">
        <v>74</v>
      </c>
      <c r="AA182" t="s">
        <v>38</v>
      </c>
      <c r="AB182">
        <v>3</v>
      </c>
      <c r="AC182">
        <v>1</v>
      </c>
      <c r="AD182">
        <v>1</v>
      </c>
      <c r="AE182" t="s">
        <v>152</v>
      </c>
      <c r="AF182" t="s">
        <v>96</v>
      </c>
      <c r="AI182">
        <v>9</v>
      </c>
      <c r="AJ182">
        <v>40</v>
      </c>
    </row>
    <row r="183" spans="1:36" x14ac:dyDescent="0.25">
      <c r="A183" t="s">
        <v>611</v>
      </c>
      <c r="B183">
        <v>188</v>
      </c>
      <c r="C183" t="s">
        <v>48</v>
      </c>
      <c r="D183">
        <v>1</v>
      </c>
      <c r="F183">
        <v>1</v>
      </c>
      <c r="G183" t="s">
        <v>89</v>
      </c>
      <c r="H183" t="s">
        <v>50</v>
      </c>
      <c r="I183" t="s">
        <v>127</v>
      </c>
      <c r="J183" t="s">
        <v>129</v>
      </c>
      <c r="K183" t="s">
        <v>63</v>
      </c>
      <c r="L183">
        <v>3</v>
      </c>
      <c r="N183">
        <v>1</v>
      </c>
      <c r="O183" t="s">
        <v>72</v>
      </c>
      <c r="P183" t="s">
        <v>91</v>
      </c>
      <c r="Q183" t="s">
        <v>104</v>
      </c>
      <c r="S183" t="s">
        <v>45</v>
      </c>
      <c r="T183">
        <v>3</v>
      </c>
      <c r="V183">
        <v>3</v>
      </c>
      <c r="W183" t="s">
        <v>86</v>
      </c>
      <c r="X183" t="s">
        <v>76</v>
      </c>
      <c r="AA183" t="s">
        <v>38</v>
      </c>
      <c r="AB183">
        <v>1</v>
      </c>
      <c r="AC183">
        <v>1</v>
      </c>
      <c r="AD183">
        <v>1</v>
      </c>
      <c r="AE183" t="s">
        <v>67</v>
      </c>
      <c r="AI183">
        <v>12</v>
      </c>
      <c r="AJ183">
        <v>34</v>
      </c>
    </row>
    <row r="184" spans="1:36" x14ac:dyDescent="0.25">
      <c r="A184" t="s">
        <v>612</v>
      </c>
      <c r="B184">
        <v>189</v>
      </c>
      <c r="C184" t="s">
        <v>33</v>
      </c>
      <c r="D184">
        <v>2</v>
      </c>
      <c r="F184">
        <v>3</v>
      </c>
      <c r="G184" t="s">
        <v>65</v>
      </c>
      <c r="H184" t="s">
        <v>35</v>
      </c>
      <c r="I184" t="s">
        <v>131</v>
      </c>
      <c r="K184" t="s">
        <v>43</v>
      </c>
      <c r="L184">
        <v>1</v>
      </c>
      <c r="N184">
        <v>1</v>
      </c>
      <c r="O184" t="s">
        <v>73</v>
      </c>
      <c r="P184" t="s">
        <v>74</v>
      </c>
      <c r="S184" t="s">
        <v>48</v>
      </c>
      <c r="T184">
        <v>3</v>
      </c>
      <c r="V184">
        <v>3</v>
      </c>
      <c r="W184" t="s">
        <v>89</v>
      </c>
      <c r="X184" t="s">
        <v>71</v>
      </c>
      <c r="AA184" t="s">
        <v>38</v>
      </c>
      <c r="AB184">
        <v>3</v>
      </c>
      <c r="AC184">
        <v>1</v>
      </c>
      <c r="AD184">
        <v>2</v>
      </c>
      <c r="AE184" t="s">
        <v>67</v>
      </c>
      <c r="AI184">
        <v>14</v>
      </c>
      <c r="AJ184">
        <v>34</v>
      </c>
    </row>
    <row r="185" spans="1:36" x14ac:dyDescent="0.25">
      <c r="A185" t="s">
        <v>613</v>
      </c>
      <c r="B185">
        <v>190</v>
      </c>
      <c r="C185" t="s">
        <v>48</v>
      </c>
      <c r="D185">
        <v>3</v>
      </c>
      <c r="F185">
        <v>1</v>
      </c>
      <c r="G185" t="s">
        <v>89</v>
      </c>
      <c r="H185" t="s">
        <v>84</v>
      </c>
      <c r="K185" t="s">
        <v>38</v>
      </c>
      <c r="L185">
        <v>1</v>
      </c>
      <c r="M185">
        <v>1</v>
      </c>
      <c r="N185">
        <v>2</v>
      </c>
      <c r="O185" t="s">
        <v>39</v>
      </c>
      <c r="S185" t="s">
        <v>33</v>
      </c>
      <c r="T185">
        <v>2</v>
      </c>
      <c r="V185">
        <v>3</v>
      </c>
      <c r="W185" t="s">
        <v>65</v>
      </c>
      <c r="AA185" t="s">
        <v>45</v>
      </c>
      <c r="AB185">
        <v>2</v>
      </c>
      <c r="AD185">
        <v>1</v>
      </c>
      <c r="AE185" t="s">
        <v>47</v>
      </c>
      <c r="AI185">
        <v>8</v>
      </c>
      <c r="AJ185">
        <v>31</v>
      </c>
    </row>
    <row r="186" spans="1:36" x14ac:dyDescent="0.25">
      <c r="A186" t="s">
        <v>614</v>
      </c>
      <c r="B186">
        <v>191</v>
      </c>
      <c r="C186" t="s">
        <v>48</v>
      </c>
      <c r="D186">
        <v>3</v>
      </c>
      <c r="F186">
        <v>1</v>
      </c>
      <c r="G186" t="s">
        <v>49</v>
      </c>
      <c r="H186" t="s">
        <v>50</v>
      </c>
      <c r="I186" t="s">
        <v>127</v>
      </c>
      <c r="K186" t="s">
        <v>38</v>
      </c>
      <c r="L186">
        <v>1</v>
      </c>
      <c r="M186">
        <v>1</v>
      </c>
      <c r="N186">
        <v>1</v>
      </c>
      <c r="O186" t="s">
        <v>152</v>
      </c>
      <c r="S186" t="s">
        <v>33</v>
      </c>
      <c r="T186">
        <v>3</v>
      </c>
      <c r="V186">
        <v>2</v>
      </c>
      <c r="W186" t="s">
        <v>65</v>
      </c>
      <c r="AA186" t="s">
        <v>63</v>
      </c>
      <c r="AB186">
        <v>2</v>
      </c>
      <c r="AD186">
        <v>1</v>
      </c>
      <c r="AE186" t="s">
        <v>103</v>
      </c>
      <c r="AF186" t="s">
        <v>95</v>
      </c>
      <c r="AI186">
        <v>9</v>
      </c>
      <c r="AJ186">
        <v>31</v>
      </c>
    </row>
    <row r="187" spans="1:36" x14ac:dyDescent="0.25">
      <c r="A187" t="s">
        <v>615</v>
      </c>
      <c r="B187">
        <v>192</v>
      </c>
      <c r="C187" t="s">
        <v>48</v>
      </c>
      <c r="D187">
        <v>2</v>
      </c>
      <c r="F187">
        <v>1</v>
      </c>
      <c r="G187" t="s">
        <v>89</v>
      </c>
      <c r="H187" t="s">
        <v>71</v>
      </c>
      <c r="I187" t="s">
        <v>90</v>
      </c>
      <c r="K187" t="s">
        <v>38</v>
      </c>
      <c r="L187">
        <v>1</v>
      </c>
      <c r="M187">
        <v>1</v>
      </c>
      <c r="N187">
        <v>2</v>
      </c>
      <c r="O187" t="s">
        <v>67</v>
      </c>
      <c r="S187" t="s">
        <v>43</v>
      </c>
      <c r="T187">
        <v>3</v>
      </c>
      <c r="V187">
        <v>2</v>
      </c>
      <c r="W187" t="s">
        <v>44</v>
      </c>
      <c r="AA187" t="s">
        <v>45</v>
      </c>
      <c r="AB187">
        <v>1</v>
      </c>
      <c r="AD187">
        <v>1</v>
      </c>
      <c r="AE187" t="s">
        <v>140</v>
      </c>
      <c r="AI187">
        <v>7</v>
      </c>
      <c r="AJ187">
        <v>22</v>
      </c>
    </row>
    <row r="188" spans="1:36" x14ac:dyDescent="0.25">
      <c r="A188" t="s">
        <v>616</v>
      </c>
      <c r="B188">
        <v>193</v>
      </c>
      <c r="C188" t="s">
        <v>43</v>
      </c>
      <c r="D188">
        <v>2</v>
      </c>
      <c r="F188">
        <v>1</v>
      </c>
      <c r="G188" t="s">
        <v>73</v>
      </c>
      <c r="H188" t="s">
        <v>99</v>
      </c>
      <c r="K188" t="s">
        <v>63</v>
      </c>
      <c r="L188">
        <v>1</v>
      </c>
      <c r="N188">
        <v>2</v>
      </c>
      <c r="O188" t="s">
        <v>103</v>
      </c>
      <c r="P188" t="s">
        <v>95</v>
      </c>
      <c r="Q188" t="s">
        <v>147</v>
      </c>
      <c r="S188" t="s">
        <v>48</v>
      </c>
      <c r="T188">
        <v>3</v>
      </c>
      <c r="V188">
        <v>1</v>
      </c>
      <c r="W188" t="s">
        <v>89</v>
      </c>
      <c r="X188" t="s">
        <v>50</v>
      </c>
      <c r="Y188" t="s">
        <v>51</v>
      </c>
      <c r="AA188" t="s">
        <v>38</v>
      </c>
      <c r="AB188">
        <v>3</v>
      </c>
      <c r="AC188">
        <v>1</v>
      </c>
      <c r="AD188">
        <v>2</v>
      </c>
      <c r="AE188" t="s">
        <v>67</v>
      </c>
      <c r="AI188">
        <v>12</v>
      </c>
      <c r="AJ188">
        <v>36</v>
      </c>
    </row>
    <row r="189" spans="1:36" x14ac:dyDescent="0.25">
      <c r="A189" t="s">
        <v>617</v>
      </c>
      <c r="B189">
        <v>194</v>
      </c>
      <c r="C189" t="s">
        <v>48</v>
      </c>
      <c r="D189">
        <v>1</v>
      </c>
      <c r="F189">
        <v>2</v>
      </c>
      <c r="G189" t="s">
        <v>49</v>
      </c>
      <c r="H189" t="s">
        <v>84</v>
      </c>
      <c r="I189" t="s">
        <v>127</v>
      </c>
      <c r="J189" t="s">
        <v>128</v>
      </c>
      <c r="K189" t="s">
        <v>38</v>
      </c>
      <c r="L189">
        <v>1</v>
      </c>
      <c r="M189">
        <v>1</v>
      </c>
      <c r="N189">
        <v>2</v>
      </c>
      <c r="O189" t="s">
        <v>67</v>
      </c>
      <c r="S189" t="s">
        <v>45</v>
      </c>
      <c r="T189">
        <v>2</v>
      </c>
      <c r="V189">
        <v>1</v>
      </c>
      <c r="W189" t="s">
        <v>86</v>
      </c>
      <c r="AA189" t="s">
        <v>63</v>
      </c>
      <c r="AB189">
        <v>2</v>
      </c>
      <c r="AD189">
        <v>1</v>
      </c>
      <c r="AE189" t="s">
        <v>72</v>
      </c>
      <c r="AF189" t="s">
        <v>95</v>
      </c>
      <c r="AG189" t="s">
        <v>147</v>
      </c>
      <c r="AI189">
        <v>9</v>
      </c>
      <c r="AJ189">
        <v>26</v>
      </c>
    </row>
    <row r="190" spans="1:36" x14ac:dyDescent="0.25">
      <c r="A190" t="s">
        <v>618</v>
      </c>
      <c r="B190">
        <v>195</v>
      </c>
      <c r="C190" t="s">
        <v>45</v>
      </c>
      <c r="D190">
        <v>2</v>
      </c>
      <c r="F190">
        <v>1</v>
      </c>
      <c r="G190" t="s">
        <v>140</v>
      </c>
      <c r="K190" t="s">
        <v>63</v>
      </c>
      <c r="L190">
        <v>2</v>
      </c>
      <c r="N190">
        <v>1</v>
      </c>
      <c r="O190" t="s">
        <v>145</v>
      </c>
      <c r="S190" t="s">
        <v>33</v>
      </c>
      <c r="T190">
        <v>2</v>
      </c>
      <c r="V190">
        <v>2</v>
      </c>
      <c r="W190" t="s">
        <v>34</v>
      </c>
      <c r="AA190" t="s">
        <v>43</v>
      </c>
      <c r="AB190">
        <v>2</v>
      </c>
      <c r="AD190">
        <v>1</v>
      </c>
      <c r="AE190" t="s">
        <v>44</v>
      </c>
      <c r="AI190">
        <v>5</v>
      </c>
      <c r="AJ190">
        <v>17</v>
      </c>
    </row>
    <row r="191" spans="1:36" x14ac:dyDescent="0.25">
      <c r="A191" t="s">
        <v>619</v>
      </c>
      <c r="B191">
        <v>196</v>
      </c>
      <c r="C191" t="s">
        <v>45</v>
      </c>
      <c r="D191">
        <v>2</v>
      </c>
      <c r="F191">
        <v>1</v>
      </c>
      <c r="G191" t="s">
        <v>140</v>
      </c>
      <c r="K191" t="s">
        <v>38</v>
      </c>
      <c r="L191">
        <v>1</v>
      </c>
      <c r="M191">
        <v>1</v>
      </c>
      <c r="N191">
        <v>3</v>
      </c>
      <c r="O191" t="s">
        <v>39</v>
      </c>
      <c r="P191" t="s">
        <v>70</v>
      </c>
      <c r="Q191" t="s">
        <v>41</v>
      </c>
      <c r="R191" t="s">
        <v>42</v>
      </c>
      <c r="S191" t="s">
        <v>33</v>
      </c>
      <c r="T191">
        <v>1</v>
      </c>
      <c r="V191">
        <v>1</v>
      </c>
      <c r="W191" t="s">
        <v>65</v>
      </c>
      <c r="AA191" t="s">
        <v>43</v>
      </c>
      <c r="AB191">
        <v>3</v>
      </c>
      <c r="AD191">
        <v>1</v>
      </c>
      <c r="AE191" t="s">
        <v>44</v>
      </c>
      <c r="AF191" t="s">
        <v>136</v>
      </c>
      <c r="AG191" t="s">
        <v>75</v>
      </c>
      <c r="AI191">
        <v>10</v>
      </c>
      <c r="AJ191">
        <v>26</v>
      </c>
    </row>
    <row r="192" spans="1:36" x14ac:dyDescent="0.25">
      <c r="A192" t="s">
        <v>620</v>
      </c>
      <c r="B192">
        <v>197</v>
      </c>
      <c r="C192" t="s">
        <v>33</v>
      </c>
      <c r="D192">
        <v>2</v>
      </c>
      <c r="F192">
        <v>3</v>
      </c>
      <c r="G192" t="s">
        <v>46</v>
      </c>
      <c r="K192" t="s">
        <v>43</v>
      </c>
      <c r="L192">
        <v>2</v>
      </c>
      <c r="N192">
        <v>1</v>
      </c>
      <c r="O192" t="s">
        <v>44</v>
      </c>
      <c r="S192" t="s">
        <v>63</v>
      </c>
      <c r="T192">
        <v>2</v>
      </c>
      <c r="V192">
        <v>1</v>
      </c>
      <c r="W192" t="s">
        <v>72</v>
      </c>
      <c r="X192" t="s">
        <v>146</v>
      </c>
      <c r="AA192" t="s">
        <v>38</v>
      </c>
      <c r="AB192">
        <v>3</v>
      </c>
      <c r="AC192">
        <v>1</v>
      </c>
      <c r="AD192">
        <v>2</v>
      </c>
      <c r="AE192" t="s">
        <v>39</v>
      </c>
      <c r="AI192">
        <v>9</v>
      </c>
      <c r="AJ192">
        <v>24</v>
      </c>
    </row>
    <row r="193" spans="1:36" x14ac:dyDescent="0.25">
      <c r="A193" t="s">
        <v>621</v>
      </c>
      <c r="B193">
        <v>198</v>
      </c>
      <c r="C193" t="s">
        <v>43</v>
      </c>
      <c r="D193">
        <v>2</v>
      </c>
      <c r="F193">
        <v>1</v>
      </c>
      <c r="G193" t="s">
        <v>44</v>
      </c>
      <c r="K193" t="s">
        <v>63</v>
      </c>
      <c r="L193">
        <v>1</v>
      </c>
      <c r="N193">
        <v>1</v>
      </c>
      <c r="O193" t="s">
        <v>145</v>
      </c>
      <c r="P193" t="s">
        <v>95</v>
      </c>
      <c r="S193" t="s">
        <v>33</v>
      </c>
      <c r="T193">
        <v>1</v>
      </c>
      <c r="V193">
        <v>2</v>
      </c>
      <c r="W193" t="s">
        <v>34</v>
      </c>
      <c r="AA193" t="s">
        <v>45</v>
      </c>
      <c r="AB193">
        <v>2</v>
      </c>
      <c r="AD193">
        <v>1</v>
      </c>
      <c r="AE193" t="s">
        <v>140</v>
      </c>
      <c r="AI193">
        <v>4</v>
      </c>
      <c r="AJ193">
        <v>11</v>
      </c>
    </row>
    <row r="194" spans="1:36" x14ac:dyDescent="0.25">
      <c r="A194" t="s">
        <v>622</v>
      </c>
      <c r="B194">
        <v>199</v>
      </c>
      <c r="C194" t="s">
        <v>33</v>
      </c>
      <c r="D194">
        <v>3</v>
      </c>
      <c r="F194">
        <v>2</v>
      </c>
      <c r="G194" t="s">
        <v>65</v>
      </c>
      <c r="K194" t="s">
        <v>45</v>
      </c>
      <c r="L194">
        <v>2</v>
      </c>
      <c r="N194">
        <v>1</v>
      </c>
      <c r="O194" t="s">
        <v>140</v>
      </c>
      <c r="S194" t="s">
        <v>43</v>
      </c>
      <c r="T194">
        <v>2</v>
      </c>
      <c r="V194">
        <v>1</v>
      </c>
      <c r="W194" t="s">
        <v>44</v>
      </c>
      <c r="AA194" t="s">
        <v>38</v>
      </c>
      <c r="AB194">
        <v>1</v>
      </c>
      <c r="AC194">
        <v>1</v>
      </c>
      <c r="AD194">
        <v>3</v>
      </c>
      <c r="AE194" t="s">
        <v>39</v>
      </c>
      <c r="AF194" t="s">
        <v>40</v>
      </c>
      <c r="AG194" t="s">
        <v>153</v>
      </c>
      <c r="AI194">
        <v>9</v>
      </c>
      <c r="AJ194">
        <v>22</v>
      </c>
    </row>
    <row r="195" spans="1:36" x14ac:dyDescent="0.25">
      <c r="A195" t="s">
        <v>623</v>
      </c>
      <c r="B195">
        <v>200</v>
      </c>
      <c r="C195" t="s">
        <v>63</v>
      </c>
      <c r="D195">
        <v>3</v>
      </c>
      <c r="F195">
        <v>1</v>
      </c>
      <c r="G195" t="s">
        <v>72</v>
      </c>
      <c r="K195" t="s">
        <v>38</v>
      </c>
      <c r="L195">
        <v>1</v>
      </c>
      <c r="M195">
        <v>1</v>
      </c>
      <c r="N195">
        <v>1</v>
      </c>
      <c r="O195" t="s">
        <v>39</v>
      </c>
      <c r="P195" t="s">
        <v>70</v>
      </c>
      <c r="S195" t="s">
        <v>33</v>
      </c>
      <c r="T195">
        <v>2</v>
      </c>
      <c r="V195">
        <v>2</v>
      </c>
      <c r="W195" t="s">
        <v>65</v>
      </c>
      <c r="X195" t="s">
        <v>35</v>
      </c>
      <c r="AA195" t="s">
        <v>45</v>
      </c>
      <c r="AB195">
        <v>1</v>
      </c>
      <c r="AD195">
        <v>1</v>
      </c>
      <c r="AE195" t="s">
        <v>47</v>
      </c>
      <c r="AI195">
        <v>6</v>
      </c>
      <c r="AJ195">
        <v>24</v>
      </c>
    </row>
    <row r="196" spans="1:36" x14ac:dyDescent="0.25">
      <c r="A196" t="s">
        <v>624</v>
      </c>
      <c r="B196">
        <v>201</v>
      </c>
      <c r="C196" t="s">
        <v>33</v>
      </c>
      <c r="D196">
        <v>1</v>
      </c>
      <c r="F196">
        <v>2</v>
      </c>
      <c r="G196" t="s">
        <v>34</v>
      </c>
      <c r="K196" t="s">
        <v>63</v>
      </c>
      <c r="L196">
        <v>2</v>
      </c>
      <c r="N196">
        <v>1</v>
      </c>
      <c r="O196" t="s">
        <v>145</v>
      </c>
      <c r="P196" t="s">
        <v>91</v>
      </c>
      <c r="S196" t="s">
        <v>43</v>
      </c>
      <c r="T196">
        <v>2</v>
      </c>
      <c r="V196">
        <v>1</v>
      </c>
      <c r="W196" t="s">
        <v>44</v>
      </c>
      <c r="AA196" t="s">
        <v>45</v>
      </c>
      <c r="AB196">
        <v>3</v>
      </c>
      <c r="AD196">
        <v>1</v>
      </c>
      <c r="AE196" t="s">
        <v>47</v>
      </c>
      <c r="AI196">
        <v>6</v>
      </c>
      <c r="AJ196">
        <v>20</v>
      </c>
    </row>
    <row r="197" spans="1:36" x14ac:dyDescent="0.25">
      <c r="A197" t="s">
        <v>625</v>
      </c>
      <c r="B197">
        <v>202</v>
      </c>
      <c r="C197" t="s">
        <v>43</v>
      </c>
      <c r="D197">
        <v>3</v>
      </c>
      <c r="F197">
        <v>3</v>
      </c>
      <c r="G197" t="s">
        <v>44</v>
      </c>
      <c r="H197" t="s">
        <v>74</v>
      </c>
      <c r="I197" t="s">
        <v>100</v>
      </c>
      <c r="K197" t="s">
        <v>38</v>
      </c>
      <c r="L197">
        <v>1</v>
      </c>
      <c r="M197">
        <v>1</v>
      </c>
      <c r="N197">
        <v>1</v>
      </c>
      <c r="O197" t="s">
        <v>67</v>
      </c>
      <c r="S197" t="s">
        <v>33</v>
      </c>
      <c r="T197">
        <v>2</v>
      </c>
      <c r="V197">
        <v>2</v>
      </c>
      <c r="W197" t="s">
        <v>65</v>
      </c>
      <c r="AA197" t="s">
        <v>63</v>
      </c>
      <c r="AB197">
        <v>3</v>
      </c>
      <c r="AD197">
        <v>1</v>
      </c>
      <c r="AE197" t="s">
        <v>72</v>
      </c>
      <c r="AF197" t="s">
        <v>95</v>
      </c>
      <c r="AI197">
        <v>11</v>
      </c>
      <c r="AJ197">
        <v>30</v>
      </c>
    </row>
    <row r="198" spans="1:36" x14ac:dyDescent="0.25">
      <c r="A198" t="s">
        <v>626</v>
      </c>
      <c r="B198">
        <v>203</v>
      </c>
      <c r="C198" t="s">
        <v>45</v>
      </c>
      <c r="D198">
        <v>3</v>
      </c>
      <c r="F198">
        <v>2</v>
      </c>
      <c r="G198" t="s">
        <v>140</v>
      </c>
      <c r="K198" t="s">
        <v>38</v>
      </c>
      <c r="L198">
        <v>1</v>
      </c>
      <c r="M198">
        <v>1</v>
      </c>
      <c r="N198">
        <v>1</v>
      </c>
      <c r="O198" t="s">
        <v>152</v>
      </c>
      <c r="P198" t="s">
        <v>70</v>
      </c>
      <c r="S198" t="s">
        <v>33</v>
      </c>
      <c r="T198">
        <v>2</v>
      </c>
      <c r="V198">
        <v>2</v>
      </c>
      <c r="W198" t="s">
        <v>65</v>
      </c>
      <c r="X198" t="s">
        <v>35</v>
      </c>
      <c r="AA198" t="s">
        <v>63</v>
      </c>
      <c r="AB198">
        <v>2</v>
      </c>
      <c r="AD198">
        <v>1</v>
      </c>
      <c r="AE198" t="s">
        <v>72</v>
      </c>
      <c r="AI198">
        <v>8</v>
      </c>
      <c r="AJ198">
        <v>26</v>
      </c>
    </row>
    <row r="199" spans="1:36" x14ac:dyDescent="0.25">
      <c r="A199" t="s">
        <v>627</v>
      </c>
      <c r="B199">
        <v>204</v>
      </c>
      <c r="C199" t="s">
        <v>33</v>
      </c>
      <c r="D199">
        <v>3</v>
      </c>
      <c r="F199">
        <v>3</v>
      </c>
      <c r="G199" t="s">
        <v>34</v>
      </c>
      <c r="K199" t="s">
        <v>38</v>
      </c>
      <c r="L199">
        <v>1</v>
      </c>
      <c r="M199">
        <v>1</v>
      </c>
      <c r="N199">
        <v>1</v>
      </c>
      <c r="O199" t="s">
        <v>39</v>
      </c>
      <c r="S199" t="s">
        <v>43</v>
      </c>
      <c r="T199">
        <v>3</v>
      </c>
      <c r="V199">
        <v>1</v>
      </c>
      <c r="W199" t="s">
        <v>44</v>
      </c>
      <c r="X199" t="s">
        <v>136</v>
      </c>
      <c r="AA199" t="s">
        <v>45</v>
      </c>
      <c r="AB199">
        <v>2</v>
      </c>
      <c r="AD199">
        <v>1</v>
      </c>
      <c r="AE199" t="s">
        <v>140</v>
      </c>
      <c r="AI199">
        <v>8</v>
      </c>
      <c r="AJ199">
        <v>23</v>
      </c>
    </row>
    <row r="200" spans="1:36" x14ac:dyDescent="0.25">
      <c r="A200" t="s">
        <v>628</v>
      </c>
      <c r="B200">
        <v>205</v>
      </c>
      <c r="C200" t="s">
        <v>33</v>
      </c>
      <c r="D200">
        <v>1</v>
      </c>
      <c r="F200">
        <v>3</v>
      </c>
      <c r="G200" t="s">
        <v>34</v>
      </c>
      <c r="K200" t="s">
        <v>38</v>
      </c>
      <c r="L200">
        <v>3</v>
      </c>
      <c r="M200">
        <v>1</v>
      </c>
      <c r="N200">
        <v>2</v>
      </c>
      <c r="O200" t="s">
        <v>67</v>
      </c>
      <c r="S200" t="s">
        <v>43</v>
      </c>
      <c r="T200">
        <v>2</v>
      </c>
      <c r="V200">
        <v>1</v>
      </c>
      <c r="W200" t="s">
        <v>44</v>
      </c>
      <c r="AA200" t="s">
        <v>63</v>
      </c>
      <c r="AB200">
        <v>3</v>
      </c>
      <c r="AD200">
        <v>1</v>
      </c>
      <c r="AE200" t="s">
        <v>72</v>
      </c>
      <c r="AF200" t="s">
        <v>91</v>
      </c>
      <c r="AI200">
        <v>9</v>
      </c>
      <c r="AJ200">
        <v>25</v>
      </c>
    </row>
    <row r="201" spans="1:36" x14ac:dyDescent="0.25">
      <c r="A201" t="s">
        <v>629</v>
      </c>
      <c r="B201">
        <v>206</v>
      </c>
      <c r="C201" t="s">
        <v>33</v>
      </c>
      <c r="D201">
        <v>2</v>
      </c>
      <c r="F201">
        <v>3</v>
      </c>
      <c r="G201" t="s">
        <v>34</v>
      </c>
      <c r="K201" t="s">
        <v>38</v>
      </c>
      <c r="L201">
        <v>1</v>
      </c>
      <c r="M201">
        <v>1</v>
      </c>
      <c r="N201">
        <v>1</v>
      </c>
      <c r="O201" t="s">
        <v>152</v>
      </c>
      <c r="S201" t="s">
        <v>45</v>
      </c>
      <c r="T201">
        <v>2</v>
      </c>
      <c r="V201">
        <v>1</v>
      </c>
      <c r="W201" t="s">
        <v>140</v>
      </c>
      <c r="AA201" t="s">
        <v>63</v>
      </c>
      <c r="AB201">
        <v>1</v>
      </c>
      <c r="AD201">
        <v>1</v>
      </c>
      <c r="AE201" t="s">
        <v>72</v>
      </c>
      <c r="AF201" t="s">
        <v>95</v>
      </c>
      <c r="AI201">
        <v>5</v>
      </c>
      <c r="AJ201">
        <v>23</v>
      </c>
    </row>
    <row r="202" spans="1:36" x14ac:dyDescent="0.25">
      <c r="A202" t="s">
        <v>630</v>
      </c>
      <c r="B202">
        <v>207</v>
      </c>
      <c r="C202" t="s">
        <v>63</v>
      </c>
      <c r="D202">
        <v>2</v>
      </c>
      <c r="F202">
        <v>1</v>
      </c>
      <c r="G202" t="s">
        <v>72</v>
      </c>
      <c r="H202" t="s">
        <v>95</v>
      </c>
      <c r="I202" t="s">
        <v>104</v>
      </c>
      <c r="K202" t="s">
        <v>38</v>
      </c>
      <c r="L202">
        <v>1</v>
      </c>
      <c r="M202">
        <v>1</v>
      </c>
      <c r="N202">
        <v>2</v>
      </c>
      <c r="O202" t="s">
        <v>67</v>
      </c>
      <c r="S202" t="s">
        <v>43</v>
      </c>
      <c r="T202">
        <v>2</v>
      </c>
      <c r="V202">
        <v>1</v>
      </c>
      <c r="W202" t="s">
        <v>44</v>
      </c>
      <c r="X202" t="s">
        <v>74</v>
      </c>
      <c r="AA202" t="s">
        <v>45</v>
      </c>
      <c r="AB202">
        <v>2</v>
      </c>
      <c r="AD202">
        <v>1</v>
      </c>
      <c r="AE202" t="s">
        <v>140</v>
      </c>
      <c r="AI202">
        <v>7</v>
      </c>
      <c r="AJ202">
        <v>20</v>
      </c>
    </row>
    <row r="203" spans="1:36" x14ac:dyDescent="0.25">
      <c r="A203" t="s">
        <v>631</v>
      </c>
      <c r="B203">
        <v>208</v>
      </c>
      <c r="C203" t="s">
        <v>43</v>
      </c>
      <c r="D203">
        <v>2</v>
      </c>
      <c r="F203">
        <v>2</v>
      </c>
      <c r="G203" t="s">
        <v>44</v>
      </c>
      <c r="H203" t="s">
        <v>136</v>
      </c>
      <c r="K203" t="s">
        <v>63</v>
      </c>
      <c r="L203">
        <v>2</v>
      </c>
      <c r="N203">
        <v>1</v>
      </c>
      <c r="O203" t="s">
        <v>72</v>
      </c>
      <c r="P203" t="s">
        <v>146</v>
      </c>
      <c r="S203" t="s">
        <v>45</v>
      </c>
      <c r="T203">
        <v>3</v>
      </c>
      <c r="V203">
        <v>3</v>
      </c>
      <c r="W203" t="s">
        <v>86</v>
      </c>
      <c r="AA203" t="s">
        <v>38</v>
      </c>
      <c r="AB203">
        <v>1</v>
      </c>
      <c r="AC203">
        <v>1</v>
      </c>
      <c r="AD203">
        <v>1</v>
      </c>
      <c r="AE203" t="s">
        <v>152</v>
      </c>
      <c r="AI203">
        <v>9</v>
      </c>
      <c r="AJ203">
        <v>27</v>
      </c>
    </row>
    <row r="204" spans="1:36" x14ac:dyDescent="0.25">
      <c r="A204" t="s">
        <v>632</v>
      </c>
      <c r="B204">
        <v>209</v>
      </c>
      <c r="C204" t="s">
        <v>45</v>
      </c>
      <c r="D204">
        <v>2</v>
      </c>
      <c r="F204">
        <v>1</v>
      </c>
      <c r="G204" t="s">
        <v>140</v>
      </c>
      <c r="K204" t="s">
        <v>63</v>
      </c>
      <c r="L204">
        <v>2</v>
      </c>
      <c r="N204">
        <v>1</v>
      </c>
      <c r="O204" t="s">
        <v>72</v>
      </c>
      <c r="P204" t="s">
        <v>95</v>
      </c>
      <c r="Q204" t="s">
        <v>147</v>
      </c>
      <c r="S204" t="s">
        <v>43</v>
      </c>
      <c r="T204">
        <v>2</v>
      </c>
      <c r="V204">
        <v>1</v>
      </c>
      <c r="W204" t="s">
        <v>44</v>
      </c>
      <c r="AA204" t="s">
        <v>38</v>
      </c>
      <c r="AB204">
        <v>3</v>
      </c>
      <c r="AC204">
        <v>1</v>
      </c>
      <c r="AD204">
        <v>2</v>
      </c>
      <c r="AE204" t="s">
        <v>67</v>
      </c>
      <c r="AI204">
        <v>8</v>
      </c>
      <c r="AJ204">
        <v>21</v>
      </c>
    </row>
    <row r="205" spans="1:36" x14ac:dyDescent="0.25">
      <c r="A205" t="s">
        <v>1032</v>
      </c>
      <c r="B205">
        <v>34</v>
      </c>
      <c r="C205" t="s">
        <v>56</v>
      </c>
      <c r="D205">
        <v>3</v>
      </c>
      <c r="F205">
        <v>1</v>
      </c>
      <c r="G205" t="s">
        <v>57</v>
      </c>
      <c r="H205" t="s">
        <v>122</v>
      </c>
      <c r="I205" t="s">
        <v>123</v>
      </c>
      <c r="K205" t="s">
        <v>38</v>
      </c>
      <c r="L205">
        <v>1</v>
      </c>
      <c r="M205">
        <v>1</v>
      </c>
      <c r="N205">
        <v>1</v>
      </c>
      <c r="O205" t="s">
        <v>152</v>
      </c>
      <c r="S205" t="s">
        <v>53</v>
      </c>
      <c r="T205">
        <v>2</v>
      </c>
      <c r="U205">
        <v>1</v>
      </c>
      <c r="V205">
        <v>2</v>
      </c>
      <c r="W205" t="s">
        <v>54</v>
      </c>
      <c r="AA205" t="s">
        <v>33</v>
      </c>
      <c r="AB205">
        <v>3</v>
      </c>
      <c r="AD205">
        <v>2</v>
      </c>
      <c r="AE205" t="s">
        <v>65</v>
      </c>
      <c r="AI205">
        <v>9</v>
      </c>
      <c r="AJ205">
        <v>25</v>
      </c>
    </row>
    <row r="206" spans="1:36" x14ac:dyDescent="0.25">
      <c r="A206" t="s">
        <v>1033</v>
      </c>
      <c r="B206">
        <v>36</v>
      </c>
      <c r="C206" t="s">
        <v>48</v>
      </c>
      <c r="D206">
        <v>3</v>
      </c>
      <c r="F206">
        <v>1</v>
      </c>
      <c r="G206" t="s">
        <v>49</v>
      </c>
      <c r="H206" t="s">
        <v>84</v>
      </c>
      <c r="I206" t="s">
        <v>127</v>
      </c>
      <c r="K206" t="s">
        <v>45</v>
      </c>
      <c r="L206">
        <v>2</v>
      </c>
      <c r="N206">
        <v>1</v>
      </c>
      <c r="O206" t="s">
        <v>86</v>
      </c>
      <c r="S206" t="s">
        <v>53</v>
      </c>
      <c r="T206">
        <v>3</v>
      </c>
      <c r="U206">
        <v>1</v>
      </c>
      <c r="V206">
        <v>2</v>
      </c>
      <c r="W206" t="s">
        <v>111</v>
      </c>
      <c r="X206" t="s">
        <v>83</v>
      </c>
      <c r="Y206" t="s">
        <v>105</v>
      </c>
      <c r="AA206" t="s">
        <v>33</v>
      </c>
      <c r="AB206">
        <v>2</v>
      </c>
      <c r="AD206">
        <v>2</v>
      </c>
      <c r="AE206" t="s">
        <v>65</v>
      </c>
      <c r="AI206">
        <v>12</v>
      </c>
      <c r="AJ206">
        <v>29</v>
      </c>
    </row>
    <row r="207" spans="1:36" x14ac:dyDescent="0.25">
      <c r="A207" t="s">
        <v>1034</v>
      </c>
      <c r="B207">
        <v>37</v>
      </c>
      <c r="C207" t="s">
        <v>53</v>
      </c>
      <c r="D207">
        <v>3</v>
      </c>
      <c r="E207">
        <v>1</v>
      </c>
      <c r="F207">
        <v>1</v>
      </c>
      <c r="G207" t="s">
        <v>111</v>
      </c>
      <c r="H207" t="s">
        <v>83</v>
      </c>
      <c r="I207" t="s">
        <v>105</v>
      </c>
      <c r="K207" t="s">
        <v>33</v>
      </c>
      <c r="L207">
        <v>1</v>
      </c>
      <c r="N207">
        <v>2</v>
      </c>
      <c r="O207" t="s">
        <v>46</v>
      </c>
      <c r="S207" t="s">
        <v>48</v>
      </c>
      <c r="T207">
        <v>3</v>
      </c>
      <c r="V207">
        <v>1</v>
      </c>
      <c r="W207" t="s">
        <v>89</v>
      </c>
      <c r="X207" t="s">
        <v>71</v>
      </c>
      <c r="AA207" t="s">
        <v>63</v>
      </c>
      <c r="AB207">
        <v>3</v>
      </c>
      <c r="AD207">
        <v>1</v>
      </c>
      <c r="AE207" t="s">
        <v>72</v>
      </c>
      <c r="AI207">
        <v>10</v>
      </c>
      <c r="AJ207">
        <v>27</v>
      </c>
    </row>
    <row r="208" spans="1:36" x14ac:dyDescent="0.25">
      <c r="A208" t="s">
        <v>1035</v>
      </c>
      <c r="B208">
        <v>38</v>
      </c>
      <c r="C208" t="s">
        <v>53</v>
      </c>
      <c r="D208">
        <v>1</v>
      </c>
      <c r="E208">
        <v>1</v>
      </c>
      <c r="F208">
        <v>1</v>
      </c>
      <c r="G208" t="s">
        <v>111</v>
      </c>
      <c r="H208" t="s">
        <v>55</v>
      </c>
      <c r="K208" t="s">
        <v>33</v>
      </c>
      <c r="L208">
        <v>3</v>
      </c>
      <c r="N208">
        <v>3</v>
      </c>
      <c r="O208" t="s">
        <v>65</v>
      </c>
      <c r="S208" t="s">
        <v>48</v>
      </c>
      <c r="T208">
        <v>3</v>
      </c>
      <c r="V208">
        <v>2</v>
      </c>
      <c r="W208" t="s">
        <v>49</v>
      </c>
      <c r="X208" t="s">
        <v>84</v>
      </c>
      <c r="Y208" t="s">
        <v>127</v>
      </c>
      <c r="AA208" t="s">
        <v>38</v>
      </c>
      <c r="AB208">
        <v>2</v>
      </c>
      <c r="AC208">
        <v>1</v>
      </c>
      <c r="AD208">
        <v>2</v>
      </c>
      <c r="AE208" t="s">
        <v>152</v>
      </c>
      <c r="AF208" t="s">
        <v>40</v>
      </c>
      <c r="AI208">
        <v>13</v>
      </c>
      <c r="AJ208">
        <v>39</v>
      </c>
    </row>
    <row r="209" spans="1:36" x14ac:dyDescent="0.25">
      <c r="A209" t="s">
        <v>1036</v>
      </c>
      <c r="B209">
        <v>41</v>
      </c>
      <c r="C209" t="s">
        <v>43</v>
      </c>
      <c r="D209">
        <v>2</v>
      </c>
      <c r="F209">
        <v>2</v>
      </c>
      <c r="G209" t="s">
        <v>135</v>
      </c>
      <c r="H209" t="s">
        <v>74</v>
      </c>
      <c r="K209" t="s">
        <v>38</v>
      </c>
      <c r="L209">
        <v>2</v>
      </c>
      <c r="M209">
        <v>1</v>
      </c>
      <c r="N209">
        <v>1</v>
      </c>
      <c r="O209" t="s">
        <v>152</v>
      </c>
      <c r="P209" t="s">
        <v>70</v>
      </c>
      <c r="S209" t="s">
        <v>53</v>
      </c>
      <c r="T209">
        <v>1</v>
      </c>
      <c r="U209">
        <v>1</v>
      </c>
      <c r="V209">
        <v>1</v>
      </c>
      <c r="W209" t="s">
        <v>54</v>
      </c>
      <c r="X209" t="s">
        <v>83</v>
      </c>
      <c r="AA209" t="s">
        <v>33</v>
      </c>
      <c r="AB209">
        <v>2</v>
      </c>
      <c r="AD209">
        <v>1</v>
      </c>
      <c r="AE209" t="s">
        <v>65</v>
      </c>
      <c r="AF209" t="s">
        <v>35</v>
      </c>
      <c r="AG209" t="s">
        <v>131</v>
      </c>
      <c r="AI209">
        <v>9</v>
      </c>
      <c r="AJ209">
        <v>32</v>
      </c>
    </row>
    <row r="210" spans="1:36" x14ac:dyDescent="0.25">
      <c r="A210" t="s">
        <v>1037</v>
      </c>
      <c r="B210">
        <v>44</v>
      </c>
      <c r="C210" t="s">
        <v>53</v>
      </c>
      <c r="D210">
        <v>2</v>
      </c>
      <c r="E210">
        <v>1</v>
      </c>
      <c r="F210">
        <v>1</v>
      </c>
      <c r="G210" t="s">
        <v>54</v>
      </c>
      <c r="K210" t="s">
        <v>33</v>
      </c>
      <c r="L210">
        <v>3</v>
      </c>
      <c r="N210">
        <v>3</v>
      </c>
      <c r="O210" t="s">
        <v>65</v>
      </c>
      <c r="P210" t="s">
        <v>35</v>
      </c>
      <c r="S210" t="s">
        <v>63</v>
      </c>
      <c r="T210">
        <v>3</v>
      </c>
      <c r="V210">
        <v>1</v>
      </c>
      <c r="W210" t="s">
        <v>103</v>
      </c>
      <c r="X210" t="s">
        <v>95</v>
      </c>
      <c r="Y210" t="s">
        <v>147</v>
      </c>
      <c r="AA210" t="s">
        <v>38</v>
      </c>
      <c r="AB210">
        <v>2</v>
      </c>
      <c r="AC210">
        <v>1</v>
      </c>
      <c r="AD210">
        <v>2</v>
      </c>
      <c r="AE210" t="s">
        <v>152</v>
      </c>
      <c r="AI210">
        <v>12</v>
      </c>
      <c r="AJ210">
        <v>35</v>
      </c>
    </row>
    <row r="211" spans="1:36" x14ac:dyDescent="0.25">
      <c r="A211" t="s">
        <v>1038</v>
      </c>
      <c r="B211">
        <v>51</v>
      </c>
      <c r="C211" t="s">
        <v>53</v>
      </c>
      <c r="D211">
        <v>1</v>
      </c>
      <c r="E211">
        <v>1</v>
      </c>
      <c r="F211">
        <v>1</v>
      </c>
      <c r="G211" t="s">
        <v>111</v>
      </c>
      <c r="H211" t="s">
        <v>113</v>
      </c>
      <c r="K211" t="s">
        <v>43</v>
      </c>
      <c r="L211">
        <v>3</v>
      </c>
      <c r="N211">
        <v>1</v>
      </c>
      <c r="O211" t="s">
        <v>44</v>
      </c>
      <c r="S211" t="s">
        <v>48</v>
      </c>
      <c r="T211">
        <v>3</v>
      </c>
      <c r="V211">
        <v>1</v>
      </c>
      <c r="W211" t="s">
        <v>89</v>
      </c>
      <c r="AA211" t="s">
        <v>45</v>
      </c>
      <c r="AB211">
        <v>2</v>
      </c>
      <c r="AD211">
        <v>1</v>
      </c>
      <c r="AE211" t="s">
        <v>86</v>
      </c>
      <c r="AI211">
        <v>6</v>
      </c>
      <c r="AJ211">
        <v>22</v>
      </c>
    </row>
  </sheetData>
  <conditionalFormatting sqref="B1">
    <cfRule type="duplicateValues" dxfId="11" priority="3"/>
  </conditionalFormatting>
  <conditionalFormatting sqref="B1:B1048576">
    <cfRule type="duplicateValues" dxfId="10" priority="1"/>
  </conditionalFormatting>
  <conditionalFormatting sqref="A106:B1048576">
    <cfRule type="duplicateValues" dxfId="9" priority="62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12"/>
  <sheetViews>
    <sheetView workbookViewId="0">
      <selection activeCell="O16" sqref="O1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MIN(Scenario1[crystals])</f>
        <v>4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9.4428571428571431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3" s="3">
        <f>IF(ScenarioTeams1[[#This Row],[battles]],ScenarioTeams1[[#This Row],[wins]]/ScenarioTeams1[[#This Row],[battles]],0)</f>
        <v>0.66666666666666663</v>
      </c>
      <c r="O3" s="4" t="s">
        <v>159</v>
      </c>
      <c r="P3" s="30">
        <f>MAX(Scenario1[crystals])</f>
        <v>19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4" s="3">
        <f>IF(ScenarioTeams1[[#This Row],[battles]],ScenarioTeams1[[#This Row],[wins]]/ScenarioTeams1[[#This Row],[battles]],0)</f>
        <v>0.6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5" s="3">
        <f>IF(ScenarioTeams1[[#This Row],[battles]],ScenarioTeams1[[#This Row],[wins]]/ScenarioTeams1[[#This Row],[battles]],0)</f>
        <v>0.53333333333333333</v>
      </c>
      <c r="O5" s="4" t="s">
        <v>158</v>
      </c>
      <c r="P5" s="30">
        <f>MIN(Scenario1[turns])</f>
        <v>11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6" s="3">
        <f>IF(ScenarioTeams1[[#This Row],[battles]],ScenarioTeams1[[#This Row],[wins]]/ScenarioTeams1[[#This Row],[battles]],0)</f>
        <v>0.53333333333333333</v>
      </c>
      <c r="O6" s="5" t="s">
        <v>108</v>
      </c>
      <c r="P6" s="31">
        <f>AVERAGE(Scenario1[turns])</f>
        <v>28.442857142857143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7" s="3">
        <f>IF(ScenarioTeams1[[#This Row],[battles]],ScenarioTeams1[[#This Row],[wins]]/ScenarioTeams1[[#This Row],[battles]],0)</f>
        <v>0.46666666666666667</v>
      </c>
      <c r="O7" s="5" t="s">
        <v>160</v>
      </c>
      <c r="P7" s="31">
        <f>MAX(Scenario1[turns])</f>
        <v>81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3</v>
      </c>
      <c r="M8" s="3">
        <f>IF(ScenarioTeams1[[#This Row],[battles]],ScenarioTeams1[[#This Row],[wins]]/ScenarioTeams1[[#This Row],[battles]],0)</f>
        <v>0.2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9" s="3">
        <f>IF(ScenarioTeams1[[#This Row],[battles]],ScenarioTeams1[[#This Row],[wins]]/ScenarioTeams1[[#This Row],[battles]],0)</f>
        <v>0.6</v>
      </c>
      <c r="O9" s="4" t="s">
        <v>185</v>
      </c>
      <c r="P9" s="30">
        <f>120000*$P$6/1000/60</f>
        <v>56.885714285714286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">
        <f>ScenarioStat1[[#This Row],[team-1-win]]+ScenarioStat1[[#This Row],[team-2-win]]</f>
        <v>1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0" s="3">
        <f>IF(ScenarioTeams1[[#This Row],[battles]],ScenarioTeams1[[#This Row],[wins]]/ScenarioTeams1[[#This Row],[battles]],0)</f>
        <v>0.46666666666666667</v>
      </c>
      <c r="O10" s="5" t="s">
        <v>186</v>
      </c>
      <c r="P10" s="31">
        <f>P9*COUNTA(ScenarioStat1[hero-1])/60/24</f>
        <v>8.2958333333333325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">
        <f>ScenarioStat1[[#This Row],[team-1-win]]+ScenarioStat1[[#This Row],[team-2-win]]</f>
        <v>1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11" s="3">
        <f>IF(ScenarioTeams1[[#This Row],[battles]],ScenarioTeams1[[#This Row],[wins]]/ScenarioTeams1[[#This Row],[battles]],0)</f>
        <v>0.4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">
        <f>ScenarioStat1[[#This Row],[team-1-win]]+ScenarioStat1[[#This Row],[team-2-win]]</f>
        <v>1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12" s="3">
        <f>IF(ScenarioTeams1[[#This Row],[battles]],ScenarioTeams1[[#This Row],[wins]]/ScenarioTeams1[[#This Row],[battles]],0)</f>
        <v>0.4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">
        <f>ScenarioStat1[[#This Row],[team-1-win]]+ScenarioStat1[[#This Row],[team-2-win]]</f>
        <v>1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3" s="3">
        <f>IF(ScenarioTeams1[[#This Row],[battles]],ScenarioTeams1[[#This Row],[wins]]/ScenarioTeams1[[#This Row],[battles]],0)</f>
        <v>0.46666666666666667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1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14" s="3">
        <f>IF(ScenarioTeams1[[#This Row],[battles]],ScenarioTeams1[[#This Row],[wins]]/ScenarioTeams1[[#This Row],[battles]],0)</f>
        <v>0.4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1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5" s="3">
        <f>IF(ScenarioTeams1[[#This Row],[battles]],ScenarioTeams1[[#This Row],[wins]]/ScenarioTeams1[[#This Row],[battles]],0)</f>
        <v>0.53333333333333333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">
        <f>ScenarioStat1[[#This Row],[team-1-win]]+ScenarioStat1[[#This Row],[team-2-win]]</f>
        <v>1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6" s="3">
        <f>IF(ScenarioTeams1[[#This Row],[battles]],ScenarioTeams1[[#This Row],[wins]]/ScenarioTeams1[[#This Row],[battles]],0)</f>
        <v>0.46666666666666667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">
        <f>ScenarioStat1[[#This Row],[team-1-win]]+ScenarioStat1[[#This Row],[team-2-win]]</f>
        <v>1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7" s="3">
        <f>IF(ScenarioTeams1[[#This Row],[battles]],ScenarioTeams1[[#This Row],[wins]]/ScenarioTeams1[[#This Row],[battles]],0)</f>
        <v>0.46666666666666667</v>
      </c>
    </row>
    <row r="18" spans="1:13" x14ac:dyDescent="0.25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">
        <f>ScenarioStat1[[#This Row],[team-1-win]]+ScenarioStat1[[#This Row],[team-2-win]]</f>
        <v>1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8" s="3">
        <f>IF(ScenarioTeams1[[#This Row],[battles]],ScenarioTeams1[[#This Row],[wins]]/ScenarioTeams1[[#This Row],[battles]],0)</f>
        <v>0.53333333333333333</v>
      </c>
    </row>
    <row r="19" spans="1:13" x14ac:dyDescent="0.25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1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9" s="3">
        <f>IF(ScenarioTeams1[[#This Row],[battles]],ScenarioTeams1[[#This Row],[wins]]/ScenarioTeams1[[#This Row],[battles]],0)</f>
        <v>0.53333333333333333</v>
      </c>
    </row>
    <row r="20" spans="1:13" x14ac:dyDescent="0.25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">
        <f>ScenarioStat1[[#This Row],[team-1-win]]+ScenarioStat1[[#This Row],[team-2-win]]</f>
        <v>1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0" s="3">
        <f>IF(ScenarioTeams1[[#This Row],[battles]],ScenarioTeams1[[#This Row],[wins]]/ScenarioTeams1[[#This Row],[battles]],0)</f>
        <v>0.53333333333333333</v>
      </c>
    </row>
    <row r="21" spans="1:13" x14ac:dyDescent="0.25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">
        <f>ScenarioStat1[[#This Row],[team-1-win]]+ScenarioStat1[[#This Row],[team-2-win]]</f>
        <v>1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21" s="3">
        <f>IF(ScenarioTeams1[[#This Row],[battles]],ScenarioTeams1[[#This Row],[wins]]/ScenarioTeams1[[#This Row],[battles]],0)</f>
        <v>0.66666666666666663</v>
      </c>
    </row>
    <row r="22" spans="1:13" x14ac:dyDescent="0.25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2">
        <f>ScenarioStat1[[#This Row],[team-1-win]]+ScenarioStat1[[#This Row],[team-2-win]]</f>
        <v>1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2" s="3">
        <f>IF(ScenarioTeams1[[#This Row],[battles]],ScenarioTeams1[[#This Row],[wins]]/ScenarioTeams1[[#This Row],[battles]],0)</f>
        <v>0.46666666666666667</v>
      </c>
    </row>
    <row r="23" spans="1:13" x14ac:dyDescent="0.25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">
        <f>ScenarioStat1[[#This Row],[team-1-win]]+ScenarioStat1[[#This Row],[team-2-win]]</f>
        <v>1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3" s="3">
        <f>IF(ScenarioTeams1[[#This Row],[battles]],ScenarioTeams1[[#This Row],[wins]]/ScenarioTeams1[[#This Row],[battles]],0)</f>
        <v>0.4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">
        <f>ScenarioStat1[[#This Row],[team-1-win]]+ScenarioStat1[[#This Row],[team-2-win]]</f>
        <v>1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4" s="3">
        <f>IF(ScenarioTeams1[[#This Row],[battles]],ScenarioTeams1[[#This Row],[wins]]/ScenarioTeams1[[#This Row],[battles]],0)</f>
        <v>0.46666666666666667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">
        <f>ScenarioStat1[[#This Row],[team-1-win]]+ScenarioStat1[[#This Row],[team-2-win]]</f>
        <v>1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5" s="3">
        <f>IF(ScenarioTeams1[[#This Row],[battles]],ScenarioTeams1[[#This Row],[wins]]/ScenarioTeams1[[#This Row],[battles]],0)</f>
        <v>0.4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">
        <f>ScenarioStat1[[#This Row],[team-1-win]]+ScenarioStat1[[#This Row],[team-2-win]]</f>
        <v>1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6" s="3">
        <f>IF(ScenarioTeams1[[#This Row],[battles]],ScenarioTeams1[[#This Row],[wins]]/ScenarioTeams1[[#This Row],[battles]],0)</f>
        <v>0.6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1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7" s="3">
        <f>IF(ScenarioTeams1[[#This Row],[battles]],ScenarioTeams1[[#This Row],[wins]]/ScenarioTeams1[[#This Row],[battles]],0)</f>
        <v>0.53333333333333333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">
        <f>ScenarioStat1[[#This Row],[team-1-win]]+ScenarioStat1[[#This Row],[team-2-win]]</f>
        <v>1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8" s="3">
        <f>IF(ScenarioTeams1[[#This Row],[battles]],ScenarioTeams1[[#This Row],[wins]]/ScenarioTeams1[[#This Row],[battles]],0)</f>
        <v>0.53333333333333333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9">
        <f>ScenarioStat1[[#This Row],[team-1-win]]+ScenarioStat1[[#This Row],[team-2-win]]</f>
        <v>1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9" s="3">
        <f>IF(ScenarioTeams1[[#This Row],[battles]],ScenarioTeams1[[#This Row],[wins]]/ScenarioTeams1[[#This Row],[battles]],0)</f>
        <v>0.53333333333333333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">
        <f>ScenarioStat1[[#This Row],[team-1-win]]+ScenarioStat1[[#This Row],[team-2-win]]</f>
        <v>1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30" s="3">
        <f>IF(ScenarioTeams1[[#This Row],[battles]],ScenarioTeams1[[#This Row],[wins]]/ScenarioTeams1[[#This Row],[battles]],0)</f>
        <v>0.6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">
        <f>ScenarioStat1[[#This Row],[team-1-win]]+ScenarioStat1[[#This Row],[team-2-win]]</f>
        <v>1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2">
        <f>ScenarioStat1[[#This Row],[team-1-win]]+ScenarioStat1[[#This Row],[team-2-win]]</f>
        <v>1</v>
      </c>
    </row>
    <row r="33" spans="1:7" x14ac:dyDescent="0.25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1</v>
      </c>
    </row>
    <row r="34" spans="1:7" x14ac:dyDescent="0.25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">
        <f>ScenarioStat1[[#This Row],[team-1-win]]+ScenarioStat1[[#This Row],[team-2-win]]</f>
        <v>1</v>
      </c>
    </row>
    <row r="35" spans="1:7" x14ac:dyDescent="0.25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">
        <f>ScenarioStat1[[#This Row],[team-1-win]]+ScenarioStat1[[#This Row],[team-2-win]]</f>
        <v>1</v>
      </c>
    </row>
    <row r="36" spans="1:7" x14ac:dyDescent="0.25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">
        <f>ScenarioStat1[[#This Row],[team-1-win]]+ScenarioStat1[[#This Row],[team-2-win]]</f>
        <v>1</v>
      </c>
    </row>
    <row r="37" spans="1:7" x14ac:dyDescent="0.25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7">
        <f>ScenarioStat1[[#This Row],[team-1-win]]+ScenarioStat1[[#This Row],[team-2-win]]</f>
        <v>1</v>
      </c>
    </row>
    <row r="38" spans="1:7" x14ac:dyDescent="0.25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">
        <f>ScenarioStat1[[#This Row],[team-1-win]]+ScenarioStat1[[#This Row],[team-2-win]]</f>
        <v>1</v>
      </c>
    </row>
    <row r="39" spans="1:7" x14ac:dyDescent="0.25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9">
        <f>ScenarioStat1[[#This Row],[team-1-win]]+ScenarioStat1[[#This Row],[team-2-win]]</f>
        <v>1</v>
      </c>
    </row>
    <row r="40" spans="1:7" x14ac:dyDescent="0.25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1</v>
      </c>
    </row>
    <row r="41" spans="1:7" x14ac:dyDescent="0.25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1">
        <f>ScenarioStat1[[#This Row],[team-1-win]]+ScenarioStat1[[#This Row],[team-2-win]]</f>
        <v>1</v>
      </c>
    </row>
    <row r="42" spans="1:7" x14ac:dyDescent="0.25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2">
        <f>ScenarioStat1[[#This Row],[team-1-win]]+ScenarioStat1[[#This Row],[team-2-win]]</f>
        <v>1</v>
      </c>
    </row>
    <row r="43" spans="1:7" x14ac:dyDescent="0.25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3">
        <f>ScenarioStat1[[#This Row],[team-1-win]]+ScenarioStat1[[#This Row],[team-2-win]]</f>
        <v>1</v>
      </c>
    </row>
    <row r="44" spans="1:7" x14ac:dyDescent="0.25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4">
        <f>ScenarioStat1[[#This Row],[team-1-win]]+ScenarioStat1[[#This Row],[team-2-win]]</f>
        <v>1</v>
      </c>
    </row>
    <row r="45" spans="1:7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5">
        <f>ScenarioStat1[[#This Row],[team-1-win]]+ScenarioStat1[[#This Row],[team-2-win]]</f>
        <v>1</v>
      </c>
    </row>
    <row r="46" spans="1:7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6">
        <f>ScenarioStat1[[#This Row],[team-1-win]]+ScenarioStat1[[#This Row],[team-2-win]]</f>
        <v>1</v>
      </c>
    </row>
    <row r="47" spans="1:7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1</v>
      </c>
    </row>
    <row r="48" spans="1:7" x14ac:dyDescent="0.25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8">
        <f>ScenarioStat1[[#This Row],[team-1-win]]+ScenarioStat1[[#This Row],[team-2-win]]</f>
        <v>1</v>
      </c>
    </row>
    <row r="49" spans="1:7" x14ac:dyDescent="0.25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1</v>
      </c>
    </row>
    <row r="50" spans="1:7" x14ac:dyDescent="0.25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0">
        <f>ScenarioStat1[[#This Row],[team-1-win]]+ScenarioStat1[[#This Row],[team-2-win]]</f>
        <v>1</v>
      </c>
    </row>
    <row r="51" spans="1:7" x14ac:dyDescent="0.25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1">
        <f>ScenarioStat1[[#This Row],[team-1-win]]+ScenarioStat1[[#This Row],[team-2-win]]</f>
        <v>1</v>
      </c>
    </row>
    <row r="52" spans="1:7" x14ac:dyDescent="0.25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2">
        <f>ScenarioStat1[[#This Row],[team-1-win]]+ScenarioStat1[[#This Row],[team-2-win]]</f>
        <v>1</v>
      </c>
    </row>
    <row r="53" spans="1:7" x14ac:dyDescent="0.25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1</v>
      </c>
    </row>
    <row r="54" spans="1:7" x14ac:dyDescent="0.25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4">
        <f>ScenarioStat1[[#This Row],[team-1-win]]+ScenarioStat1[[#This Row],[team-2-win]]</f>
        <v>1</v>
      </c>
    </row>
    <row r="55" spans="1:7" x14ac:dyDescent="0.25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5">
        <f>ScenarioStat1[[#This Row],[team-1-win]]+ScenarioStat1[[#This Row],[team-2-win]]</f>
        <v>1</v>
      </c>
    </row>
    <row r="56" spans="1:7" x14ac:dyDescent="0.25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6">
        <f>ScenarioStat1[[#This Row],[team-1-win]]+ScenarioStat1[[#This Row],[team-2-win]]</f>
        <v>1</v>
      </c>
    </row>
    <row r="57" spans="1:7" x14ac:dyDescent="0.25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7">
        <f>ScenarioStat1[[#This Row],[team-1-win]]+ScenarioStat1[[#This Row],[team-2-win]]</f>
        <v>1</v>
      </c>
    </row>
    <row r="58" spans="1:7" x14ac:dyDescent="0.25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1</v>
      </c>
    </row>
    <row r="59" spans="1:7" x14ac:dyDescent="0.25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9">
        <f>ScenarioStat1[[#This Row],[team-1-win]]+ScenarioStat1[[#This Row],[team-2-win]]</f>
        <v>1</v>
      </c>
    </row>
    <row r="60" spans="1:7" x14ac:dyDescent="0.25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0">
        <f>ScenarioStat1[[#This Row],[team-1-win]]+ScenarioStat1[[#This Row],[team-2-win]]</f>
        <v>1</v>
      </c>
    </row>
    <row r="61" spans="1:7" x14ac:dyDescent="0.25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1">
        <f>ScenarioStat1[[#This Row],[team-1-win]]+ScenarioStat1[[#This Row],[team-2-win]]</f>
        <v>1</v>
      </c>
    </row>
    <row r="62" spans="1:7" x14ac:dyDescent="0.25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2">
        <f>ScenarioStat1[[#This Row],[team-1-win]]+ScenarioStat1[[#This Row],[team-2-win]]</f>
        <v>1</v>
      </c>
    </row>
    <row r="63" spans="1:7" x14ac:dyDescent="0.25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3">
        <f>ScenarioStat1[[#This Row],[team-1-win]]+ScenarioStat1[[#This Row],[team-2-win]]</f>
        <v>1</v>
      </c>
    </row>
    <row r="64" spans="1:7" x14ac:dyDescent="0.25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1</v>
      </c>
    </row>
    <row r="65" spans="1:7" x14ac:dyDescent="0.25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1</v>
      </c>
    </row>
    <row r="66" spans="1:7" x14ac:dyDescent="0.25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6">
        <f>ScenarioStat1[[#This Row],[team-1-win]]+ScenarioStat1[[#This Row],[team-2-win]]</f>
        <v>1</v>
      </c>
    </row>
    <row r="67" spans="1:7" x14ac:dyDescent="0.25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1</v>
      </c>
    </row>
    <row r="68" spans="1:7" x14ac:dyDescent="0.25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8">
        <f>ScenarioStat1[[#This Row],[team-1-win]]+ScenarioStat1[[#This Row],[team-2-win]]</f>
        <v>1</v>
      </c>
    </row>
    <row r="69" spans="1:7" x14ac:dyDescent="0.25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9">
        <f>ScenarioStat1[[#This Row],[team-1-win]]+ScenarioStat1[[#This Row],[team-2-win]]</f>
        <v>1</v>
      </c>
    </row>
    <row r="70" spans="1:7" x14ac:dyDescent="0.25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1</v>
      </c>
    </row>
    <row r="71" spans="1:7" x14ac:dyDescent="0.25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1">
        <f>ScenarioStat1[[#This Row],[team-1-win]]+ScenarioStat1[[#This Row],[team-2-win]]</f>
        <v>1</v>
      </c>
    </row>
    <row r="72" spans="1:7" x14ac:dyDescent="0.25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2">
        <f>ScenarioStat1[[#This Row],[team-1-win]]+ScenarioStat1[[#This Row],[team-2-win]]</f>
        <v>1</v>
      </c>
    </row>
    <row r="73" spans="1:7" x14ac:dyDescent="0.25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3">
        <f>ScenarioStat1[[#This Row],[team-1-win]]+ScenarioStat1[[#This Row],[team-2-win]]</f>
        <v>1</v>
      </c>
    </row>
    <row r="74" spans="1:7" x14ac:dyDescent="0.25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4">
        <f>ScenarioStat1[[#This Row],[team-1-win]]+ScenarioStat1[[#This Row],[team-2-win]]</f>
        <v>1</v>
      </c>
    </row>
    <row r="75" spans="1:7" x14ac:dyDescent="0.25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5">
        <f>ScenarioStat1[[#This Row],[team-1-win]]+ScenarioStat1[[#This Row],[team-2-win]]</f>
        <v>1</v>
      </c>
    </row>
    <row r="76" spans="1:7" x14ac:dyDescent="0.25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6">
        <f>ScenarioStat1[[#This Row],[team-1-win]]+ScenarioStat1[[#This Row],[team-2-win]]</f>
        <v>1</v>
      </c>
    </row>
    <row r="77" spans="1:7" x14ac:dyDescent="0.25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7">
        <f>ScenarioStat1[[#This Row],[team-1-win]]+ScenarioStat1[[#This Row],[team-2-win]]</f>
        <v>1</v>
      </c>
    </row>
    <row r="78" spans="1:7" x14ac:dyDescent="0.25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8">
        <f>ScenarioStat1[[#This Row],[team-1-win]]+ScenarioStat1[[#This Row],[team-2-win]]</f>
        <v>1</v>
      </c>
    </row>
    <row r="79" spans="1:7" x14ac:dyDescent="0.25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9">
        <f>ScenarioStat1[[#This Row],[team-1-win]]+ScenarioStat1[[#This Row],[team-2-win]]</f>
        <v>1</v>
      </c>
    </row>
    <row r="80" spans="1:7" x14ac:dyDescent="0.25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0">
        <f>ScenarioStat1[[#This Row],[team-1-win]]+ScenarioStat1[[#This Row],[team-2-win]]</f>
        <v>1</v>
      </c>
    </row>
    <row r="81" spans="1:7" x14ac:dyDescent="0.25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1">
        <f>ScenarioStat1[[#This Row],[team-1-win]]+ScenarioStat1[[#This Row],[team-2-win]]</f>
        <v>1</v>
      </c>
    </row>
    <row r="82" spans="1:7" x14ac:dyDescent="0.25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2">
        <f>ScenarioStat1[[#This Row],[team-1-win]]+ScenarioStat1[[#This Row],[team-2-win]]</f>
        <v>1</v>
      </c>
    </row>
    <row r="83" spans="1:7" x14ac:dyDescent="0.25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3">
        <f>ScenarioStat1[[#This Row],[team-1-win]]+ScenarioStat1[[#This Row],[team-2-win]]</f>
        <v>1</v>
      </c>
    </row>
    <row r="84" spans="1:7" x14ac:dyDescent="0.25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4">
        <f>ScenarioStat1[[#This Row],[team-1-win]]+ScenarioStat1[[#This Row],[team-2-win]]</f>
        <v>1</v>
      </c>
    </row>
    <row r="85" spans="1:7" x14ac:dyDescent="0.25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5">
        <f>ScenarioStat1[[#This Row],[team-1-win]]+ScenarioStat1[[#This Row],[team-2-win]]</f>
        <v>1</v>
      </c>
    </row>
    <row r="86" spans="1:7" x14ac:dyDescent="0.25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6">
        <f>ScenarioStat1[[#This Row],[team-1-win]]+ScenarioStat1[[#This Row],[team-2-win]]</f>
        <v>1</v>
      </c>
    </row>
    <row r="87" spans="1:7" x14ac:dyDescent="0.25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7">
        <f>ScenarioStat1[[#This Row],[team-1-win]]+ScenarioStat1[[#This Row],[team-2-win]]</f>
        <v>1</v>
      </c>
    </row>
    <row r="88" spans="1:7" x14ac:dyDescent="0.25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8">
        <f>ScenarioStat1[[#This Row],[team-1-win]]+ScenarioStat1[[#This Row],[team-2-win]]</f>
        <v>1</v>
      </c>
    </row>
    <row r="89" spans="1:7" x14ac:dyDescent="0.25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9">
        <f>ScenarioStat1[[#This Row],[team-1-win]]+ScenarioStat1[[#This Row],[team-2-win]]</f>
        <v>1</v>
      </c>
    </row>
    <row r="90" spans="1:7" x14ac:dyDescent="0.25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0">
        <f>ScenarioStat1[[#This Row],[team-1-win]]+ScenarioStat1[[#This Row],[team-2-win]]</f>
        <v>1</v>
      </c>
    </row>
    <row r="91" spans="1:7" x14ac:dyDescent="0.25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1">
        <f>ScenarioStat1[[#This Row],[team-1-win]]+ScenarioStat1[[#This Row],[team-2-win]]</f>
        <v>1</v>
      </c>
    </row>
    <row r="92" spans="1:7" x14ac:dyDescent="0.25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2">
        <f>ScenarioStat1[[#This Row],[team-1-win]]+ScenarioStat1[[#This Row],[team-2-win]]</f>
        <v>1</v>
      </c>
    </row>
    <row r="93" spans="1:7" x14ac:dyDescent="0.25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3">
        <f>ScenarioStat1[[#This Row],[team-1-win]]+ScenarioStat1[[#This Row],[team-2-win]]</f>
        <v>1</v>
      </c>
    </row>
    <row r="94" spans="1:7" x14ac:dyDescent="0.25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4">
        <f>ScenarioStat1[[#This Row],[team-1-win]]+ScenarioStat1[[#This Row],[team-2-win]]</f>
        <v>1</v>
      </c>
    </row>
    <row r="95" spans="1:7" x14ac:dyDescent="0.25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1</v>
      </c>
    </row>
    <row r="96" spans="1:7" x14ac:dyDescent="0.25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1</v>
      </c>
    </row>
    <row r="97" spans="1:7" x14ac:dyDescent="0.25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7">
        <f>ScenarioStat1[[#This Row],[team-1-win]]+ScenarioStat1[[#This Row],[team-2-win]]</f>
        <v>1</v>
      </c>
    </row>
    <row r="98" spans="1:7" x14ac:dyDescent="0.25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8">
        <f>ScenarioStat1[[#This Row],[team-1-win]]+ScenarioStat1[[#This Row],[team-2-win]]</f>
        <v>1</v>
      </c>
    </row>
    <row r="99" spans="1:7" x14ac:dyDescent="0.25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9">
        <f>ScenarioStat1[[#This Row],[team-1-win]]+ScenarioStat1[[#This Row],[team-2-win]]</f>
        <v>1</v>
      </c>
    </row>
    <row r="100" spans="1:7" x14ac:dyDescent="0.25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0">
        <f>ScenarioStat1[[#This Row],[team-1-win]]+ScenarioStat1[[#This Row],[team-2-win]]</f>
        <v>1</v>
      </c>
    </row>
    <row r="101" spans="1:7" x14ac:dyDescent="0.25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1">
        <f>ScenarioStat1[[#This Row],[team-1-win]]+ScenarioStat1[[#This Row],[team-2-win]]</f>
        <v>1</v>
      </c>
    </row>
    <row r="102" spans="1:7" x14ac:dyDescent="0.25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2">
        <f>ScenarioStat1[[#This Row],[team-1-win]]+ScenarioStat1[[#This Row],[team-2-win]]</f>
        <v>1</v>
      </c>
    </row>
    <row r="103" spans="1:7" x14ac:dyDescent="0.25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3">
        <f>ScenarioStat1[[#This Row],[team-1-win]]+ScenarioStat1[[#This Row],[team-2-win]]</f>
        <v>1</v>
      </c>
    </row>
    <row r="104" spans="1:7" x14ac:dyDescent="0.25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4">
        <f>ScenarioStat1[[#This Row],[team-1-win]]+ScenarioStat1[[#This Row],[team-2-win]]</f>
        <v>1</v>
      </c>
    </row>
    <row r="105" spans="1:7" x14ac:dyDescent="0.25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5">
        <f>ScenarioStat1[[#This Row],[team-1-win]]+ScenarioStat1[[#This Row],[team-2-win]]</f>
        <v>1</v>
      </c>
    </row>
    <row r="106" spans="1:7" x14ac:dyDescent="0.25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6">
        <f>ScenarioStat1[[#This Row],[team-1-win]]+ScenarioStat1[[#This Row],[team-2-win]]</f>
        <v>1</v>
      </c>
    </row>
    <row r="107" spans="1:7" x14ac:dyDescent="0.25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7">
        <f>ScenarioStat1[[#This Row],[team-1-win]]+ScenarioStat1[[#This Row],[team-2-win]]</f>
        <v>1</v>
      </c>
    </row>
    <row r="108" spans="1:7" x14ac:dyDescent="0.25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8">
        <f>ScenarioStat1[[#This Row],[team-1-win]]+ScenarioStat1[[#This Row],[team-2-win]]</f>
        <v>1</v>
      </c>
    </row>
    <row r="109" spans="1:7" x14ac:dyDescent="0.25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9">
        <f>ScenarioStat1[[#This Row],[team-1-win]]+ScenarioStat1[[#This Row],[team-2-win]]</f>
        <v>1</v>
      </c>
    </row>
    <row r="110" spans="1:7" x14ac:dyDescent="0.25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1</v>
      </c>
    </row>
    <row r="111" spans="1:7" x14ac:dyDescent="0.25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1">
        <f>ScenarioStat1[[#This Row],[team-1-win]]+ScenarioStat1[[#This Row],[team-2-win]]</f>
        <v>1</v>
      </c>
    </row>
    <row r="112" spans="1:7" x14ac:dyDescent="0.25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2">
        <f>ScenarioStat1[[#This Row],[team-1-win]]+ScenarioStat1[[#This Row],[team-2-win]]</f>
        <v>1</v>
      </c>
    </row>
    <row r="113" spans="1:7" x14ac:dyDescent="0.25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3">
        <f>ScenarioStat1[[#This Row],[team-1-win]]+ScenarioStat1[[#This Row],[team-2-win]]</f>
        <v>1</v>
      </c>
    </row>
    <row r="114" spans="1:7" x14ac:dyDescent="0.25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4">
        <f>ScenarioStat1[[#This Row],[team-1-win]]+ScenarioStat1[[#This Row],[team-2-win]]</f>
        <v>1</v>
      </c>
    </row>
    <row r="115" spans="1:7" x14ac:dyDescent="0.25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5">
        <f>ScenarioStat1[[#This Row],[team-1-win]]+ScenarioStat1[[#This Row],[team-2-win]]</f>
        <v>1</v>
      </c>
    </row>
    <row r="116" spans="1:7" x14ac:dyDescent="0.25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6">
        <f>ScenarioStat1[[#This Row],[team-1-win]]+ScenarioStat1[[#This Row],[team-2-win]]</f>
        <v>1</v>
      </c>
    </row>
    <row r="117" spans="1:7" x14ac:dyDescent="0.25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7">
        <f>ScenarioStat1[[#This Row],[team-1-win]]+ScenarioStat1[[#This Row],[team-2-win]]</f>
        <v>1</v>
      </c>
    </row>
    <row r="118" spans="1:7" x14ac:dyDescent="0.25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8">
        <f>ScenarioStat1[[#This Row],[team-1-win]]+ScenarioStat1[[#This Row],[team-2-win]]</f>
        <v>1</v>
      </c>
    </row>
    <row r="119" spans="1:7" x14ac:dyDescent="0.25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9">
        <f>ScenarioStat1[[#This Row],[team-1-win]]+ScenarioStat1[[#This Row],[team-2-win]]</f>
        <v>1</v>
      </c>
    </row>
    <row r="120" spans="1:7" x14ac:dyDescent="0.25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0">
        <f>ScenarioStat1[[#This Row],[team-1-win]]+ScenarioStat1[[#This Row],[team-2-win]]</f>
        <v>1</v>
      </c>
    </row>
    <row r="121" spans="1:7" x14ac:dyDescent="0.25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1">
        <f>ScenarioStat1[[#This Row],[team-1-win]]+ScenarioStat1[[#This Row],[team-2-win]]</f>
        <v>1</v>
      </c>
    </row>
    <row r="122" spans="1:7" x14ac:dyDescent="0.25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25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3">
        <f>ScenarioStat1[[#This Row],[team-1-win]]+ScenarioStat1[[#This Row],[team-2-win]]</f>
        <v>1</v>
      </c>
    </row>
    <row r="124" spans="1:7" x14ac:dyDescent="0.25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4">
        <f>ScenarioStat1[[#This Row],[team-1-win]]+ScenarioStat1[[#This Row],[team-2-win]]</f>
        <v>1</v>
      </c>
    </row>
    <row r="125" spans="1:7" x14ac:dyDescent="0.25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5">
        <f>ScenarioStat1[[#This Row],[team-1-win]]+ScenarioStat1[[#This Row],[team-2-win]]</f>
        <v>1</v>
      </c>
    </row>
    <row r="126" spans="1:7" x14ac:dyDescent="0.25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6">
        <f>ScenarioStat1[[#This Row],[team-1-win]]+ScenarioStat1[[#This Row],[team-2-win]]</f>
        <v>1</v>
      </c>
    </row>
    <row r="127" spans="1:7" x14ac:dyDescent="0.25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7">
        <f>ScenarioStat1[[#This Row],[team-1-win]]+ScenarioStat1[[#This Row],[team-2-win]]</f>
        <v>1</v>
      </c>
    </row>
    <row r="128" spans="1:7" x14ac:dyDescent="0.25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8">
        <f>ScenarioStat1[[#This Row],[team-1-win]]+ScenarioStat1[[#This Row],[team-2-win]]</f>
        <v>1</v>
      </c>
    </row>
    <row r="129" spans="1:7" x14ac:dyDescent="0.25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9">
        <f>ScenarioStat1[[#This Row],[team-1-win]]+ScenarioStat1[[#This Row],[team-2-win]]</f>
        <v>1</v>
      </c>
    </row>
    <row r="130" spans="1:7" x14ac:dyDescent="0.25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1</v>
      </c>
    </row>
    <row r="131" spans="1:7" x14ac:dyDescent="0.25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1">
        <f>ScenarioStat1[[#This Row],[team-1-win]]+ScenarioStat1[[#This Row],[team-2-win]]</f>
        <v>1</v>
      </c>
    </row>
    <row r="132" spans="1:7" x14ac:dyDescent="0.25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2">
        <f>ScenarioStat1[[#This Row],[team-1-win]]+ScenarioStat1[[#This Row],[team-2-win]]</f>
        <v>1</v>
      </c>
    </row>
    <row r="133" spans="1:7" x14ac:dyDescent="0.25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3">
        <f>ScenarioStat1[[#This Row],[team-1-win]]+ScenarioStat1[[#This Row],[team-2-win]]</f>
        <v>1</v>
      </c>
    </row>
    <row r="134" spans="1:7" x14ac:dyDescent="0.25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4">
        <f>ScenarioStat1[[#This Row],[team-1-win]]+ScenarioStat1[[#This Row],[team-2-win]]</f>
        <v>1</v>
      </c>
    </row>
    <row r="135" spans="1:7" x14ac:dyDescent="0.25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5">
        <f>ScenarioStat1[[#This Row],[team-1-win]]+ScenarioStat1[[#This Row],[team-2-win]]</f>
        <v>1</v>
      </c>
    </row>
    <row r="136" spans="1:7" x14ac:dyDescent="0.25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6">
        <f>ScenarioStat1[[#This Row],[team-1-win]]+ScenarioStat1[[#This Row],[team-2-win]]</f>
        <v>1</v>
      </c>
    </row>
    <row r="137" spans="1:7" x14ac:dyDescent="0.25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7">
        <f>ScenarioStat1[[#This Row],[team-1-win]]+ScenarioStat1[[#This Row],[team-2-win]]</f>
        <v>1</v>
      </c>
    </row>
    <row r="138" spans="1:7" x14ac:dyDescent="0.25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8">
        <f>ScenarioStat1[[#This Row],[team-1-win]]+ScenarioStat1[[#This Row],[team-2-win]]</f>
        <v>1</v>
      </c>
    </row>
    <row r="139" spans="1:7" x14ac:dyDescent="0.25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9">
        <f>ScenarioStat1[[#This Row],[team-1-win]]+ScenarioStat1[[#This Row],[team-2-win]]</f>
        <v>1</v>
      </c>
    </row>
    <row r="140" spans="1:7" x14ac:dyDescent="0.25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0">
        <f>ScenarioStat1[[#This Row],[team-1-win]]+ScenarioStat1[[#This Row],[team-2-win]]</f>
        <v>1</v>
      </c>
    </row>
    <row r="141" spans="1:7" x14ac:dyDescent="0.25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1">
        <f>ScenarioStat1[[#This Row],[team-1-win]]+ScenarioStat1[[#This Row],[team-2-win]]</f>
        <v>1</v>
      </c>
    </row>
    <row r="142" spans="1:7" x14ac:dyDescent="0.25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2">
        <f>ScenarioStat1[[#This Row],[team-1-win]]+ScenarioStat1[[#This Row],[team-2-win]]</f>
        <v>1</v>
      </c>
    </row>
    <row r="143" spans="1:7" x14ac:dyDescent="0.25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3">
        <f>ScenarioStat1[[#This Row],[team-1-win]]+ScenarioStat1[[#This Row],[team-2-win]]</f>
        <v>1</v>
      </c>
    </row>
    <row r="144" spans="1:7" x14ac:dyDescent="0.25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4">
        <f>ScenarioStat1[[#This Row],[team-1-win]]+ScenarioStat1[[#This Row],[team-2-win]]</f>
        <v>1</v>
      </c>
    </row>
    <row r="145" spans="1:7" x14ac:dyDescent="0.25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5">
        <f>ScenarioStat1[[#This Row],[team-1-win]]+ScenarioStat1[[#This Row],[team-2-win]]</f>
        <v>1</v>
      </c>
    </row>
    <row r="146" spans="1:7" x14ac:dyDescent="0.25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6">
        <f>ScenarioStat1[[#This Row],[team-1-win]]+ScenarioStat1[[#This Row],[team-2-win]]</f>
        <v>1</v>
      </c>
    </row>
    <row r="147" spans="1:7" x14ac:dyDescent="0.25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7">
        <f>ScenarioStat1[[#This Row],[team-1-win]]+ScenarioStat1[[#This Row],[team-2-win]]</f>
        <v>1</v>
      </c>
    </row>
    <row r="148" spans="1:7" x14ac:dyDescent="0.25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8">
        <f>ScenarioStat1[[#This Row],[team-1-win]]+ScenarioStat1[[#This Row],[team-2-win]]</f>
        <v>1</v>
      </c>
    </row>
    <row r="149" spans="1:7" x14ac:dyDescent="0.25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9">
        <f>ScenarioStat1[[#This Row],[team-1-win]]+ScenarioStat1[[#This Row],[team-2-win]]</f>
        <v>1</v>
      </c>
    </row>
    <row r="150" spans="1:7" x14ac:dyDescent="0.25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0">
        <f>ScenarioStat1[[#This Row],[team-1-win]]+ScenarioStat1[[#This Row],[team-2-win]]</f>
        <v>1</v>
      </c>
    </row>
    <row r="151" spans="1:7" x14ac:dyDescent="0.25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1">
        <f>ScenarioStat1[[#This Row],[team-1-win]]+ScenarioStat1[[#This Row],[team-2-win]]</f>
        <v>1</v>
      </c>
    </row>
    <row r="152" spans="1:7" x14ac:dyDescent="0.25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2">
        <f>ScenarioStat1[[#This Row],[team-1-win]]+ScenarioStat1[[#This Row],[team-2-win]]</f>
        <v>1</v>
      </c>
    </row>
    <row r="153" spans="1:7" x14ac:dyDescent="0.25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3">
        <f>ScenarioStat1[[#This Row],[team-1-win]]+ScenarioStat1[[#This Row],[team-2-win]]</f>
        <v>1</v>
      </c>
    </row>
    <row r="154" spans="1:7" x14ac:dyDescent="0.25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4">
        <f>ScenarioStat1[[#This Row],[team-1-win]]+ScenarioStat1[[#This Row],[team-2-win]]</f>
        <v>1</v>
      </c>
    </row>
    <row r="155" spans="1:7" x14ac:dyDescent="0.25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5">
        <f>ScenarioStat1[[#This Row],[team-1-win]]+ScenarioStat1[[#This Row],[team-2-win]]</f>
        <v>1</v>
      </c>
    </row>
    <row r="156" spans="1:7" x14ac:dyDescent="0.25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6">
        <f>ScenarioStat1[[#This Row],[team-1-win]]+ScenarioStat1[[#This Row],[team-2-win]]</f>
        <v>1</v>
      </c>
    </row>
    <row r="157" spans="1:7" x14ac:dyDescent="0.25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7">
        <f>ScenarioStat1[[#This Row],[team-1-win]]+ScenarioStat1[[#This Row],[team-2-win]]</f>
        <v>1</v>
      </c>
    </row>
    <row r="158" spans="1:7" x14ac:dyDescent="0.25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8">
        <f>ScenarioStat1[[#This Row],[team-1-win]]+ScenarioStat1[[#This Row],[team-2-win]]</f>
        <v>1</v>
      </c>
    </row>
    <row r="159" spans="1:7" x14ac:dyDescent="0.25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9">
        <f>ScenarioStat1[[#This Row],[team-1-win]]+ScenarioStat1[[#This Row],[team-2-win]]</f>
        <v>1</v>
      </c>
    </row>
    <row r="160" spans="1:7" x14ac:dyDescent="0.25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0">
        <f>ScenarioStat1[[#This Row],[team-1-win]]+ScenarioStat1[[#This Row],[team-2-win]]</f>
        <v>1</v>
      </c>
    </row>
    <row r="161" spans="1:7" x14ac:dyDescent="0.25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1">
        <f>ScenarioStat1[[#This Row],[team-1-win]]+ScenarioStat1[[#This Row],[team-2-win]]</f>
        <v>1</v>
      </c>
    </row>
    <row r="162" spans="1:7" x14ac:dyDescent="0.25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2">
        <f>ScenarioStat1[[#This Row],[team-1-win]]+ScenarioStat1[[#This Row],[team-2-win]]</f>
        <v>1</v>
      </c>
    </row>
    <row r="163" spans="1:7" x14ac:dyDescent="0.25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3">
        <f>ScenarioStat1[[#This Row],[team-1-win]]+ScenarioStat1[[#This Row],[team-2-win]]</f>
        <v>1</v>
      </c>
    </row>
    <row r="164" spans="1:7" x14ac:dyDescent="0.25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4">
        <f>ScenarioStat1[[#This Row],[team-1-win]]+ScenarioStat1[[#This Row],[team-2-win]]</f>
        <v>1</v>
      </c>
    </row>
    <row r="165" spans="1:7" x14ac:dyDescent="0.25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1</v>
      </c>
    </row>
    <row r="166" spans="1:7" x14ac:dyDescent="0.25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6">
        <f>ScenarioStat1[[#This Row],[team-1-win]]+ScenarioStat1[[#This Row],[team-2-win]]</f>
        <v>1</v>
      </c>
    </row>
    <row r="167" spans="1:7" x14ac:dyDescent="0.25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7">
        <f>ScenarioStat1[[#This Row],[team-1-win]]+ScenarioStat1[[#This Row],[team-2-win]]</f>
        <v>1</v>
      </c>
    </row>
    <row r="168" spans="1:7" x14ac:dyDescent="0.25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8">
        <f>ScenarioStat1[[#This Row],[team-1-win]]+ScenarioStat1[[#This Row],[team-2-win]]</f>
        <v>1</v>
      </c>
    </row>
    <row r="169" spans="1:7" x14ac:dyDescent="0.25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9">
        <f>ScenarioStat1[[#This Row],[team-1-win]]+ScenarioStat1[[#This Row],[team-2-win]]</f>
        <v>1</v>
      </c>
    </row>
    <row r="170" spans="1:7" x14ac:dyDescent="0.25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0">
        <f>ScenarioStat1[[#This Row],[team-1-win]]+ScenarioStat1[[#This Row],[team-2-win]]</f>
        <v>1</v>
      </c>
    </row>
    <row r="171" spans="1:7" x14ac:dyDescent="0.25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1">
        <f>ScenarioStat1[[#This Row],[team-1-win]]+ScenarioStat1[[#This Row],[team-2-win]]</f>
        <v>1</v>
      </c>
    </row>
    <row r="172" spans="1:7" x14ac:dyDescent="0.25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2">
        <f>ScenarioStat1[[#This Row],[team-1-win]]+ScenarioStat1[[#This Row],[team-2-win]]</f>
        <v>1</v>
      </c>
    </row>
    <row r="173" spans="1:7" x14ac:dyDescent="0.25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3">
        <f>ScenarioStat1[[#This Row],[team-1-win]]+ScenarioStat1[[#This Row],[team-2-win]]</f>
        <v>1</v>
      </c>
    </row>
    <row r="174" spans="1:7" x14ac:dyDescent="0.25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4">
        <f>ScenarioStat1[[#This Row],[team-1-win]]+ScenarioStat1[[#This Row],[team-2-win]]</f>
        <v>1</v>
      </c>
    </row>
    <row r="175" spans="1:7" x14ac:dyDescent="0.25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5">
        <f>ScenarioStat1[[#This Row],[team-1-win]]+ScenarioStat1[[#This Row],[team-2-win]]</f>
        <v>1</v>
      </c>
    </row>
    <row r="176" spans="1:7" x14ac:dyDescent="0.25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6">
        <f>ScenarioStat1[[#This Row],[team-1-win]]+ScenarioStat1[[#This Row],[team-2-win]]</f>
        <v>1</v>
      </c>
    </row>
    <row r="177" spans="1:7" x14ac:dyDescent="0.25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7">
        <f>ScenarioStat1[[#This Row],[team-1-win]]+ScenarioStat1[[#This Row],[team-2-win]]</f>
        <v>1</v>
      </c>
    </row>
    <row r="178" spans="1:7" x14ac:dyDescent="0.25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8">
        <f>ScenarioStat1[[#This Row],[team-1-win]]+ScenarioStat1[[#This Row],[team-2-win]]</f>
        <v>1</v>
      </c>
    </row>
    <row r="179" spans="1:7" x14ac:dyDescent="0.25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9">
        <f>ScenarioStat1[[#This Row],[team-1-win]]+ScenarioStat1[[#This Row],[team-2-win]]</f>
        <v>1</v>
      </c>
    </row>
    <row r="180" spans="1:7" x14ac:dyDescent="0.25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0">
        <f>ScenarioStat1[[#This Row],[team-1-win]]+ScenarioStat1[[#This Row],[team-2-win]]</f>
        <v>1</v>
      </c>
    </row>
    <row r="181" spans="1:7" x14ac:dyDescent="0.25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1">
        <f>ScenarioStat1[[#This Row],[team-1-win]]+ScenarioStat1[[#This Row],[team-2-win]]</f>
        <v>1</v>
      </c>
    </row>
    <row r="182" spans="1:7" x14ac:dyDescent="0.25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1</v>
      </c>
    </row>
    <row r="183" spans="1:7" x14ac:dyDescent="0.25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3">
        <f>ScenarioStat1[[#This Row],[team-1-win]]+ScenarioStat1[[#This Row],[team-2-win]]</f>
        <v>1</v>
      </c>
    </row>
    <row r="184" spans="1:7" x14ac:dyDescent="0.25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4">
        <f>ScenarioStat1[[#This Row],[team-1-win]]+ScenarioStat1[[#This Row],[team-2-win]]</f>
        <v>1</v>
      </c>
    </row>
    <row r="185" spans="1:7" x14ac:dyDescent="0.25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5">
        <f>ScenarioStat1[[#This Row],[team-1-win]]+ScenarioStat1[[#This Row],[team-2-win]]</f>
        <v>1</v>
      </c>
    </row>
    <row r="186" spans="1:7" x14ac:dyDescent="0.25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6">
        <f>ScenarioStat1[[#This Row],[team-1-win]]+ScenarioStat1[[#This Row],[team-2-win]]</f>
        <v>1</v>
      </c>
    </row>
    <row r="187" spans="1:7" x14ac:dyDescent="0.25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7">
        <f>ScenarioStat1[[#This Row],[team-1-win]]+ScenarioStat1[[#This Row],[team-2-win]]</f>
        <v>1</v>
      </c>
    </row>
    <row r="188" spans="1:7" x14ac:dyDescent="0.25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8">
        <f>ScenarioStat1[[#This Row],[team-1-win]]+ScenarioStat1[[#This Row],[team-2-win]]</f>
        <v>1</v>
      </c>
    </row>
    <row r="189" spans="1:7" x14ac:dyDescent="0.25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9">
        <f>ScenarioStat1[[#This Row],[team-1-win]]+ScenarioStat1[[#This Row],[team-2-win]]</f>
        <v>1</v>
      </c>
    </row>
    <row r="190" spans="1:7" x14ac:dyDescent="0.25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0">
        <f>ScenarioStat1[[#This Row],[team-1-win]]+ScenarioStat1[[#This Row],[team-2-win]]</f>
        <v>1</v>
      </c>
    </row>
    <row r="191" spans="1:7" x14ac:dyDescent="0.25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1">
        <f>ScenarioStat1[[#This Row],[team-1-win]]+ScenarioStat1[[#This Row],[team-2-win]]</f>
        <v>1</v>
      </c>
    </row>
    <row r="192" spans="1:7" x14ac:dyDescent="0.25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2">
        <f>ScenarioStat1[[#This Row],[team-1-win]]+ScenarioStat1[[#This Row],[team-2-win]]</f>
        <v>1</v>
      </c>
    </row>
    <row r="193" spans="1:7" x14ac:dyDescent="0.25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1</v>
      </c>
    </row>
    <row r="194" spans="1:7" x14ac:dyDescent="0.25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4">
        <f>ScenarioStat1[[#This Row],[team-1-win]]+ScenarioStat1[[#This Row],[team-2-win]]</f>
        <v>1</v>
      </c>
    </row>
    <row r="195" spans="1:7" x14ac:dyDescent="0.25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1</v>
      </c>
    </row>
    <row r="196" spans="1:7" x14ac:dyDescent="0.25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6">
        <f>ScenarioStat1[[#This Row],[team-1-win]]+ScenarioStat1[[#This Row],[team-2-win]]</f>
        <v>1</v>
      </c>
    </row>
    <row r="197" spans="1:7" x14ac:dyDescent="0.25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7">
        <f>ScenarioStat1[[#This Row],[team-1-win]]+ScenarioStat1[[#This Row],[team-2-win]]</f>
        <v>1</v>
      </c>
    </row>
    <row r="198" spans="1:7" x14ac:dyDescent="0.25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8">
        <f>ScenarioStat1[[#This Row],[team-1-win]]+ScenarioStat1[[#This Row],[team-2-win]]</f>
        <v>1</v>
      </c>
    </row>
    <row r="199" spans="1:7" x14ac:dyDescent="0.25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9">
        <f>ScenarioStat1[[#This Row],[team-1-win]]+ScenarioStat1[[#This Row],[team-2-win]]</f>
        <v>1</v>
      </c>
    </row>
    <row r="200" spans="1:7" x14ac:dyDescent="0.25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0">
        <f>ScenarioStat1[[#This Row],[team-1-win]]+ScenarioStat1[[#This Row],[team-2-win]]</f>
        <v>1</v>
      </c>
    </row>
    <row r="201" spans="1:7" x14ac:dyDescent="0.25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1">
        <f>ScenarioStat1[[#This Row],[team-1-win]]+ScenarioStat1[[#This Row],[team-2-win]]</f>
        <v>1</v>
      </c>
    </row>
    <row r="202" spans="1:7" x14ac:dyDescent="0.25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2">
        <f>ScenarioStat1[[#This Row],[team-1-win]]+ScenarioStat1[[#This Row],[team-2-win]]</f>
        <v>1</v>
      </c>
    </row>
    <row r="203" spans="1:7" x14ac:dyDescent="0.25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3">
        <f>ScenarioStat1[[#This Row],[team-1-win]]+ScenarioStat1[[#This Row],[team-2-win]]</f>
        <v>1</v>
      </c>
    </row>
    <row r="204" spans="1:7" x14ac:dyDescent="0.25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4">
        <f>ScenarioStat1[[#This Row],[team-1-win]]+ScenarioStat1[[#This Row],[team-2-win]]</f>
        <v>1</v>
      </c>
    </row>
    <row r="205" spans="1:7" x14ac:dyDescent="0.25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5">
        <f>ScenarioStat1[[#This Row],[team-1-win]]+ScenarioStat1[[#This Row],[team-2-win]]</f>
        <v>1</v>
      </c>
    </row>
    <row r="206" spans="1:7" x14ac:dyDescent="0.25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6">
        <f>ScenarioStat1[[#This Row],[team-1-win]]+ScenarioStat1[[#This Row],[team-2-win]]</f>
        <v>1</v>
      </c>
    </row>
    <row r="207" spans="1:7" x14ac:dyDescent="0.25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7">
        <f>ScenarioStat1[[#This Row],[team-1-win]]+ScenarioStat1[[#This Row],[team-2-win]]</f>
        <v>1</v>
      </c>
    </row>
    <row r="208" spans="1:7" x14ac:dyDescent="0.25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8">
        <f>ScenarioStat1[[#This Row],[team-1-win]]+ScenarioStat1[[#This Row],[team-2-win]]</f>
        <v>1</v>
      </c>
    </row>
    <row r="209" spans="1:7" x14ac:dyDescent="0.25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9">
        <f>ScenarioStat1[[#This Row],[team-1-win]]+ScenarioStat1[[#This Row],[team-2-win]]</f>
        <v>1</v>
      </c>
    </row>
    <row r="210" spans="1:7" x14ac:dyDescent="0.25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0">
        <f>ScenarioStat1[[#This Row],[team-1-win]]+ScenarioStat1[[#This Row],[team-2-win]]</f>
        <v>1</v>
      </c>
    </row>
    <row r="211" spans="1:7" x14ac:dyDescent="0.25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1">
        <f>ScenarioStat1[[#This Row],[team-1-win]]+ScenarioStat1[[#This Row],[team-2-win]]</f>
        <v>1</v>
      </c>
    </row>
    <row r="212" spans="1:7" x14ac:dyDescent="0.25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2">
        <f>ScenarioStat1[[#This Row],[team-1-win]]+ScenarioStat1[[#This Row],[team-2-win]]</f>
        <v>1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7"/>
  <sheetViews>
    <sheetView topLeftCell="A37" workbookViewId="0">
      <selection activeCell="W56" sqref="W56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24" hidden="1" customWidth="1"/>
    <col min="8" max="8" width="19.140625" hidden="1" customWidth="1"/>
    <col min="9" max="9" width="20.7109375" hidden="1" customWidth="1"/>
    <col min="10" max="10" width="19.85546875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24" hidden="1" customWidth="1"/>
    <col min="16" max="16" width="18.7109375" hidden="1" customWidth="1"/>
    <col min="17" max="17" width="20.7109375" hidden="1" customWidth="1"/>
    <col min="18" max="18" width="19.85546875" hidden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633</v>
      </c>
      <c r="B2">
        <v>0</v>
      </c>
      <c r="C2" t="s">
        <v>56</v>
      </c>
      <c r="D2">
        <v>3</v>
      </c>
      <c r="F2">
        <v>2</v>
      </c>
      <c r="G2" t="s">
        <v>120</v>
      </c>
      <c r="H2" t="s">
        <v>121</v>
      </c>
      <c r="I2" t="s">
        <v>123</v>
      </c>
      <c r="J2" t="s">
        <v>124</v>
      </c>
      <c r="K2" t="s">
        <v>53</v>
      </c>
      <c r="L2">
        <v>1</v>
      </c>
      <c r="M2">
        <v>3</v>
      </c>
      <c r="N2">
        <v>3</v>
      </c>
      <c r="O2" t="s">
        <v>112</v>
      </c>
      <c r="P2" t="s">
        <v>55</v>
      </c>
      <c r="Q2" t="s">
        <v>97</v>
      </c>
      <c r="S2">
        <v>0</v>
      </c>
      <c r="T2">
        <v>14</v>
      </c>
    </row>
    <row r="3" spans="1:20" x14ac:dyDescent="0.25">
      <c r="A3" t="s">
        <v>634</v>
      </c>
      <c r="B3">
        <v>1</v>
      </c>
      <c r="C3" t="s">
        <v>53</v>
      </c>
      <c r="D3">
        <v>3</v>
      </c>
      <c r="E3">
        <v>1</v>
      </c>
      <c r="F3">
        <v>2</v>
      </c>
      <c r="G3" t="s">
        <v>112</v>
      </c>
      <c r="H3" t="s">
        <v>55</v>
      </c>
      <c r="I3" t="s">
        <v>114</v>
      </c>
      <c r="K3" t="s">
        <v>48</v>
      </c>
      <c r="L3">
        <v>2</v>
      </c>
      <c r="N3">
        <v>2</v>
      </c>
      <c r="O3" t="s">
        <v>49</v>
      </c>
      <c r="P3" t="s">
        <v>71</v>
      </c>
      <c r="Q3" t="s">
        <v>90</v>
      </c>
      <c r="R3" t="s">
        <v>52</v>
      </c>
      <c r="S3">
        <v>0</v>
      </c>
      <c r="T3">
        <v>13</v>
      </c>
    </row>
    <row r="4" spans="1:20" x14ac:dyDescent="0.25">
      <c r="A4" t="s">
        <v>635</v>
      </c>
      <c r="B4">
        <v>2</v>
      </c>
      <c r="C4" t="s">
        <v>33</v>
      </c>
      <c r="D4">
        <v>2</v>
      </c>
      <c r="F4">
        <v>3</v>
      </c>
      <c r="G4" t="s">
        <v>34</v>
      </c>
      <c r="K4" t="s">
        <v>53</v>
      </c>
      <c r="L4">
        <v>3</v>
      </c>
      <c r="M4">
        <v>1</v>
      </c>
      <c r="N4">
        <v>1</v>
      </c>
      <c r="O4" t="s">
        <v>111</v>
      </c>
      <c r="S4">
        <v>0</v>
      </c>
      <c r="T4">
        <v>7</v>
      </c>
    </row>
    <row r="5" spans="1:20" x14ac:dyDescent="0.25">
      <c r="A5" t="s">
        <v>636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83</v>
      </c>
      <c r="I5" t="s">
        <v>97</v>
      </c>
      <c r="J5" t="s">
        <v>115</v>
      </c>
      <c r="K5" t="s">
        <v>43</v>
      </c>
      <c r="L5">
        <v>3</v>
      </c>
      <c r="N5">
        <v>3</v>
      </c>
      <c r="O5" t="s">
        <v>135</v>
      </c>
      <c r="P5" t="s">
        <v>74</v>
      </c>
      <c r="Q5" t="s">
        <v>75</v>
      </c>
      <c r="R5" t="s">
        <v>138</v>
      </c>
      <c r="S5">
        <v>0</v>
      </c>
      <c r="T5">
        <v>76</v>
      </c>
    </row>
    <row r="6" spans="1:20" x14ac:dyDescent="0.25">
      <c r="A6" t="s">
        <v>637</v>
      </c>
      <c r="B6">
        <v>4</v>
      </c>
      <c r="C6" t="s">
        <v>53</v>
      </c>
      <c r="D6">
        <v>2</v>
      </c>
      <c r="E6">
        <v>3</v>
      </c>
      <c r="F6">
        <v>3</v>
      </c>
      <c r="G6" t="s">
        <v>112</v>
      </c>
      <c r="H6" t="s">
        <v>55</v>
      </c>
      <c r="I6" t="s">
        <v>114</v>
      </c>
      <c r="J6" t="s">
        <v>98</v>
      </c>
      <c r="K6" t="s">
        <v>45</v>
      </c>
      <c r="L6">
        <v>3</v>
      </c>
      <c r="N6">
        <v>3</v>
      </c>
      <c r="O6" t="s">
        <v>86</v>
      </c>
      <c r="P6" t="s">
        <v>141</v>
      </c>
      <c r="Q6" t="s">
        <v>93</v>
      </c>
      <c r="R6" t="s">
        <v>94</v>
      </c>
      <c r="S6">
        <v>0</v>
      </c>
      <c r="T6">
        <v>18</v>
      </c>
    </row>
    <row r="7" spans="1:20" x14ac:dyDescent="0.25">
      <c r="A7" t="s">
        <v>638</v>
      </c>
      <c r="B7">
        <v>5</v>
      </c>
      <c r="C7" t="s">
        <v>63</v>
      </c>
      <c r="D7">
        <v>3</v>
      </c>
      <c r="F7">
        <v>1</v>
      </c>
      <c r="G7" t="s">
        <v>103</v>
      </c>
      <c r="H7" t="s">
        <v>95</v>
      </c>
      <c r="I7" t="s">
        <v>147</v>
      </c>
      <c r="K7" t="s">
        <v>53</v>
      </c>
      <c r="L7">
        <v>2</v>
      </c>
      <c r="M7">
        <v>2</v>
      </c>
      <c r="N7">
        <v>2</v>
      </c>
      <c r="O7" t="s">
        <v>111</v>
      </c>
      <c r="P7" t="s">
        <v>83</v>
      </c>
      <c r="S7">
        <v>0</v>
      </c>
      <c r="T7">
        <v>10</v>
      </c>
    </row>
    <row r="8" spans="1:20" x14ac:dyDescent="0.25">
      <c r="A8" t="s">
        <v>639</v>
      </c>
      <c r="B8">
        <v>6</v>
      </c>
      <c r="C8" t="s">
        <v>53</v>
      </c>
      <c r="D8">
        <v>3</v>
      </c>
      <c r="E8">
        <v>1</v>
      </c>
      <c r="F8">
        <v>1</v>
      </c>
      <c r="G8" t="s">
        <v>112</v>
      </c>
      <c r="H8" t="s">
        <v>83</v>
      </c>
      <c r="I8" t="s">
        <v>114</v>
      </c>
      <c r="K8" t="s">
        <v>38</v>
      </c>
      <c r="L8">
        <v>2</v>
      </c>
      <c r="M8">
        <v>1</v>
      </c>
      <c r="N8">
        <v>2</v>
      </c>
      <c r="O8" t="s">
        <v>152</v>
      </c>
      <c r="P8" t="s">
        <v>40</v>
      </c>
      <c r="Q8" t="s">
        <v>41</v>
      </c>
      <c r="R8" t="s">
        <v>155</v>
      </c>
      <c r="S8">
        <v>0</v>
      </c>
      <c r="T8">
        <v>12</v>
      </c>
    </row>
    <row r="9" spans="1:20" x14ac:dyDescent="0.25">
      <c r="A9" t="s">
        <v>640</v>
      </c>
      <c r="B9">
        <v>7</v>
      </c>
      <c r="C9" t="s">
        <v>48</v>
      </c>
      <c r="D9">
        <v>2</v>
      </c>
      <c r="F9">
        <v>1</v>
      </c>
      <c r="G9" t="s">
        <v>126</v>
      </c>
      <c r="H9" t="s">
        <v>84</v>
      </c>
      <c r="I9" t="s">
        <v>127</v>
      </c>
      <c r="J9" t="s">
        <v>52</v>
      </c>
      <c r="K9" t="s">
        <v>56</v>
      </c>
      <c r="L9">
        <v>2</v>
      </c>
      <c r="N9">
        <v>1</v>
      </c>
      <c r="O9" t="s">
        <v>120</v>
      </c>
      <c r="P9" t="s">
        <v>121</v>
      </c>
      <c r="Q9" t="s">
        <v>123</v>
      </c>
      <c r="S9">
        <v>0</v>
      </c>
      <c r="T9">
        <v>9</v>
      </c>
    </row>
    <row r="10" spans="1:20" x14ac:dyDescent="0.25">
      <c r="A10" t="s">
        <v>641</v>
      </c>
      <c r="B10">
        <v>8</v>
      </c>
      <c r="C10" t="s">
        <v>33</v>
      </c>
      <c r="D10">
        <v>1</v>
      </c>
      <c r="F10">
        <v>3</v>
      </c>
      <c r="G10" t="s">
        <v>34</v>
      </c>
      <c r="H10" t="s">
        <v>35</v>
      </c>
      <c r="I10" t="s">
        <v>36</v>
      </c>
      <c r="K10" t="s">
        <v>56</v>
      </c>
      <c r="L10">
        <v>3</v>
      </c>
      <c r="N10">
        <v>1</v>
      </c>
      <c r="O10" t="s">
        <v>68</v>
      </c>
      <c r="P10" t="s">
        <v>69</v>
      </c>
      <c r="S10">
        <v>0</v>
      </c>
      <c r="T10">
        <v>9</v>
      </c>
    </row>
    <row r="11" spans="1:20" x14ac:dyDescent="0.25">
      <c r="A11" t="s">
        <v>642</v>
      </c>
      <c r="B11">
        <v>9</v>
      </c>
      <c r="C11" t="s">
        <v>56</v>
      </c>
      <c r="D11">
        <v>2</v>
      </c>
      <c r="F11">
        <v>1</v>
      </c>
      <c r="G11" t="s">
        <v>120</v>
      </c>
      <c r="H11" t="s">
        <v>121</v>
      </c>
      <c r="I11" t="s">
        <v>87</v>
      </c>
      <c r="K11" t="s">
        <v>43</v>
      </c>
      <c r="L11">
        <v>2</v>
      </c>
      <c r="N11">
        <v>1</v>
      </c>
      <c r="O11" t="s">
        <v>135</v>
      </c>
      <c r="P11" t="s">
        <v>74</v>
      </c>
      <c r="Q11" t="s">
        <v>75</v>
      </c>
      <c r="S11">
        <v>0</v>
      </c>
      <c r="T11">
        <v>8</v>
      </c>
    </row>
    <row r="12" spans="1:20" x14ac:dyDescent="0.25">
      <c r="A12" t="s">
        <v>643</v>
      </c>
      <c r="B12">
        <v>10</v>
      </c>
      <c r="C12" t="s">
        <v>56</v>
      </c>
      <c r="D12">
        <v>2</v>
      </c>
      <c r="F12">
        <v>1</v>
      </c>
      <c r="G12" t="s">
        <v>57</v>
      </c>
      <c r="H12" t="s">
        <v>122</v>
      </c>
      <c r="K12" t="s">
        <v>45</v>
      </c>
      <c r="L12">
        <v>3</v>
      </c>
      <c r="N12">
        <v>1</v>
      </c>
      <c r="O12" t="s">
        <v>86</v>
      </c>
      <c r="S12">
        <v>0</v>
      </c>
      <c r="T12">
        <v>6</v>
      </c>
    </row>
    <row r="13" spans="1:20" x14ac:dyDescent="0.25">
      <c r="A13" t="s">
        <v>644</v>
      </c>
      <c r="B13">
        <v>11</v>
      </c>
      <c r="C13" t="s">
        <v>63</v>
      </c>
      <c r="D13">
        <v>1</v>
      </c>
      <c r="F13">
        <v>1</v>
      </c>
      <c r="G13" t="s">
        <v>103</v>
      </c>
      <c r="H13" t="s">
        <v>146</v>
      </c>
      <c r="I13" t="s">
        <v>104</v>
      </c>
      <c r="J13" t="s">
        <v>149</v>
      </c>
      <c r="K13" t="s">
        <v>56</v>
      </c>
      <c r="L13">
        <v>3</v>
      </c>
      <c r="N13">
        <v>1</v>
      </c>
      <c r="O13" t="s">
        <v>57</v>
      </c>
      <c r="P13" t="s">
        <v>122</v>
      </c>
      <c r="S13">
        <v>0</v>
      </c>
      <c r="T13">
        <v>10</v>
      </c>
    </row>
    <row r="14" spans="1:20" x14ac:dyDescent="0.25">
      <c r="A14" t="s">
        <v>645</v>
      </c>
      <c r="B14">
        <v>12</v>
      </c>
      <c r="C14" t="s">
        <v>38</v>
      </c>
      <c r="D14">
        <v>1</v>
      </c>
      <c r="E14">
        <v>3</v>
      </c>
      <c r="F14">
        <v>2</v>
      </c>
      <c r="G14" t="s">
        <v>39</v>
      </c>
      <c r="H14" t="s">
        <v>96</v>
      </c>
      <c r="I14" t="s">
        <v>154</v>
      </c>
      <c r="J14" t="s">
        <v>156</v>
      </c>
      <c r="K14" t="s">
        <v>56</v>
      </c>
      <c r="L14">
        <v>3</v>
      </c>
      <c r="N14">
        <v>1</v>
      </c>
      <c r="O14" t="s">
        <v>57</v>
      </c>
      <c r="P14" t="s">
        <v>121</v>
      </c>
      <c r="Q14" t="s">
        <v>85</v>
      </c>
      <c r="R14" t="s">
        <v>125</v>
      </c>
      <c r="S14">
        <v>0</v>
      </c>
      <c r="T14">
        <v>13</v>
      </c>
    </row>
    <row r="15" spans="1:20" x14ac:dyDescent="0.25">
      <c r="A15" t="s">
        <v>646</v>
      </c>
      <c r="B15">
        <v>13</v>
      </c>
      <c r="C15" t="s">
        <v>48</v>
      </c>
      <c r="D15">
        <v>2</v>
      </c>
      <c r="F15">
        <v>1</v>
      </c>
      <c r="G15" t="s">
        <v>89</v>
      </c>
      <c r="H15" t="s">
        <v>71</v>
      </c>
      <c r="K15" t="s">
        <v>33</v>
      </c>
      <c r="L15">
        <v>1</v>
      </c>
      <c r="N15">
        <v>3</v>
      </c>
      <c r="O15" t="s">
        <v>34</v>
      </c>
      <c r="S15">
        <v>0</v>
      </c>
      <c r="T15">
        <v>8</v>
      </c>
    </row>
    <row r="16" spans="1:20" x14ac:dyDescent="0.25">
      <c r="A16" t="s">
        <v>647</v>
      </c>
      <c r="B16">
        <v>14</v>
      </c>
      <c r="C16" t="s">
        <v>43</v>
      </c>
      <c r="D16">
        <v>3</v>
      </c>
      <c r="F16">
        <v>2</v>
      </c>
      <c r="G16" t="s">
        <v>44</v>
      </c>
      <c r="H16" t="s">
        <v>136</v>
      </c>
      <c r="I16" t="s">
        <v>137</v>
      </c>
      <c r="K16" t="s">
        <v>48</v>
      </c>
      <c r="L16">
        <v>2</v>
      </c>
      <c r="N16">
        <v>2</v>
      </c>
      <c r="O16" t="s">
        <v>126</v>
      </c>
      <c r="P16" t="s">
        <v>71</v>
      </c>
      <c r="Q16" t="s">
        <v>90</v>
      </c>
      <c r="S16">
        <v>0</v>
      </c>
      <c r="T16">
        <v>13</v>
      </c>
    </row>
    <row r="17" spans="1:20" x14ac:dyDescent="0.25">
      <c r="A17" t="s">
        <v>648</v>
      </c>
      <c r="B17">
        <v>15</v>
      </c>
      <c r="C17" t="s">
        <v>48</v>
      </c>
      <c r="D17">
        <v>3</v>
      </c>
      <c r="F17">
        <v>3</v>
      </c>
      <c r="G17" t="s">
        <v>126</v>
      </c>
      <c r="H17" t="s">
        <v>84</v>
      </c>
      <c r="I17" t="s">
        <v>90</v>
      </c>
      <c r="J17" t="s">
        <v>128</v>
      </c>
      <c r="K17" t="s">
        <v>45</v>
      </c>
      <c r="L17">
        <v>3</v>
      </c>
      <c r="N17">
        <v>3</v>
      </c>
      <c r="O17" t="s">
        <v>86</v>
      </c>
      <c r="P17" t="s">
        <v>141</v>
      </c>
      <c r="Q17" t="s">
        <v>102</v>
      </c>
      <c r="R17" t="s">
        <v>144</v>
      </c>
      <c r="S17">
        <v>0</v>
      </c>
      <c r="T17">
        <v>18</v>
      </c>
    </row>
    <row r="18" spans="1:20" x14ac:dyDescent="0.25">
      <c r="A18" t="s">
        <v>649</v>
      </c>
      <c r="B18">
        <v>16</v>
      </c>
      <c r="C18" t="s">
        <v>48</v>
      </c>
      <c r="D18">
        <v>3</v>
      </c>
      <c r="F18">
        <v>1</v>
      </c>
      <c r="G18" t="s">
        <v>89</v>
      </c>
      <c r="H18" t="s">
        <v>50</v>
      </c>
      <c r="I18" t="s">
        <v>127</v>
      </c>
      <c r="J18" t="s">
        <v>52</v>
      </c>
      <c r="K18" t="s">
        <v>63</v>
      </c>
      <c r="L18">
        <v>3</v>
      </c>
      <c r="N18">
        <v>1</v>
      </c>
      <c r="O18" t="s">
        <v>72</v>
      </c>
      <c r="P18" t="s">
        <v>146</v>
      </c>
      <c r="Q18" t="s">
        <v>147</v>
      </c>
      <c r="R18" t="s">
        <v>151</v>
      </c>
      <c r="S18">
        <v>0</v>
      </c>
      <c r="T18">
        <v>13</v>
      </c>
    </row>
    <row r="19" spans="1:20" x14ac:dyDescent="0.25">
      <c r="A19" t="s">
        <v>650</v>
      </c>
      <c r="B19">
        <v>17</v>
      </c>
      <c r="C19" t="s">
        <v>48</v>
      </c>
      <c r="D19">
        <v>2</v>
      </c>
      <c r="F19">
        <v>2</v>
      </c>
      <c r="G19" t="s">
        <v>89</v>
      </c>
      <c r="H19" t="s">
        <v>84</v>
      </c>
      <c r="I19" t="s">
        <v>127</v>
      </c>
      <c r="J19" t="s">
        <v>128</v>
      </c>
      <c r="K19" t="s">
        <v>38</v>
      </c>
      <c r="L19">
        <v>3</v>
      </c>
      <c r="M19">
        <v>1</v>
      </c>
      <c r="N19">
        <v>2</v>
      </c>
      <c r="O19" t="s">
        <v>39</v>
      </c>
      <c r="P19" t="s">
        <v>40</v>
      </c>
      <c r="Q19" t="s">
        <v>153</v>
      </c>
      <c r="R19" t="s">
        <v>155</v>
      </c>
      <c r="S19">
        <v>0</v>
      </c>
      <c r="T19">
        <v>14</v>
      </c>
    </row>
    <row r="20" spans="1:20" x14ac:dyDescent="0.25">
      <c r="A20" t="s">
        <v>651</v>
      </c>
      <c r="B20">
        <v>18</v>
      </c>
      <c r="C20" t="s">
        <v>43</v>
      </c>
      <c r="D20">
        <v>3</v>
      </c>
      <c r="F20">
        <v>1</v>
      </c>
      <c r="G20" t="s">
        <v>135</v>
      </c>
      <c r="K20" t="s">
        <v>33</v>
      </c>
      <c r="L20">
        <v>2</v>
      </c>
      <c r="N20">
        <v>2</v>
      </c>
      <c r="O20" t="s">
        <v>34</v>
      </c>
      <c r="S20">
        <v>0</v>
      </c>
      <c r="T20">
        <v>6</v>
      </c>
    </row>
    <row r="21" spans="1:20" x14ac:dyDescent="0.25">
      <c r="A21" t="s">
        <v>652</v>
      </c>
      <c r="B21">
        <v>19</v>
      </c>
      <c r="C21" t="s">
        <v>45</v>
      </c>
      <c r="D21">
        <v>3</v>
      </c>
      <c r="F21">
        <v>1</v>
      </c>
      <c r="G21" t="s">
        <v>140</v>
      </c>
      <c r="H21" t="s">
        <v>141</v>
      </c>
      <c r="K21" t="s">
        <v>33</v>
      </c>
      <c r="L21">
        <v>1</v>
      </c>
      <c r="N21">
        <v>3</v>
      </c>
      <c r="O21" t="s">
        <v>65</v>
      </c>
      <c r="P21" t="s">
        <v>35</v>
      </c>
      <c r="S21">
        <v>0</v>
      </c>
      <c r="T21">
        <v>8</v>
      </c>
    </row>
    <row r="22" spans="1:20" x14ac:dyDescent="0.25">
      <c r="A22" t="s">
        <v>653</v>
      </c>
      <c r="B22">
        <v>20</v>
      </c>
      <c r="C22" t="s">
        <v>33</v>
      </c>
      <c r="D22">
        <v>2</v>
      </c>
      <c r="F22">
        <v>3</v>
      </c>
      <c r="G22" t="s">
        <v>34</v>
      </c>
      <c r="H22" t="s">
        <v>66</v>
      </c>
      <c r="K22" t="s">
        <v>63</v>
      </c>
      <c r="L22">
        <v>2</v>
      </c>
      <c r="N22">
        <v>1</v>
      </c>
      <c r="O22" t="s">
        <v>72</v>
      </c>
      <c r="P22" t="s">
        <v>95</v>
      </c>
      <c r="Q22" t="s">
        <v>147</v>
      </c>
      <c r="S22">
        <v>0</v>
      </c>
      <c r="T22">
        <v>9</v>
      </c>
    </row>
    <row r="23" spans="1:20" x14ac:dyDescent="0.25">
      <c r="A23" t="s">
        <v>654</v>
      </c>
      <c r="B23">
        <v>21</v>
      </c>
      <c r="C23" t="s">
        <v>33</v>
      </c>
      <c r="D23">
        <v>1</v>
      </c>
      <c r="F23">
        <v>1</v>
      </c>
      <c r="G23" t="s">
        <v>65</v>
      </c>
      <c r="H23" t="s">
        <v>66</v>
      </c>
      <c r="I23" t="s">
        <v>36</v>
      </c>
      <c r="K23" t="s">
        <v>38</v>
      </c>
      <c r="L23">
        <v>1</v>
      </c>
      <c r="M23">
        <v>1</v>
      </c>
      <c r="N23">
        <v>2</v>
      </c>
      <c r="O23" t="s">
        <v>39</v>
      </c>
      <c r="P23" t="s">
        <v>40</v>
      </c>
      <c r="S23">
        <v>0</v>
      </c>
      <c r="T23">
        <v>6</v>
      </c>
    </row>
    <row r="24" spans="1:20" x14ac:dyDescent="0.25">
      <c r="A24" t="s">
        <v>655</v>
      </c>
      <c r="B24">
        <v>22</v>
      </c>
      <c r="C24" t="s">
        <v>45</v>
      </c>
      <c r="D24">
        <v>3</v>
      </c>
      <c r="F24">
        <v>1</v>
      </c>
      <c r="G24" t="s">
        <v>140</v>
      </c>
      <c r="H24" t="s">
        <v>92</v>
      </c>
      <c r="K24" t="s">
        <v>43</v>
      </c>
      <c r="L24">
        <v>1</v>
      </c>
      <c r="N24">
        <v>1</v>
      </c>
      <c r="O24" t="s">
        <v>135</v>
      </c>
      <c r="P24" t="s">
        <v>136</v>
      </c>
      <c r="Q24" t="s">
        <v>100</v>
      </c>
      <c r="S24">
        <v>0</v>
      </c>
      <c r="T24">
        <v>7</v>
      </c>
    </row>
    <row r="25" spans="1:20" x14ac:dyDescent="0.25">
      <c r="A25" t="s">
        <v>656</v>
      </c>
      <c r="B25">
        <v>23</v>
      </c>
      <c r="C25" t="s">
        <v>63</v>
      </c>
      <c r="D25">
        <v>3</v>
      </c>
      <c r="F25">
        <v>1</v>
      </c>
      <c r="G25" t="s">
        <v>72</v>
      </c>
      <c r="H25" t="s">
        <v>146</v>
      </c>
      <c r="I25" t="s">
        <v>148</v>
      </c>
      <c r="K25" t="s">
        <v>43</v>
      </c>
      <c r="L25">
        <v>2</v>
      </c>
      <c r="N25">
        <v>1</v>
      </c>
      <c r="O25" t="s">
        <v>44</v>
      </c>
      <c r="P25" t="s">
        <v>99</v>
      </c>
      <c r="Q25" t="s">
        <v>137</v>
      </c>
      <c r="R25" t="s">
        <v>139</v>
      </c>
      <c r="S25">
        <v>0</v>
      </c>
      <c r="T25">
        <v>10</v>
      </c>
    </row>
    <row r="26" spans="1:20" x14ac:dyDescent="0.25">
      <c r="A26" t="s">
        <v>657</v>
      </c>
      <c r="B26">
        <v>24</v>
      </c>
      <c r="C26" t="s">
        <v>38</v>
      </c>
      <c r="D26">
        <v>1</v>
      </c>
      <c r="E26">
        <v>1</v>
      </c>
      <c r="F26">
        <v>2</v>
      </c>
      <c r="G26" t="s">
        <v>39</v>
      </c>
      <c r="H26" t="s">
        <v>96</v>
      </c>
      <c r="K26" t="s">
        <v>43</v>
      </c>
      <c r="L26">
        <v>2</v>
      </c>
      <c r="N26">
        <v>1</v>
      </c>
      <c r="O26" t="s">
        <v>135</v>
      </c>
      <c r="S26">
        <v>0</v>
      </c>
      <c r="T26">
        <v>5</v>
      </c>
    </row>
    <row r="27" spans="1:20" x14ac:dyDescent="0.25">
      <c r="A27" t="s">
        <v>658</v>
      </c>
      <c r="B27">
        <v>25</v>
      </c>
      <c r="C27" t="s">
        <v>63</v>
      </c>
      <c r="D27">
        <v>1</v>
      </c>
      <c r="F27">
        <v>1</v>
      </c>
      <c r="G27" t="s">
        <v>72</v>
      </c>
      <c r="H27" t="s">
        <v>146</v>
      </c>
      <c r="I27" t="s">
        <v>104</v>
      </c>
      <c r="J27" t="s">
        <v>150</v>
      </c>
      <c r="K27" t="s">
        <v>45</v>
      </c>
      <c r="L27">
        <v>3</v>
      </c>
      <c r="N27">
        <v>1</v>
      </c>
      <c r="O27" t="s">
        <v>86</v>
      </c>
      <c r="P27" t="s">
        <v>141</v>
      </c>
      <c r="Q27" t="s">
        <v>93</v>
      </c>
      <c r="S27">
        <v>0</v>
      </c>
      <c r="T27">
        <v>10</v>
      </c>
    </row>
    <row r="28" spans="1:20" x14ac:dyDescent="0.25">
      <c r="A28" t="s">
        <v>659</v>
      </c>
      <c r="B28">
        <v>26</v>
      </c>
      <c r="C28" t="s">
        <v>38</v>
      </c>
      <c r="D28">
        <v>1</v>
      </c>
      <c r="E28">
        <v>1</v>
      </c>
      <c r="F28">
        <v>2</v>
      </c>
      <c r="G28" t="s">
        <v>39</v>
      </c>
      <c r="H28" t="s">
        <v>96</v>
      </c>
      <c r="I28" t="s">
        <v>41</v>
      </c>
      <c r="K28" t="s">
        <v>45</v>
      </c>
      <c r="L28">
        <v>3</v>
      </c>
      <c r="N28">
        <v>1</v>
      </c>
      <c r="O28" t="s">
        <v>140</v>
      </c>
      <c r="S28">
        <v>0</v>
      </c>
      <c r="T28">
        <v>7</v>
      </c>
    </row>
    <row r="29" spans="1:20" x14ac:dyDescent="0.25">
      <c r="A29" t="s">
        <v>660</v>
      </c>
      <c r="B29">
        <v>27</v>
      </c>
      <c r="C29" t="s">
        <v>38</v>
      </c>
      <c r="D29">
        <v>1</v>
      </c>
      <c r="E29">
        <v>1</v>
      </c>
      <c r="F29">
        <v>2</v>
      </c>
      <c r="G29" t="s">
        <v>39</v>
      </c>
      <c r="H29" t="s">
        <v>96</v>
      </c>
      <c r="I29" t="s">
        <v>154</v>
      </c>
      <c r="J29" t="s">
        <v>155</v>
      </c>
      <c r="K29" t="s">
        <v>63</v>
      </c>
      <c r="L29">
        <v>1</v>
      </c>
      <c r="N29">
        <v>1</v>
      </c>
      <c r="O29" t="s">
        <v>72</v>
      </c>
      <c r="P29" t="s">
        <v>95</v>
      </c>
      <c r="Q29" t="s">
        <v>147</v>
      </c>
      <c r="R29" t="s">
        <v>151</v>
      </c>
      <c r="S29">
        <v>0</v>
      </c>
      <c r="T29">
        <v>9</v>
      </c>
    </row>
    <row r="30" spans="1:20" x14ac:dyDescent="0.25">
      <c r="A30" t="s">
        <v>661</v>
      </c>
      <c r="B30">
        <v>0</v>
      </c>
      <c r="C30" t="s">
        <v>56</v>
      </c>
      <c r="D30">
        <v>2</v>
      </c>
      <c r="F30">
        <v>1</v>
      </c>
      <c r="G30" t="s">
        <v>120</v>
      </c>
      <c r="H30" t="s">
        <v>121</v>
      </c>
      <c r="I30" t="s">
        <v>123</v>
      </c>
      <c r="J30" t="s">
        <v>124</v>
      </c>
      <c r="K30" t="s">
        <v>53</v>
      </c>
      <c r="L30">
        <v>1</v>
      </c>
      <c r="M30">
        <v>3</v>
      </c>
      <c r="N30">
        <v>3</v>
      </c>
      <c r="O30" t="s">
        <v>112</v>
      </c>
      <c r="P30" t="s">
        <v>55</v>
      </c>
      <c r="S30">
        <v>0</v>
      </c>
      <c r="T30">
        <v>12</v>
      </c>
    </row>
    <row r="31" spans="1:20" x14ac:dyDescent="0.25">
      <c r="A31" t="s">
        <v>662</v>
      </c>
      <c r="B31">
        <v>1</v>
      </c>
      <c r="C31" t="s">
        <v>53</v>
      </c>
      <c r="D31">
        <v>3</v>
      </c>
      <c r="E31">
        <v>1</v>
      </c>
      <c r="F31">
        <v>2</v>
      </c>
      <c r="G31" t="s">
        <v>112</v>
      </c>
      <c r="H31" t="s">
        <v>55</v>
      </c>
      <c r="I31" t="s">
        <v>105</v>
      </c>
      <c r="J31" t="s">
        <v>98</v>
      </c>
      <c r="K31" t="s">
        <v>48</v>
      </c>
      <c r="L31">
        <v>2</v>
      </c>
      <c r="N31">
        <v>2</v>
      </c>
      <c r="O31" t="s">
        <v>49</v>
      </c>
      <c r="P31" t="s">
        <v>71</v>
      </c>
      <c r="Q31" t="s">
        <v>90</v>
      </c>
      <c r="R31" t="s">
        <v>52</v>
      </c>
      <c r="S31">
        <v>0</v>
      </c>
      <c r="T31">
        <v>15</v>
      </c>
    </row>
    <row r="32" spans="1:20" x14ac:dyDescent="0.25">
      <c r="A32" t="s">
        <v>663</v>
      </c>
      <c r="B32">
        <v>2</v>
      </c>
      <c r="C32" t="s">
        <v>53</v>
      </c>
      <c r="D32">
        <v>3</v>
      </c>
      <c r="E32">
        <v>1</v>
      </c>
      <c r="F32">
        <v>1</v>
      </c>
      <c r="G32" t="s">
        <v>111</v>
      </c>
      <c r="H32" t="s">
        <v>55</v>
      </c>
      <c r="K32" t="s">
        <v>33</v>
      </c>
      <c r="L32">
        <v>2</v>
      </c>
      <c r="N32">
        <v>3</v>
      </c>
      <c r="O32" t="s">
        <v>34</v>
      </c>
      <c r="S32">
        <v>0</v>
      </c>
      <c r="T32">
        <v>8</v>
      </c>
    </row>
    <row r="33" spans="1:20" x14ac:dyDescent="0.25">
      <c r="A33" t="s">
        <v>664</v>
      </c>
      <c r="B33">
        <v>3</v>
      </c>
      <c r="C33" t="s">
        <v>53</v>
      </c>
      <c r="D33">
        <v>3</v>
      </c>
      <c r="E33">
        <v>3</v>
      </c>
      <c r="F33">
        <v>3</v>
      </c>
      <c r="G33" t="s">
        <v>112</v>
      </c>
      <c r="H33" t="s">
        <v>83</v>
      </c>
      <c r="I33" t="s">
        <v>97</v>
      </c>
      <c r="J33" t="s">
        <v>98</v>
      </c>
      <c r="K33" t="s">
        <v>43</v>
      </c>
      <c r="L33">
        <v>3</v>
      </c>
      <c r="N33">
        <v>3</v>
      </c>
      <c r="O33" t="s">
        <v>135</v>
      </c>
      <c r="P33" t="s">
        <v>74</v>
      </c>
      <c r="Q33" t="s">
        <v>137</v>
      </c>
      <c r="R33" t="s">
        <v>139</v>
      </c>
      <c r="S33">
        <v>0</v>
      </c>
      <c r="T33">
        <v>56</v>
      </c>
    </row>
    <row r="34" spans="1:20" x14ac:dyDescent="0.25">
      <c r="A34" t="s">
        <v>665</v>
      </c>
      <c r="B34">
        <v>4</v>
      </c>
      <c r="C34" t="s">
        <v>53</v>
      </c>
      <c r="D34">
        <v>1</v>
      </c>
      <c r="E34">
        <v>2</v>
      </c>
      <c r="F34">
        <v>3</v>
      </c>
      <c r="G34" t="s">
        <v>112</v>
      </c>
      <c r="H34" t="s">
        <v>55</v>
      </c>
      <c r="I34" t="s">
        <v>114</v>
      </c>
      <c r="K34" t="s">
        <v>45</v>
      </c>
      <c r="L34">
        <v>3</v>
      </c>
      <c r="N34">
        <v>1</v>
      </c>
      <c r="O34" t="s">
        <v>86</v>
      </c>
      <c r="P34" t="s">
        <v>141</v>
      </c>
      <c r="Q34" t="s">
        <v>93</v>
      </c>
      <c r="R34" t="s">
        <v>94</v>
      </c>
      <c r="S34">
        <v>0</v>
      </c>
      <c r="T34">
        <v>12</v>
      </c>
    </row>
    <row r="35" spans="1:20" x14ac:dyDescent="0.25">
      <c r="A35" t="s">
        <v>666</v>
      </c>
      <c r="B35">
        <v>5</v>
      </c>
      <c r="C35" t="s">
        <v>63</v>
      </c>
      <c r="D35">
        <v>1</v>
      </c>
      <c r="F35">
        <v>1</v>
      </c>
      <c r="G35" t="s">
        <v>103</v>
      </c>
      <c r="H35" t="s">
        <v>95</v>
      </c>
      <c r="I35" t="s">
        <v>104</v>
      </c>
      <c r="J35" t="s">
        <v>149</v>
      </c>
      <c r="K35" t="s">
        <v>53</v>
      </c>
      <c r="L35">
        <v>1</v>
      </c>
      <c r="M35">
        <v>2</v>
      </c>
      <c r="N35">
        <v>1</v>
      </c>
      <c r="O35" t="s">
        <v>111</v>
      </c>
      <c r="P35" t="s">
        <v>83</v>
      </c>
      <c r="Q35" t="s">
        <v>97</v>
      </c>
      <c r="S35">
        <v>0</v>
      </c>
      <c r="T35">
        <v>10</v>
      </c>
    </row>
    <row r="36" spans="1:20" x14ac:dyDescent="0.25">
      <c r="A36" t="s">
        <v>667</v>
      </c>
      <c r="B36">
        <v>6</v>
      </c>
      <c r="C36" t="s">
        <v>53</v>
      </c>
      <c r="D36">
        <v>3</v>
      </c>
      <c r="E36">
        <v>1</v>
      </c>
      <c r="F36">
        <v>1</v>
      </c>
      <c r="G36" t="s">
        <v>112</v>
      </c>
      <c r="H36" t="s">
        <v>83</v>
      </c>
      <c r="I36" t="s">
        <v>114</v>
      </c>
      <c r="K36" t="s">
        <v>38</v>
      </c>
      <c r="L36">
        <v>2</v>
      </c>
      <c r="M36">
        <v>1</v>
      </c>
      <c r="N36">
        <v>2</v>
      </c>
      <c r="O36" t="s">
        <v>152</v>
      </c>
      <c r="P36" t="s">
        <v>40</v>
      </c>
      <c r="Q36" t="s">
        <v>41</v>
      </c>
      <c r="S36">
        <v>0</v>
      </c>
      <c r="T36">
        <v>10</v>
      </c>
    </row>
    <row r="37" spans="1:20" x14ac:dyDescent="0.25">
      <c r="A37" t="s">
        <v>668</v>
      </c>
      <c r="B37">
        <v>7</v>
      </c>
      <c r="C37" t="s">
        <v>56</v>
      </c>
      <c r="D37">
        <v>2</v>
      </c>
      <c r="F37">
        <v>1</v>
      </c>
      <c r="G37" t="s">
        <v>120</v>
      </c>
      <c r="H37" t="s">
        <v>121</v>
      </c>
      <c r="I37" t="s">
        <v>123</v>
      </c>
      <c r="J37" t="s">
        <v>124</v>
      </c>
      <c r="K37" t="s">
        <v>48</v>
      </c>
      <c r="L37">
        <v>2</v>
      </c>
      <c r="N37">
        <v>1</v>
      </c>
      <c r="O37" t="s">
        <v>126</v>
      </c>
      <c r="P37" t="s">
        <v>84</v>
      </c>
      <c r="Q37" t="s">
        <v>127</v>
      </c>
      <c r="R37" t="s">
        <v>52</v>
      </c>
      <c r="S37">
        <v>0</v>
      </c>
      <c r="T37">
        <v>10</v>
      </c>
    </row>
    <row r="38" spans="1:20" x14ac:dyDescent="0.25">
      <c r="A38" t="s">
        <v>669</v>
      </c>
      <c r="B38">
        <v>8</v>
      </c>
      <c r="C38" t="s">
        <v>56</v>
      </c>
      <c r="D38">
        <v>3</v>
      </c>
      <c r="F38">
        <v>1</v>
      </c>
      <c r="G38" t="s">
        <v>68</v>
      </c>
      <c r="K38" t="s">
        <v>33</v>
      </c>
      <c r="L38">
        <v>1</v>
      </c>
      <c r="N38">
        <v>2</v>
      </c>
      <c r="O38" t="s">
        <v>34</v>
      </c>
      <c r="P38" t="s">
        <v>35</v>
      </c>
      <c r="S38">
        <v>0</v>
      </c>
      <c r="T38">
        <v>6</v>
      </c>
    </row>
    <row r="39" spans="1:20" x14ac:dyDescent="0.25">
      <c r="A39" t="s">
        <v>670</v>
      </c>
      <c r="B39">
        <v>9</v>
      </c>
      <c r="C39" t="s">
        <v>56</v>
      </c>
      <c r="D39">
        <v>3</v>
      </c>
      <c r="F39">
        <v>1</v>
      </c>
      <c r="G39" t="s">
        <v>120</v>
      </c>
      <c r="H39" t="s">
        <v>121</v>
      </c>
      <c r="K39" t="s">
        <v>43</v>
      </c>
      <c r="L39">
        <v>2</v>
      </c>
      <c r="N39">
        <v>1</v>
      </c>
      <c r="O39" t="s">
        <v>135</v>
      </c>
      <c r="P39" t="s">
        <v>74</v>
      </c>
      <c r="Q39" t="s">
        <v>75</v>
      </c>
      <c r="S39">
        <v>0</v>
      </c>
      <c r="T39">
        <v>8</v>
      </c>
    </row>
    <row r="40" spans="1:20" x14ac:dyDescent="0.25">
      <c r="A40" t="s">
        <v>671</v>
      </c>
      <c r="B40">
        <v>10</v>
      </c>
      <c r="C40" t="s">
        <v>45</v>
      </c>
      <c r="D40">
        <v>3</v>
      </c>
      <c r="F40">
        <v>1</v>
      </c>
      <c r="G40" t="s">
        <v>140</v>
      </c>
      <c r="H40" t="s">
        <v>76</v>
      </c>
      <c r="K40" t="s">
        <v>56</v>
      </c>
      <c r="L40">
        <v>3</v>
      </c>
      <c r="N40">
        <v>1</v>
      </c>
      <c r="O40" t="s">
        <v>68</v>
      </c>
      <c r="S40">
        <v>0</v>
      </c>
      <c r="T40">
        <v>7</v>
      </c>
    </row>
    <row r="41" spans="1:20" x14ac:dyDescent="0.25">
      <c r="A41" t="s">
        <v>672</v>
      </c>
      <c r="B41">
        <v>11</v>
      </c>
      <c r="C41" t="s">
        <v>63</v>
      </c>
      <c r="D41">
        <v>1</v>
      </c>
      <c r="F41">
        <v>1</v>
      </c>
      <c r="G41" t="s">
        <v>103</v>
      </c>
      <c r="H41" t="s">
        <v>146</v>
      </c>
      <c r="I41" t="s">
        <v>104</v>
      </c>
      <c r="J41" t="s">
        <v>149</v>
      </c>
      <c r="K41" t="s">
        <v>56</v>
      </c>
      <c r="L41">
        <v>3</v>
      </c>
      <c r="N41">
        <v>1</v>
      </c>
      <c r="O41" t="s">
        <v>57</v>
      </c>
      <c r="P41" t="s">
        <v>122</v>
      </c>
      <c r="S41">
        <v>0</v>
      </c>
      <c r="T41">
        <v>10</v>
      </c>
    </row>
    <row r="42" spans="1:20" x14ac:dyDescent="0.25">
      <c r="A42" t="s">
        <v>673</v>
      </c>
      <c r="B42">
        <v>12</v>
      </c>
      <c r="C42" t="s">
        <v>56</v>
      </c>
      <c r="D42">
        <v>2</v>
      </c>
      <c r="F42">
        <v>1</v>
      </c>
      <c r="G42" t="s">
        <v>57</v>
      </c>
      <c r="H42" t="s">
        <v>121</v>
      </c>
      <c r="K42" t="s">
        <v>38</v>
      </c>
      <c r="L42">
        <v>1</v>
      </c>
      <c r="M42">
        <v>1</v>
      </c>
      <c r="N42">
        <v>1</v>
      </c>
      <c r="O42" t="s">
        <v>39</v>
      </c>
      <c r="P42" t="s">
        <v>96</v>
      </c>
      <c r="Q42" t="s">
        <v>154</v>
      </c>
      <c r="S42">
        <v>0</v>
      </c>
      <c r="T42">
        <v>6</v>
      </c>
    </row>
    <row r="43" spans="1:20" x14ac:dyDescent="0.25">
      <c r="A43" t="s">
        <v>674</v>
      </c>
      <c r="B43">
        <v>13</v>
      </c>
      <c r="C43" t="s">
        <v>48</v>
      </c>
      <c r="D43">
        <v>2</v>
      </c>
      <c r="F43">
        <v>1</v>
      </c>
      <c r="G43" t="s">
        <v>89</v>
      </c>
      <c r="H43" t="s">
        <v>71</v>
      </c>
      <c r="K43" t="s">
        <v>33</v>
      </c>
      <c r="L43">
        <v>1</v>
      </c>
      <c r="N43">
        <v>3</v>
      </c>
      <c r="O43" t="s">
        <v>34</v>
      </c>
      <c r="S43">
        <v>0</v>
      </c>
      <c r="T43">
        <v>8</v>
      </c>
    </row>
    <row r="44" spans="1:20" x14ac:dyDescent="0.25">
      <c r="A44" t="s">
        <v>675</v>
      </c>
      <c r="B44">
        <v>14</v>
      </c>
      <c r="C44" t="s">
        <v>43</v>
      </c>
      <c r="D44">
        <v>3</v>
      </c>
      <c r="F44">
        <v>3</v>
      </c>
      <c r="G44" t="s">
        <v>44</v>
      </c>
      <c r="H44" t="s">
        <v>136</v>
      </c>
      <c r="I44" t="s">
        <v>137</v>
      </c>
      <c r="J44" t="s">
        <v>138</v>
      </c>
      <c r="K44" t="s">
        <v>48</v>
      </c>
      <c r="L44">
        <v>3</v>
      </c>
      <c r="N44">
        <v>3</v>
      </c>
      <c r="O44" t="s">
        <v>126</v>
      </c>
      <c r="P44" t="s">
        <v>71</v>
      </c>
      <c r="Q44" t="s">
        <v>90</v>
      </c>
      <c r="R44" t="s">
        <v>52</v>
      </c>
      <c r="S44">
        <v>0</v>
      </c>
      <c r="T44">
        <v>17</v>
      </c>
    </row>
    <row r="45" spans="1:20" x14ac:dyDescent="0.25">
      <c r="A45" t="s">
        <v>676</v>
      </c>
      <c r="B45">
        <v>15</v>
      </c>
      <c r="C45" t="s">
        <v>48</v>
      </c>
      <c r="D45">
        <v>3</v>
      </c>
      <c r="F45">
        <v>3</v>
      </c>
      <c r="G45" t="s">
        <v>126</v>
      </c>
      <c r="H45" t="s">
        <v>84</v>
      </c>
      <c r="I45" t="s">
        <v>90</v>
      </c>
      <c r="J45" t="s">
        <v>128</v>
      </c>
      <c r="K45" t="s">
        <v>45</v>
      </c>
      <c r="L45">
        <v>3</v>
      </c>
      <c r="N45">
        <v>3</v>
      </c>
      <c r="O45" t="s">
        <v>86</v>
      </c>
      <c r="P45" t="s">
        <v>141</v>
      </c>
      <c r="Q45" t="s">
        <v>102</v>
      </c>
      <c r="R45" t="s">
        <v>144</v>
      </c>
      <c r="S45">
        <v>0</v>
      </c>
      <c r="T45">
        <v>40</v>
      </c>
    </row>
    <row r="46" spans="1:20" x14ac:dyDescent="0.25">
      <c r="A46" t="s">
        <v>677</v>
      </c>
      <c r="B46">
        <v>16</v>
      </c>
      <c r="C46" t="s">
        <v>63</v>
      </c>
      <c r="D46">
        <v>3</v>
      </c>
      <c r="F46">
        <v>1</v>
      </c>
      <c r="G46" t="s">
        <v>72</v>
      </c>
      <c r="H46" t="s">
        <v>95</v>
      </c>
      <c r="I46" t="s">
        <v>104</v>
      </c>
      <c r="J46" t="s">
        <v>151</v>
      </c>
      <c r="K46" t="s">
        <v>48</v>
      </c>
      <c r="L46">
        <v>3</v>
      </c>
      <c r="N46">
        <v>2</v>
      </c>
      <c r="O46" t="s">
        <v>89</v>
      </c>
      <c r="P46" t="s">
        <v>50</v>
      </c>
      <c r="Q46" t="s">
        <v>51</v>
      </c>
      <c r="R46" t="s">
        <v>52</v>
      </c>
      <c r="S46">
        <v>0</v>
      </c>
      <c r="T46">
        <v>14</v>
      </c>
    </row>
    <row r="47" spans="1:20" x14ac:dyDescent="0.25">
      <c r="A47" t="s">
        <v>678</v>
      </c>
      <c r="B47">
        <v>17</v>
      </c>
      <c r="C47" t="s">
        <v>48</v>
      </c>
      <c r="D47">
        <v>2</v>
      </c>
      <c r="F47">
        <v>1</v>
      </c>
      <c r="G47" t="s">
        <v>89</v>
      </c>
      <c r="H47" t="s">
        <v>84</v>
      </c>
      <c r="I47" t="s">
        <v>90</v>
      </c>
      <c r="J47" t="s">
        <v>128</v>
      </c>
      <c r="K47" t="s">
        <v>38</v>
      </c>
      <c r="L47">
        <v>3</v>
      </c>
      <c r="M47">
        <v>1</v>
      </c>
      <c r="N47">
        <v>1</v>
      </c>
      <c r="O47" t="s">
        <v>39</v>
      </c>
      <c r="P47" t="s">
        <v>40</v>
      </c>
      <c r="Q47" t="s">
        <v>41</v>
      </c>
      <c r="S47">
        <v>0</v>
      </c>
      <c r="T47">
        <v>12</v>
      </c>
    </row>
    <row r="48" spans="1:20" x14ac:dyDescent="0.25">
      <c r="A48" t="s">
        <v>679</v>
      </c>
      <c r="B48">
        <v>18</v>
      </c>
      <c r="C48" t="s">
        <v>43</v>
      </c>
      <c r="D48">
        <v>3</v>
      </c>
      <c r="F48">
        <v>1</v>
      </c>
      <c r="G48" t="s">
        <v>135</v>
      </c>
      <c r="K48" t="s">
        <v>33</v>
      </c>
      <c r="L48">
        <v>2</v>
      </c>
      <c r="N48">
        <v>2</v>
      </c>
      <c r="O48" t="s">
        <v>34</v>
      </c>
      <c r="S48">
        <v>0</v>
      </c>
      <c r="T48">
        <v>6</v>
      </c>
    </row>
    <row r="49" spans="1:20" x14ac:dyDescent="0.25">
      <c r="A49" t="s">
        <v>680</v>
      </c>
      <c r="B49">
        <v>19</v>
      </c>
      <c r="C49" t="s">
        <v>45</v>
      </c>
      <c r="D49">
        <v>3</v>
      </c>
      <c r="F49">
        <v>1</v>
      </c>
      <c r="G49" t="s">
        <v>140</v>
      </c>
      <c r="K49" t="s">
        <v>33</v>
      </c>
      <c r="L49">
        <v>1</v>
      </c>
      <c r="N49">
        <v>3</v>
      </c>
      <c r="O49" t="s">
        <v>65</v>
      </c>
      <c r="P49" t="s">
        <v>35</v>
      </c>
      <c r="S49">
        <v>0</v>
      </c>
      <c r="T49">
        <v>8</v>
      </c>
    </row>
    <row r="50" spans="1:20" x14ac:dyDescent="0.25">
      <c r="A50" t="s">
        <v>681</v>
      </c>
      <c r="B50">
        <v>20</v>
      </c>
      <c r="C50" t="s">
        <v>33</v>
      </c>
      <c r="D50">
        <v>2</v>
      </c>
      <c r="F50">
        <v>3</v>
      </c>
      <c r="G50" t="s">
        <v>34</v>
      </c>
      <c r="H50" t="s">
        <v>66</v>
      </c>
      <c r="K50" t="s">
        <v>63</v>
      </c>
      <c r="L50">
        <v>2</v>
      </c>
      <c r="N50">
        <v>1</v>
      </c>
      <c r="O50" t="s">
        <v>72</v>
      </c>
      <c r="P50" t="s">
        <v>95</v>
      </c>
      <c r="Q50" t="s">
        <v>104</v>
      </c>
      <c r="S50">
        <v>0</v>
      </c>
      <c r="T50">
        <v>9</v>
      </c>
    </row>
    <row r="51" spans="1:20" x14ac:dyDescent="0.25">
      <c r="A51" t="s">
        <v>682</v>
      </c>
      <c r="B51">
        <v>21</v>
      </c>
      <c r="C51" t="s">
        <v>33</v>
      </c>
      <c r="D51">
        <v>1</v>
      </c>
      <c r="F51">
        <v>2</v>
      </c>
      <c r="G51" t="s">
        <v>65</v>
      </c>
      <c r="H51" t="s">
        <v>66</v>
      </c>
      <c r="I51" t="s">
        <v>36</v>
      </c>
      <c r="K51" t="s">
        <v>38</v>
      </c>
      <c r="L51">
        <v>1</v>
      </c>
      <c r="M51">
        <v>1</v>
      </c>
      <c r="N51">
        <v>3</v>
      </c>
      <c r="O51" t="s">
        <v>39</v>
      </c>
      <c r="P51" t="s">
        <v>40</v>
      </c>
      <c r="Q51" t="s">
        <v>153</v>
      </c>
      <c r="S51">
        <v>0</v>
      </c>
      <c r="T51">
        <v>10</v>
      </c>
    </row>
    <row r="52" spans="1:20" x14ac:dyDescent="0.25">
      <c r="A52" t="s">
        <v>683</v>
      </c>
      <c r="B52">
        <v>22</v>
      </c>
      <c r="C52" t="s">
        <v>45</v>
      </c>
      <c r="D52">
        <v>3</v>
      </c>
      <c r="F52">
        <v>2</v>
      </c>
      <c r="G52" t="s">
        <v>140</v>
      </c>
      <c r="K52" t="s">
        <v>43</v>
      </c>
      <c r="L52">
        <v>2</v>
      </c>
      <c r="N52">
        <v>1</v>
      </c>
      <c r="O52" t="s">
        <v>135</v>
      </c>
      <c r="P52" t="s">
        <v>136</v>
      </c>
      <c r="S52">
        <v>0</v>
      </c>
      <c r="T52">
        <v>7</v>
      </c>
    </row>
    <row r="53" spans="1:20" x14ac:dyDescent="0.25">
      <c r="A53" t="s">
        <v>684</v>
      </c>
      <c r="B53">
        <v>23</v>
      </c>
      <c r="C53" t="s">
        <v>43</v>
      </c>
      <c r="D53">
        <v>3</v>
      </c>
      <c r="F53">
        <v>1</v>
      </c>
      <c r="G53" t="s">
        <v>44</v>
      </c>
      <c r="H53" t="s">
        <v>99</v>
      </c>
      <c r="I53" t="s">
        <v>137</v>
      </c>
      <c r="J53" t="s">
        <v>139</v>
      </c>
      <c r="K53" t="s">
        <v>63</v>
      </c>
      <c r="L53">
        <v>1</v>
      </c>
      <c r="N53">
        <v>2</v>
      </c>
      <c r="O53" t="s">
        <v>72</v>
      </c>
      <c r="P53" t="s">
        <v>146</v>
      </c>
      <c r="Q53" t="s">
        <v>148</v>
      </c>
      <c r="R53" t="s">
        <v>151</v>
      </c>
      <c r="S53">
        <v>0</v>
      </c>
      <c r="T53">
        <v>11</v>
      </c>
    </row>
    <row r="54" spans="1:20" x14ac:dyDescent="0.25">
      <c r="A54" t="s">
        <v>685</v>
      </c>
      <c r="B54">
        <v>24</v>
      </c>
      <c r="C54" t="s">
        <v>38</v>
      </c>
      <c r="D54">
        <v>3</v>
      </c>
      <c r="E54">
        <v>1</v>
      </c>
      <c r="F54">
        <v>2</v>
      </c>
      <c r="G54" t="s">
        <v>39</v>
      </c>
      <c r="H54" t="s">
        <v>70</v>
      </c>
      <c r="K54" t="s">
        <v>43</v>
      </c>
      <c r="L54">
        <v>2</v>
      </c>
      <c r="N54">
        <v>1</v>
      </c>
      <c r="O54" t="s">
        <v>135</v>
      </c>
      <c r="P54" t="s">
        <v>99</v>
      </c>
      <c r="Q54" t="s">
        <v>100</v>
      </c>
      <c r="S54">
        <v>0</v>
      </c>
      <c r="T54">
        <v>9</v>
      </c>
    </row>
    <row r="55" spans="1:20" x14ac:dyDescent="0.25">
      <c r="A55" t="s">
        <v>686</v>
      </c>
      <c r="B55">
        <v>25</v>
      </c>
      <c r="C55" t="s">
        <v>45</v>
      </c>
      <c r="D55">
        <v>3</v>
      </c>
      <c r="F55">
        <v>2</v>
      </c>
      <c r="G55" t="s">
        <v>86</v>
      </c>
      <c r="H55" t="s">
        <v>141</v>
      </c>
      <c r="I55" t="s">
        <v>142</v>
      </c>
      <c r="J55" t="s">
        <v>143</v>
      </c>
      <c r="K55" t="s">
        <v>63</v>
      </c>
      <c r="L55">
        <v>2</v>
      </c>
      <c r="N55">
        <v>2</v>
      </c>
      <c r="O55" t="s">
        <v>72</v>
      </c>
      <c r="P55" t="s">
        <v>146</v>
      </c>
      <c r="Q55" t="s">
        <v>104</v>
      </c>
      <c r="R55" t="s">
        <v>150</v>
      </c>
      <c r="S55">
        <v>0</v>
      </c>
      <c r="T55">
        <v>13</v>
      </c>
    </row>
    <row r="56" spans="1:20" x14ac:dyDescent="0.25">
      <c r="A56" t="s">
        <v>687</v>
      </c>
      <c r="B56">
        <v>26</v>
      </c>
      <c r="C56" t="s">
        <v>38</v>
      </c>
      <c r="D56">
        <v>2</v>
      </c>
      <c r="E56">
        <v>1</v>
      </c>
      <c r="F56">
        <v>2</v>
      </c>
      <c r="G56" t="s">
        <v>39</v>
      </c>
      <c r="H56" t="s">
        <v>96</v>
      </c>
      <c r="I56" t="s">
        <v>153</v>
      </c>
      <c r="K56" t="s">
        <v>45</v>
      </c>
      <c r="L56">
        <v>3</v>
      </c>
      <c r="N56">
        <v>1</v>
      </c>
      <c r="O56" t="s">
        <v>140</v>
      </c>
      <c r="P56" t="s">
        <v>92</v>
      </c>
      <c r="S56">
        <v>0</v>
      </c>
      <c r="T56">
        <v>9</v>
      </c>
    </row>
    <row r="57" spans="1:20" x14ac:dyDescent="0.25">
      <c r="A57" t="s">
        <v>688</v>
      </c>
      <c r="B57">
        <v>27</v>
      </c>
      <c r="C57" t="s">
        <v>38</v>
      </c>
      <c r="D57">
        <v>3</v>
      </c>
      <c r="E57">
        <v>2</v>
      </c>
      <c r="F57">
        <v>3</v>
      </c>
      <c r="G57" t="s">
        <v>39</v>
      </c>
      <c r="H57" t="s">
        <v>96</v>
      </c>
      <c r="I57" t="s">
        <v>154</v>
      </c>
      <c r="J57" t="s">
        <v>155</v>
      </c>
      <c r="K57" t="s">
        <v>63</v>
      </c>
      <c r="L57">
        <v>3</v>
      </c>
      <c r="N57">
        <v>3</v>
      </c>
      <c r="O57" t="s">
        <v>72</v>
      </c>
      <c r="P57" t="s">
        <v>95</v>
      </c>
      <c r="Q57" t="s">
        <v>147</v>
      </c>
      <c r="R57" t="s">
        <v>151</v>
      </c>
      <c r="S57">
        <v>0</v>
      </c>
      <c r="T57">
        <v>17</v>
      </c>
    </row>
  </sheetData>
  <phoneticPr fontId="3" type="noConversion"/>
  <conditionalFormatting sqref="B1:B1048576">
    <cfRule type="duplicateValues" dxfId="8" priority="2"/>
  </conditionalFormatting>
  <conditionalFormatting sqref="A2:B57">
    <cfRule type="duplicateValues" dxfId="7" priority="647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L19" sqref="L19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7" t="s">
        <v>78</v>
      </c>
      <c r="B1" s="38"/>
      <c r="C1" s="38"/>
      <c r="D1" s="38"/>
      <c r="E1" s="39"/>
      <c r="G1" s="37" t="s">
        <v>82</v>
      </c>
      <c r="H1" s="38"/>
      <c r="I1" s="38"/>
      <c r="J1" s="39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0</v>
      </c>
      <c r="C3" t="s">
        <v>56</v>
      </c>
      <c r="D3">
        <f>COUNTIFS(Scenario2[winner1],ScenarioStat2[[#This Row],[hero-2]],Scenario2[loser1],ScenarioStat2[[#This Row],[hero-1]])</f>
        <v>2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9</v>
      </c>
      <c r="J3" s="3">
        <f>IF(ScenarioTeams2[[#This Row],[battles]],ScenarioTeams2[[#This Row],[wins]]/ScenarioTeams2[[#This Row],[battles]],0)</f>
        <v>0.6428571428571429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2</v>
      </c>
      <c r="C4" t="s">
        <v>48</v>
      </c>
      <c r="D4">
        <f>COUNTIFS(Scenario2[winner1],ScenarioStat2[[#This Row],[hero-2]],Scenario2[loser1],ScenarioStat2[[#This Row],[hero-1]])</f>
        <v>0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8</v>
      </c>
      <c r="J4" s="3">
        <f>IF(ScenarioTeams2[[#This Row],[battles]],ScenarioTeams2[[#This Row],[wins]]/ScenarioTeams2[[#This Row],[battles]],0)</f>
        <v>0.5714285714285714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1</v>
      </c>
      <c r="C5" t="s">
        <v>33</v>
      </c>
      <c r="D5">
        <f>COUNTIFS(Scenario2[winner1],ScenarioStat2[[#This Row],[hero-2]],Scenario2[loser1],ScenarioStat2[[#This Row],[hero-1]])</f>
        <v>1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14</v>
      </c>
      <c r="I5">
        <f>SUMIFS(ScenarioStat2[team-1-win],ScenarioStat2[hero-1],ScenarioTeams2[[#This Row],[hero]])+SUMIFS(ScenarioStat2[team-2-win],ScenarioStat2[hero-2],ScenarioTeams2[[#This Row],[hero]])</f>
        <v>8</v>
      </c>
      <c r="J5" s="3">
        <f>IF(ScenarioTeams2[[#This Row],[battles]],ScenarioTeams2[[#This Row],[wins]]/ScenarioTeams2[[#This Row],[battles]],0)</f>
        <v>0.5714285714285714</v>
      </c>
      <c r="K5" s="3"/>
      <c r="L5" s="4" t="s">
        <v>158</v>
      </c>
      <c r="M5" s="30">
        <f>MIN(Scenario2[turns])</f>
        <v>5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14</v>
      </c>
      <c r="I6">
        <f>SUMIFS(ScenarioStat2[team-1-win],ScenarioStat2[hero-1],ScenarioTeams2[[#This Row],[hero]])+SUMIFS(ScenarioStat2[team-2-win],ScenarioStat2[hero-2],ScenarioTeams2[[#This Row],[hero]])</f>
        <v>6</v>
      </c>
      <c r="J6" s="3">
        <f>IF(ScenarioTeams2[[#This Row],[battles]],ScenarioTeams2[[#This Row],[wins]]/ScenarioTeams2[[#This Row],[battles]],0)</f>
        <v>0.42857142857142855</v>
      </c>
      <c r="K6" s="3"/>
      <c r="L6" s="5" t="s">
        <v>108</v>
      </c>
      <c r="M6" s="31">
        <f>AVERAGE(Scenario2[turns])</f>
        <v>12.642857142857142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5</v>
      </c>
      <c r="J7" s="3">
        <f>IF(ScenarioTeams2[[#This Row],[battles]],ScenarioTeams2[[#This Row],[wins]]/ScenarioTeams2[[#This Row],[battles]],0)</f>
        <v>0.35714285714285715</v>
      </c>
      <c r="K7" s="3"/>
      <c r="L7" s="5" t="s">
        <v>160</v>
      </c>
      <c r="M7" s="31">
        <f>MAX(Scenario2[turns])</f>
        <v>76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0</v>
      </c>
      <c r="C8" t="s">
        <v>63</v>
      </c>
      <c r="D8">
        <f>COUNTIFS(Scenario2[winner1],ScenarioStat2[[#This Row],[hero-2]],Scenario2[loser1],ScenarioStat2[[#This Row],[hero-1]])</f>
        <v>2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6</v>
      </c>
      <c r="J8" s="3">
        <f>IF(ScenarioTeams2[[#This Row],[battles]],ScenarioTeams2[[#This Row],[wins]]/ScenarioTeams2[[#This Row],[battles]],0)</f>
        <v>0.42857142857142855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2</v>
      </c>
      <c r="C9" t="s">
        <v>38</v>
      </c>
      <c r="D9">
        <f>COUNTIFS(Scenario2[winner1],ScenarioStat2[[#This Row],[hero-2]],Scenario2[loser1],ScenarioStat2[[#This Row],[hero-1]])</f>
        <v>0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7</v>
      </c>
      <c r="J9" s="3">
        <f>IF(ScenarioTeams2[[#This Row],[battles]],ScenarioTeams2[[#This Row],[wins]]/ScenarioTeams2[[#This Row],[battles]],0)</f>
        <v>0.5</v>
      </c>
      <c r="K9" s="3"/>
      <c r="L9" s="4" t="s">
        <v>185</v>
      </c>
      <c r="M9" s="30">
        <f>120000*$M$6/1000/60</f>
        <v>25.285714285714285</v>
      </c>
    </row>
    <row r="10" spans="1:13" ht="15.75" thickBot="1" x14ac:dyDescent="0.3">
      <c r="A10" t="s">
        <v>56</v>
      </c>
      <c r="B10">
        <f>COUNTIFS(Scenario2[winner1],ScenarioStat2[[#This Row],[hero-1]],Scenario2[loser1],ScenarioStat2[[#This Row],[hero-2]])</f>
        <v>1</v>
      </c>
      <c r="C10" t="s">
        <v>48</v>
      </c>
      <c r="D10">
        <f>COUNTIFS(Scenario2[winner1],ScenarioStat2[[#This Row],[hero-2]],Scenario2[loser1],ScenarioStat2[[#This Row],[hero-1]])</f>
        <v>1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7</v>
      </c>
      <c r="J10" s="3">
        <f>IF(ScenarioTeams2[[#This Row],[battles]],ScenarioTeams2[[#This Row],[wins]]/ScenarioTeams2[[#This Row],[battles]],0)</f>
        <v>0.5</v>
      </c>
      <c r="K10" s="3"/>
      <c r="L10" s="5" t="s">
        <v>186</v>
      </c>
      <c r="M10" s="6">
        <f>M9*COUNTA(ScenarioStat2[hero-1])/60/24*2</f>
        <v>0.98333333333333339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1</v>
      </c>
      <c r="C11" t="s">
        <v>33</v>
      </c>
      <c r="D11">
        <f>COUNTIFS(Scenario2[winner1],ScenarioStat2[[#This Row],[hero-2]],Scenario2[loser1],ScenarioStat2[[#This Row],[hero-1]])</f>
        <v>1</v>
      </c>
      <c r="E11">
        <f>ScenarioStat2[[#This Row],[team-1-win]]+ScenarioStat2[[#This Row],[team-2-win]]</f>
        <v>2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2</v>
      </c>
      <c r="C12" t="s">
        <v>43</v>
      </c>
      <c r="D12">
        <f>COUNTIFS(Scenario2[winner1],ScenarioStat2[[#This Row],[hero-2]],Scenario2[loser1],ScenarioStat2[[#This Row],[hero-1]])</f>
        <v>0</v>
      </c>
      <c r="E12">
        <f>ScenarioStat2[[#This Row],[team-1-win]]+ScenarioStat2[[#This Row],[team-2-win]]</f>
        <v>2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1</v>
      </c>
      <c r="C13" t="s">
        <v>45</v>
      </c>
      <c r="D13">
        <f>COUNTIFS(Scenario2[winner1],ScenarioStat2[[#This Row],[hero-2]],Scenario2[loser1],ScenarioStat2[[#This Row],[hero-1]])</f>
        <v>1</v>
      </c>
      <c r="E13">
        <f>ScenarioStat2[[#This Row],[team-1-win]]+ScenarioStat2[[#This Row],[team-2-win]]</f>
        <v>2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0</v>
      </c>
      <c r="C14" t="s">
        <v>63</v>
      </c>
      <c r="D14">
        <f>COUNTIFS(Scenario2[winner1],ScenarioStat2[[#This Row],[hero-2]],Scenario2[loser1],ScenarioStat2[[#This Row],[hero-1]])</f>
        <v>2</v>
      </c>
      <c r="E14">
        <f>ScenarioStat2[[#This Row],[team-1-win]]+ScenarioStat2[[#This Row],[team-2-win]]</f>
        <v>2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1</v>
      </c>
      <c r="C15" t="s">
        <v>38</v>
      </c>
      <c r="D15">
        <f>COUNTIFS(Scenario2[winner1],ScenarioStat2[[#This Row],[hero-2]],Scenario2[loser1],ScenarioStat2[[#This Row],[hero-1]])</f>
        <v>1</v>
      </c>
      <c r="E15">
        <f>ScenarioStat2[[#This Row],[team-1-win]]+ScenarioStat2[[#This Row],[team-2-win]]</f>
        <v>2</v>
      </c>
    </row>
    <row r="16" spans="1:13" x14ac:dyDescent="0.25">
      <c r="A16" t="s">
        <v>48</v>
      </c>
      <c r="B16">
        <f>COUNTIFS(Scenario2[winner1],ScenarioStat2[[#This Row],[hero-1]],Scenario2[loser1],ScenarioStat2[[#This Row],[hero-2]])</f>
        <v>2</v>
      </c>
      <c r="C16" t="s">
        <v>33</v>
      </c>
      <c r="D16">
        <f>COUNTIFS(Scenario2[winner1],ScenarioStat2[[#This Row],[hero-2]],Scenario2[loser1],ScenarioStat2[[#This Row],[hero-1]])</f>
        <v>0</v>
      </c>
      <c r="E16">
        <f>ScenarioStat2[[#This Row],[team-1-win]]+ScenarioStat2[[#This Row],[team-2-win]]</f>
        <v>2</v>
      </c>
    </row>
    <row r="17" spans="1:5" x14ac:dyDescent="0.25">
      <c r="A17" t="s">
        <v>48</v>
      </c>
      <c r="B17">
        <f>COUNTIFS(Scenario2[winner1],ScenarioStat2[[#This Row],[hero-1]],Scenario2[loser1],ScenarioStat2[[#This Row],[hero-2]])</f>
        <v>0</v>
      </c>
      <c r="C17" t="s">
        <v>43</v>
      </c>
      <c r="D17">
        <f>COUNTIFS(Scenario2[winner1],ScenarioStat2[[#This Row],[hero-2]],Scenario2[loser1],ScenarioStat2[[#This Row],[hero-1]])</f>
        <v>2</v>
      </c>
      <c r="E17">
        <f>ScenarioStat2[[#This Row],[team-1-win]]+ScenarioStat2[[#This Row],[team-2-win]]</f>
        <v>2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2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1</v>
      </c>
      <c r="C19" t="s">
        <v>63</v>
      </c>
      <c r="D19">
        <f>COUNTIFS(Scenario2[winner1],ScenarioStat2[[#This Row],[hero-2]],Scenario2[loser1],ScenarioStat2[[#This Row],[hero-1]])</f>
        <v>1</v>
      </c>
      <c r="E19">
        <f>ScenarioStat2[[#This Row],[team-1-win]]+ScenarioStat2[[#This Row],[team-2-win]]</f>
        <v>2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2</v>
      </c>
      <c r="C20" t="s">
        <v>38</v>
      </c>
      <c r="D20">
        <f>COUNTIFS(Scenario2[winner1],ScenarioStat2[[#This Row],[hero-2]],Scenario2[loser1],ScenarioStat2[[#This Row],[hero-1]])</f>
        <v>0</v>
      </c>
      <c r="E20">
        <f>ScenarioStat2[[#This Row],[team-1-win]]+ScenarioStat2[[#This Row],[team-2-win]]</f>
        <v>2</v>
      </c>
    </row>
    <row r="21" spans="1:5" x14ac:dyDescent="0.25">
      <c r="A21" t="s">
        <v>33</v>
      </c>
      <c r="B21">
        <f>COUNTIFS(Scenario2[winner1],ScenarioStat2[[#This Row],[hero-1]],Scenario2[loser1],ScenarioStat2[[#This Row],[hero-2]])</f>
        <v>0</v>
      </c>
      <c r="C21" t="s">
        <v>43</v>
      </c>
      <c r="D21">
        <f>COUNTIFS(Scenario2[winner1],ScenarioStat2[[#This Row],[hero-2]],Scenario2[loser1],ScenarioStat2[[#This Row],[hero-1]])</f>
        <v>2</v>
      </c>
      <c r="E21">
        <f>ScenarioStat2[[#This Row],[team-1-win]]+ScenarioStat2[[#This Row],[team-2-win]]</f>
        <v>2</v>
      </c>
    </row>
    <row r="22" spans="1:5" x14ac:dyDescent="0.25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>
        <f>ScenarioStat2[[#This Row],[team-1-win]]+ScenarioStat2[[#This Row],[team-2-win]]</f>
        <v>2</v>
      </c>
    </row>
    <row r="23" spans="1:5" x14ac:dyDescent="0.25">
      <c r="A23" t="s">
        <v>33</v>
      </c>
      <c r="B23">
        <f>COUNTIFS(Scenario2[winner1],ScenarioStat2[[#This Row],[hero-1]],Scenario2[loser1],ScenarioStat2[[#This Row],[hero-2]])</f>
        <v>2</v>
      </c>
      <c r="C23" t="s">
        <v>63</v>
      </c>
      <c r="D23">
        <f>COUNTIFS(Scenario2[winner1],ScenarioStat2[[#This Row],[hero-2]],Scenario2[loser1],ScenarioStat2[[#This Row],[hero-1]])</f>
        <v>0</v>
      </c>
      <c r="E23">
        <f>ScenarioStat2[[#This Row],[team-1-win]]+ScenarioStat2[[#This Row],[team-2-win]]</f>
        <v>2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2</v>
      </c>
      <c r="C24" t="s">
        <v>38</v>
      </c>
      <c r="D24">
        <f>COUNTIFS(Scenario2[winner1],ScenarioStat2[[#This Row],[hero-2]],Scenario2[loser1],ScenarioStat2[[#This Row],[hero-1]])</f>
        <v>0</v>
      </c>
      <c r="E24">
        <f>ScenarioStat2[[#This Row],[team-1-win]]+ScenarioStat2[[#This Row],[team-2-win]]</f>
        <v>2</v>
      </c>
    </row>
    <row r="25" spans="1:5" x14ac:dyDescent="0.25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>
        <f>ScenarioStat2[[#This Row],[team-1-win]]+ScenarioStat2[[#This Row],[team-2-win]]</f>
        <v>2</v>
      </c>
    </row>
    <row r="26" spans="1:5" x14ac:dyDescent="0.25">
      <c r="A26" t="s">
        <v>43</v>
      </c>
      <c r="B26">
        <f>COUNTIFS(Scenario2[winner1],ScenarioStat2[[#This Row],[hero-1]],Scenario2[loser1],ScenarioStat2[[#This Row],[hero-2]])</f>
        <v>1</v>
      </c>
      <c r="C26" t="s">
        <v>63</v>
      </c>
      <c r="D26">
        <f>COUNTIFS(Scenario2[winner1],ScenarioStat2[[#This Row],[hero-2]],Scenario2[loser1],ScenarioStat2[[#This Row],[hero-1]])</f>
        <v>1</v>
      </c>
      <c r="E26">
        <f>ScenarioStat2[[#This Row],[team-1-win]]+ScenarioStat2[[#This Row],[team-2-win]]</f>
        <v>2</v>
      </c>
    </row>
    <row r="27" spans="1:5" x14ac:dyDescent="0.25">
      <c r="A27" t="s">
        <v>43</v>
      </c>
      <c r="B27">
        <f>COUNTIFS(Scenario2[winner1],ScenarioStat2[[#This Row],[hero-1]],Scenario2[loser1],ScenarioStat2[[#This Row],[hero-2]])</f>
        <v>0</v>
      </c>
      <c r="C27" t="s">
        <v>38</v>
      </c>
      <c r="D27">
        <f>COUNTIFS(Scenario2[winner1],ScenarioStat2[[#This Row],[hero-2]],Scenario2[loser1],ScenarioStat2[[#This Row],[hero-1]])</f>
        <v>2</v>
      </c>
      <c r="E27">
        <f>ScenarioStat2[[#This Row],[team-1-win]]+ScenarioStat2[[#This Row],[team-2-win]]</f>
        <v>2</v>
      </c>
    </row>
    <row r="28" spans="1:5" x14ac:dyDescent="0.25">
      <c r="A28" t="s">
        <v>45</v>
      </c>
      <c r="B28">
        <f>COUNTIFS(Scenario2[winner1],ScenarioStat2[[#This Row],[hero-1]],Scenario2[loser1],ScenarioStat2[[#This Row],[hero-2]])</f>
        <v>1</v>
      </c>
      <c r="C28" t="s">
        <v>63</v>
      </c>
      <c r="D28">
        <f>COUNTIFS(Scenario2[winner1],ScenarioStat2[[#This Row],[hero-2]],Scenario2[loser1],ScenarioStat2[[#This Row],[hero-1]])</f>
        <v>1</v>
      </c>
      <c r="E28">
        <f>ScenarioStat2[[#This Row],[team-1-win]]+ScenarioStat2[[#This Row],[team-2-win]]</f>
        <v>2</v>
      </c>
    </row>
    <row r="29" spans="1:5" x14ac:dyDescent="0.25">
      <c r="A29" t="s">
        <v>45</v>
      </c>
      <c r="B29">
        <f>COUNTIFS(Scenario2[winner1],ScenarioStat2[[#This Row],[hero-1]],Scenario2[loser1],ScenarioStat2[[#This Row],[hero-2]])</f>
        <v>0</v>
      </c>
      <c r="C29" t="s">
        <v>38</v>
      </c>
      <c r="D29">
        <f>COUNTIFS(Scenario2[winner1],ScenarioStat2[[#This Row],[hero-2]],Scenario2[loser1],ScenarioStat2[[#This Row],[hero-1]])</f>
        <v>2</v>
      </c>
      <c r="E29">
        <f>ScenarioStat2[[#This Row],[team-1-win]]+ScenarioStat2[[#This Row],[team-2-win]]</f>
        <v>2</v>
      </c>
    </row>
    <row r="30" spans="1:5" x14ac:dyDescent="0.25">
      <c r="A30" t="s">
        <v>63</v>
      </c>
      <c r="B30">
        <f>COUNTIFS(Scenario2[winner1],ScenarioStat2[[#This Row],[hero-1]],Scenario2[loser1],ScenarioStat2[[#This Row],[hero-2]])</f>
        <v>0</v>
      </c>
      <c r="C30" t="s">
        <v>38</v>
      </c>
      <c r="D30">
        <f>COUNTIFS(Scenario2[winner1],ScenarioStat2[[#This Row],[hero-2]],Scenario2[loser1],ScenarioStat2[[#This Row],[hero-1]])</f>
        <v>2</v>
      </c>
      <c r="E30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57"/>
  <sheetViews>
    <sheetView topLeftCell="A40" workbookViewId="0">
      <selection activeCell="A2" sqref="A2:AB57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689</v>
      </c>
      <c r="B2">
        <v>0</v>
      </c>
      <c r="C2" t="s">
        <v>48</v>
      </c>
      <c r="D2">
        <v>3</v>
      </c>
      <c r="F2">
        <v>3</v>
      </c>
      <c r="G2" t="s">
        <v>49</v>
      </c>
      <c r="H2" t="s">
        <v>71</v>
      </c>
      <c r="I2" t="s">
        <v>90</v>
      </c>
      <c r="J2" t="s">
        <v>52</v>
      </c>
      <c r="K2" t="s">
        <v>53</v>
      </c>
      <c r="L2">
        <v>1</v>
      </c>
      <c r="M2">
        <v>3</v>
      </c>
      <c r="N2">
        <v>3</v>
      </c>
      <c r="O2" t="s">
        <v>112</v>
      </c>
      <c r="P2" t="s">
        <v>55</v>
      </c>
      <c r="Q2" t="s">
        <v>114</v>
      </c>
      <c r="R2" t="s">
        <v>115</v>
      </c>
      <c r="S2" t="s">
        <v>56</v>
      </c>
      <c r="T2">
        <v>3</v>
      </c>
      <c r="V2">
        <v>3</v>
      </c>
      <c r="W2" t="s">
        <v>120</v>
      </c>
      <c r="X2" t="s">
        <v>122</v>
      </c>
      <c r="Y2" t="s">
        <v>123</v>
      </c>
      <c r="Z2" t="s">
        <v>124</v>
      </c>
      <c r="AA2">
        <v>0</v>
      </c>
      <c r="AB2">
        <v>31</v>
      </c>
    </row>
    <row r="3" spans="1:28" x14ac:dyDescent="0.25">
      <c r="A3" t="s">
        <v>690</v>
      </c>
      <c r="B3">
        <v>1</v>
      </c>
      <c r="C3" t="s">
        <v>33</v>
      </c>
      <c r="D3">
        <v>3</v>
      </c>
      <c r="F3">
        <v>2</v>
      </c>
      <c r="G3" t="s">
        <v>65</v>
      </c>
      <c r="H3" t="s">
        <v>130</v>
      </c>
      <c r="I3" t="s">
        <v>36</v>
      </c>
      <c r="J3" t="s">
        <v>134</v>
      </c>
      <c r="K3" t="s">
        <v>53</v>
      </c>
      <c r="L3">
        <v>1</v>
      </c>
      <c r="M3">
        <v>3</v>
      </c>
      <c r="N3">
        <v>2</v>
      </c>
      <c r="O3" t="s">
        <v>112</v>
      </c>
      <c r="S3" t="s">
        <v>56</v>
      </c>
      <c r="T3">
        <v>2</v>
      </c>
      <c r="V3">
        <v>2</v>
      </c>
      <c r="W3" t="s">
        <v>120</v>
      </c>
      <c r="X3" t="s">
        <v>69</v>
      </c>
      <c r="Y3" t="s">
        <v>87</v>
      </c>
      <c r="Z3" t="s">
        <v>88</v>
      </c>
      <c r="AA3">
        <v>0</v>
      </c>
      <c r="AB3">
        <v>17</v>
      </c>
    </row>
    <row r="4" spans="1:28" x14ac:dyDescent="0.25">
      <c r="A4" t="s">
        <v>691</v>
      </c>
      <c r="B4">
        <v>2</v>
      </c>
      <c r="C4" t="s">
        <v>56</v>
      </c>
      <c r="D4">
        <v>3</v>
      </c>
      <c r="F4">
        <v>3</v>
      </c>
      <c r="G4" t="s">
        <v>120</v>
      </c>
      <c r="H4" t="s">
        <v>121</v>
      </c>
      <c r="I4" t="s">
        <v>123</v>
      </c>
      <c r="J4" t="s">
        <v>124</v>
      </c>
      <c r="K4" t="s">
        <v>53</v>
      </c>
      <c r="L4">
        <v>3</v>
      </c>
      <c r="M4">
        <v>3</v>
      </c>
      <c r="N4">
        <v>3</v>
      </c>
      <c r="O4" t="s">
        <v>112</v>
      </c>
      <c r="P4" t="s">
        <v>83</v>
      </c>
      <c r="Q4" t="s">
        <v>97</v>
      </c>
      <c r="R4" t="s">
        <v>98</v>
      </c>
      <c r="S4" t="s">
        <v>43</v>
      </c>
      <c r="T4">
        <v>3</v>
      </c>
      <c r="V4">
        <v>3</v>
      </c>
      <c r="W4" t="s">
        <v>73</v>
      </c>
      <c r="X4" t="s">
        <v>99</v>
      </c>
      <c r="AA4">
        <v>0</v>
      </c>
      <c r="AB4">
        <v>26</v>
      </c>
    </row>
    <row r="5" spans="1:28" x14ac:dyDescent="0.25">
      <c r="A5" t="s">
        <v>692</v>
      </c>
      <c r="B5">
        <v>3</v>
      </c>
      <c r="C5" t="s">
        <v>45</v>
      </c>
      <c r="D5">
        <v>3</v>
      </c>
      <c r="F5">
        <v>2</v>
      </c>
      <c r="G5" t="s">
        <v>86</v>
      </c>
      <c r="H5" t="s">
        <v>141</v>
      </c>
      <c r="I5" t="s">
        <v>102</v>
      </c>
      <c r="J5" t="s">
        <v>144</v>
      </c>
      <c r="K5" t="s">
        <v>53</v>
      </c>
      <c r="L5">
        <v>1</v>
      </c>
      <c r="M5">
        <v>3</v>
      </c>
      <c r="N5">
        <v>3</v>
      </c>
      <c r="O5" t="s">
        <v>112</v>
      </c>
      <c r="P5" t="s">
        <v>55</v>
      </c>
      <c r="S5" t="s">
        <v>56</v>
      </c>
      <c r="T5">
        <v>3</v>
      </c>
      <c r="V5">
        <v>1</v>
      </c>
      <c r="W5" t="s">
        <v>120</v>
      </c>
      <c r="X5" t="s">
        <v>121</v>
      </c>
      <c r="Y5" t="s">
        <v>123</v>
      </c>
      <c r="Z5" t="s">
        <v>124</v>
      </c>
      <c r="AA5">
        <v>0</v>
      </c>
      <c r="AB5">
        <v>21</v>
      </c>
    </row>
    <row r="6" spans="1:28" x14ac:dyDescent="0.25">
      <c r="A6" t="s">
        <v>693</v>
      </c>
      <c r="B6">
        <v>4</v>
      </c>
      <c r="C6" t="s">
        <v>56</v>
      </c>
      <c r="D6">
        <v>3</v>
      </c>
      <c r="F6">
        <v>2</v>
      </c>
      <c r="G6" t="s">
        <v>57</v>
      </c>
      <c r="H6" t="s">
        <v>69</v>
      </c>
      <c r="I6" t="s">
        <v>85</v>
      </c>
      <c r="J6" t="s">
        <v>124</v>
      </c>
      <c r="K6" t="s">
        <v>53</v>
      </c>
      <c r="L6">
        <v>1</v>
      </c>
      <c r="M6">
        <v>3</v>
      </c>
      <c r="N6">
        <v>3</v>
      </c>
      <c r="O6" t="s">
        <v>112</v>
      </c>
      <c r="P6" t="s">
        <v>83</v>
      </c>
      <c r="Q6" t="s">
        <v>97</v>
      </c>
      <c r="R6" t="s">
        <v>115</v>
      </c>
      <c r="S6" t="s">
        <v>63</v>
      </c>
      <c r="T6">
        <v>3</v>
      </c>
      <c r="V6">
        <v>2</v>
      </c>
      <c r="W6" t="s">
        <v>103</v>
      </c>
      <c r="X6" t="s">
        <v>95</v>
      </c>
      <c r="Y6" t="s">
        <v>147</v>
      </c>
      <c r="Z6" t="s">
        <v>151</v>
      </c>
      <c r="AA6">
        <v>0</v>
      </c>
      <c r="AB6">
        <v>23</v>
      </c>
    </row>
    <row r="7" spans="1:28" x14ac:dyDescent="0.25">
      <c r="A7" t="s">
        <v>694</v>
      </c>
      <c r="B7">
        <v>5</v>
      </c>
      <c r="C7" t="s">
        <v>56</v>
      </c>
      <c r="D7">
        <v>3</v>
      </c>
      <c r="F7">
        <v>3</v>
      </c>
      <c r="G7" t="s">
        <v>120</v>
      </c>
      <c r="H7" t="s">
        <v>121</v>
      </c>
      <c r="I7" t="s">
        <v>123</v>
      </c>
      <c r="J7" t="s">
        <v>88</v>
      </c>
      <c r="K7" t="s">
        <v>53</v>
      </c>
      <c r="L7">
        <v>1</v>
      </c>
      <c r="M7">
        <v>3</v>
      </c>
      <c r="N7">
        <v>3</v>
      </c>
      <c r="O7" t="s">
        <v>112</v>
      </c>
      <c r="P7" t="s">
        <v>83</v>
      </c>
      <c r="Q7" t="s">
        <v>105</v>
      </c>
      <c r="S7" t="s">
        <v>38</v>
      </c>
      <c r="T7">
        <v>3</v>
      </c>
      <c r="U7">
        <v>3</v>
      </c>
      <c r="V7">
        <v>3</v>
      </c>
      <c r="W7" t="s">
        <v>39</v>
      </c>
      <c r="X7" t="s">
        <v>40</v>
      </c>
      <c r="Y7" t="s">
        <v>41</v>
      </c>
      <c r="Z7" t="s">
        <v>156</v>
      </c>
      <c r="AA7">
        <v>0</v>
      </c>
      <c r="AB7">
        <v>27</v>
      </c>
    </row>
    <row r="8" spans="1:28" x14ac:dyDescent="0.25">
      <c r="A8" t="s">
        <v>695</v>
      </c>
      <c r="B8">
        <v>6</v>
      </c>
      <c r="C8" t="s">
        <v>53</v>
      </c>
      <c r="D8">
        <v>3</v>
      </c>
      <c r="E8">
        <v>3</v>
      </c>
      <c r="F8">
        <v>3</v>
      </c>
      <c r="G8" t="s">
        <v>112</v>
      </c>
      <c r="H8" t="s">
        <v>55</v>
      </c>
      <c r="I8" t="s">
        <v>105</v>
      </c>
      <c r="J8" t="s">
        <v>98</v>
      </c>
      <c r="K8" t="s">
        <v>48</v>
      </c>
      <c r="L8">
        <v>3</v>
      </c>
      <c r="N8">
        <v>3</v>
      </c>
      <c r="O8" t="s">
        <v>126</v>
      </c>
      <c r="P8" t="s">
        <v>71</v>
      </c>
      <c r="Q8" t="s">
        <v>51</v>
      </c>
      <c r="R8" t="s">
        <v>128</v>
      </c>
      <c r="S8" t="s">
        <v>33</v>
      </c>
      <c r="T8">
        <v>3</v>
      </c>
      <c r="V8">
        <v>3</v>
      </c>
      <c r="W8" t="s">
        <v>65</v>
      </c>
      <c r="X8" t="s">
        <v>130</v>
      </c>
      <c r="Y8" t="s">
        <v>36</v>
      </c>
      <c r="Z8" t="s">
        <v>133</v>
      </c>
      <c r="AA8">
        <v>0</v>
      </c>
      <c r="AB8">
        <v>51</v>
      </c>
    </row>
    <row r="9" spans="1:28" x14ac:dyDescent="0.25">
      <c r="A9" t="s">
        <v>696</v>
      </c>
      <c r="B9">
        <v>7</v>
      </c>
      <c r="C9" t="s">
        <v>43</v>
      </c>
      <c r="D9">
        <v>3</v>
      </c>
      <c r="F9">
        <v>3</v>
      </c>
      <c r="G9" t="s">
        <v>44</v>
      </c>
      <c r="H9" t="s">
        <v>136</v>
      </c>
      <c r="I9" t="s">
        <v>137</v>
      </c>
      <c r="J9" t="s">
        <v>138</v>
      </c>
      <c r="K9" t="s">
        <v>53</v>
      </c>
      <c r="L9">
        <v>3</v>
      </c>
      <c r="M9">
        <v>3</v>
      </c>
      <c r="N9">
        <v>3</v>
      </c>
      <c r="O9" t="s">
        <v>112</v>
      </c>
      <c r="P9" t="s">
        <v>83</v>
      </c>
      <c r="Q9" t="s">
        <v>105</v>
      </c>
      <c r="R9" t="s">
        <v>98</v>
      </c>
      <c r="S9" t="s">
        <v>48</v>
      </c>
      <c r="T9">
        <v>3</v>
      </c>
      <c r="V9">
        <v>3</v>
      </c>
      <c r="W9" t="s">
        <v>126</v>
      </c>
      <c r="X9" t="s">
        <v>71</v>
      </c>
      <c r="Y9" t="s">
        <v>51</v>
      </c>
      <c r="Z9" t="s">
        <v>128</v>
      </c>
      <c r="AA9">
        <v>0</v>
      </c>
      <c r="AB9">
        <v>39</v>
      </c>
    </row>
    <row r="10" spans="1:28" x14ac:dyDescent="0.25">
      <c r="A10" t="s">
        <v>697</v>
      </c>
      <c r="B10">
        <v>8</v>
      </c>
      <c r="C10" t="s">
        <v>45</v>
      </c>
      <c r="D10">
        <v>3</v>
      </c>
      <c r="F10">
        <v>3</v>
      </c>
      <c r="G10" t="s">
        <v>86</v>
      </c>
      <c r="H10" t="s">
        <v>92</v>
      </c>
      <c r="I10" t="s">
        <v>142</v>
      </c>
      <c r="J10" t="s">
        <v>94</v>
      </c>
      <c r="K10" t="s">
        <v>53</v>
      </c>
      <c r="L10">
        <v>3</v>
      </c>
      <c r="M10">
        <v>3</v>
      </c>
      <c r="N10">
        <v>3</v>
      </c>
      <c r="O10" t="s">
        <v>112</v>
      </c>
      <c r="P10" t="s">
        <v>55</v>
      </c>
      <c r="Q10" t="s">
        <v>105</v>
      </c>
      <c r="S10" t="s">
        <v>48</v>
      </c>
      <c r="T10">
        <v>3</v>
      </c>
      <c r="V10">
        <v>3</v>
      </c>
      <c r="W10" t="s">
        <v>49</v>
      </c>
      <c r="X10" t="s">
        <v>71</v>
      </c>
      <c r="Y10" t="s">
        <v>90</v>
      </c>
      <c r="Z10" t="s">
        <v>52</v>
      </c>
      <c r="AA10">
        <v>0</v>
      </c>
      <c r="AB10">
        <v>30</v>
      </c>
    </row>
    <row r="11" spans="1:28" x14ac:dyDescent="0.25">
      <c r="A11" t="s">
        <v>698</v>
      </c>
      <c r="B11">
        <v>9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55</v>
      </c>
      <c r="I11" t="s">
        <v>114</v>
      </c>
      <c r="J11" t="s">
        <v>115</v>
      </c>
      <c r="K11" t="s">
        <v>48</v>
      </c>
      <c r="L11">
        <v>3</v>
      </c>
      <c r="N11">
        <v>3</v>
      </c>
      <c r="O11" t="s">
        <v>49</v>
      </c>
      <c r="P11" t="s">
        <v>71</v>
      </c>
      <c r="Q11" t="s">
        <v>90</v>
      </c>
      <c r="R11" t="s">
        <v>52</v>
      </c>
      <c r="S11" t="s">
        <v>63</v>
      </c>
      <c r="T11">
        <v>3</v>
      </c>
      <c r="V11">
        <v>3</v>
      </c>
      <c r="W11" t="s">
        <v>72</v>
      </c>
      <c r="X11" t="s">
        <v>95</v>
      </c>
      <c r="Y11" t="s">
        <v>147</v>
      </c>
      <c r="Z11" t="s">
        <v>151</v>
      </c>
      <c r="AA11">
        <v>0</v>
      </c>
      <c r="AB11">
        <v>44</v>
      </c>
    </row>
    <row r="12" spans="1:28" x14ac:dyDescent="0.25">
      <c r="A12" t="s">
        <v>699</v>
      </c>
      <c r="B12">
        <v>10</v>
      </c>
      <c r="C12" t="s">
        <v>53</v>
      </c>
      <c r="D12">
        <v>3</v>
      </c>
      <c r="E12">
        <v>2</v>
      </c>
      <c r="F12">
        <v>3</v>
      </c>
      <c r="G12" t="s">
        <v>112</v>
      </c>
      <c r="H12" t="s">
        <v>55</v>
      </c>
      <c r="I12" t="s">
        <v>114</v>
      </c>
      <c r="J12" t="s">
        <v>115</v>
      </c>
      <c r="K12" t="s">
        <v>48</v>
      </c>
      <c r="L12">
        <v>2</v>
      </c>
      <c r="N12">
        <v>2</v>
      </c>
      <c r="O12" t="s">
        <v>49</v>
      </c>
      <c r="P12" t="s">
        <v>71</v>
      </c>
      <c r="Q12" t="s">
        <v>90</v>
      </c>
      <c r="R12" t="s">
        <v>52</v>
      </c>
      <c r="S12" t="s">
        <v>38</v>
      </c>
      <c r="T12">
        <v>3</v>
      </c>
      <c r="U12">
        <v>2</v>
      </c>
      <c r="V12">
        <v>3</v>
      </c>
      <c r="W12" t="s">
        <v>39</v>
      </c>
      <c r="X12" t="s">
        <v>40</v>
      </c>
      <c r="Y12" t="s">
        <v>41</v>
      </c>
      <c r="Z12" t="s">
        <v>156</v>
      </c>
      <c r="AA12">
        <v>0</v>
      </c>
      <c r="AB12">
        <v>26</v>
      </c>
    </row>
    <row r="13" spans="1:28" x14ac:dyDescent="0.25">
      <c r="A13" t="s">
        <v>700</v>
      </c>
      <c r="B13">
        <v>11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83</v>
      </c>
      <c r="I13" t="s">
        <v>114</v>
      </c>
      <c r="J13" t="s">
        <v>115</v>
      </c>
      <c r="K13" t="s">
        <v>33</v>
      </c>
      <c r="L13">
        <v>3</v>
      </c>
      <c r="N13">
        <v>3</v>
      </c>
      <c r="O13" t="s">
        <v>65</v>
      </c>
      <c r="P13" t="s">
        <v>130</v>
      </c>
      <c r="Q13" t="s">
        <v>36</v>
      </c>
      <c r="R13" t="s">
        <v>134</v>
      </c>
      <c r="S13" t="s">
        <v>43</v>
      </c>
      <c r="T13">
        <v>1</v>
      </c>
      <c r="V13">
        <v>3</v>
      </c>
      <c r="W13" t="s">
        <v>44</v>
      </c>
      <c r="X13" t="s">
        <v>136</v>
      </c>
      <c r="AA13">
        <v>0</v>
      </c>
      <c r="AB13">
        <v>25</v>
      </c>
    </row>
    <row r="14" spans="1:28" x14ac:dyDescent="0.25">
      <c r="A14" t="s">
        <v>701</v>
      </c>
      <c r="B14">
        <v>12</v>
      </c>
      <c r="C14" t="s">
        <v>53</v>
      </c>
      <c r="D14">
        <v>3</v>
      </c>
      <c r="E14">
        <v>3</v>
      </c>
      <c r="F14">
        <v>3</v>
      </c>
      <c r="G14" t="s">
        <v>112</v>
      </c>
      <c r="H14" t="s">
        <v>55</v>
      </c>
      <c r="I14" t="s">
        <v>97</v>
      </c>
      <c r="J14" t="s">
        <v>98</v>
      </c>
      <c r="K14" t="s">
        <v>33</v>
      </c>
      <c r="L14">
        <v>3</v>
      </c>
      <c r="N14">
        <v>3</v>
      </c>
      <c r="O14" t="s">
        <v>65</v>
      </c>
      <c r="P14" t="s">
        <v>130</v>
      </c>
      <c r="Q14" t="s">
        <v>131</v>
      </c>
      <c r="R14" t="s">
        <v>133</v>
      </c>
      <c r="S14" t="s">
        <v>45</v>
      </c>
      <c r="T14">
        <v>3</v>
      </c>
      <c r="V14">
        <v>3</v>
      </c>
      <c r="W14" t="s">
        <v>86</v>
      </c>
      <c r="X14" t="s">
        <v>92</v>
      </c>
      <c r="Y14" t="s">
        <v>142</v>
      </c>
      <c r="Z14" t="s">
        <v>143</v>
      </c>
      <c r="AA14">
        <v>0</v>
      </c>
      <c r="AB14">
        <v>44</v>
      </c>
    </row>
    <row r="15" spans="1:28" x14ac:dyDescent="0.25">
      <c r="A15" t="s">
        <v>702</v>
      </c>
      <c r="B15">
        <v>13</v>
      </c>
      <c r="C15" t="s">
        <v>33</v>
      </c>
      <c r="D15">
        <v>3</v>
      </c>
      <c r="F15">
        <v>3</v>
      </c>
      <c r="G15" t="s">
        <v>34</v>
      </c>
      <c r="H15" t="s">
        <v>130</v>
      </c>
      <c r="I15" t="s">
        <v>131</v>
      </c>
      <c r="J15" t="s">
        <v>134</v>
      </c>
      <c r="K15" t="s">
        <v>53</v>
      </c>
      <c r="L15">
        <v>1</v>
      </c>
      <c r="M15">
        <v>3</v>
      </c>
      <c r="N15">
        <v>3</v>
      </c>
      <c r="O15" t="s">
        <v>112</v>
      </c>
      <c r="P15" t="s">
        <v>83</v>
      </c>
      <c r="S15" t="s">
        <v>63</v>
      </c>
      <c r="T15">
        <v>3</v>
      </c>
      <c r="V15">
        <v>3</v>
      </c>
      <c r="W15" t="s">
        <v>72</v>
      </c>
      <c r="X15" t="s">
        <v>146</v>
      </c>
      <c r="Y15" t="s">
        <v>104</v>
      </c>
      <c r="Z15" t="s">
        <v>151</v>
      </c>
      <c r="AA15">
        <v>0</v>
      </c>
      <c r="AB15">
        <v>25</v>
      </c>
    </row>
    <row r="16" spans="1:28" x14ac:dyDescent="0.25">
      <c r="A16" t="s">
        <v>703</v>
      </c>
      <c r="B16">
        <v>14</v>
      </c>
      <c r="C16" t="s">
        <v>53</v>
      </c>
      <c r="D16">
        <v>3</v>
      </c>
      <c r="E16">
        <v>1</v>
      </c>
      <c r="F16">
        <v>2</v>
      </c>
      <c r="G16" t="s">
        <v>112</v>
      </c>
      <c r="H16" t="s">
        <v>55</v>
      </c>
      <c r="I16" t="s">
        <v>114</v>
      </c>
      <c r="K16" t="s">
        <v>33</v>
      </c>
      <c r="L16">
        <v>2</v>
      </c>
      <c r="N16">
        <v>2</v>
      </c>
      <c r="O16" t="s">
        <v>65</v>
      </c>
      <c r="P16" t="s">
        <v>130</v>
      </c>
      <c r="Q16" t="s">
        <v>36</v>
      </c>
      <c r="R16" t="s">
        <v>134</v>
      </c>
      <c r="S16" t="s">
        <v>38</v>
      </c>
      <c r="T16">
        <v>1</v>
      </c>
      <c r="U16">
        <v>1</v>
      </c>
      <c r="V16">
        <v>2</v>
      </c>
      <c r="W16" t="s">
        <v>39</v>
      </c>
      <c r="X16" t="s">
        <v>40</v>
      </c>
      <c r="Y16" t="s">
        <v>153</v>
      </c>
      <c r="AA16">
        <v>0</v>
      </c>
      <c r="AB16">
        <v>16</v>
      </c>
    </row>
    <row r="17" spans="1:28" x14ac:dyDescent="0.25">
      <c r="A17" t="s">
        <v>704</v>
      </c>
      <c r="B17">
        <v>15</v>
      </c>
      <c r="C17" t="s">
        <v>53</v>
      </c>
      <c r="D17">
        <v>3</v>
      </c>
      <c r="E17">
        <v>3</v>
      </c>
      <c r="F17">
        <v>3</v>
      </c>
      <c r="G17" t="s">
        <v>112</v>
      </c>
      <c r="H17" t="s">
        <v>55</v>
      </c>
      <c r="I17" t="s">
        <v>114</v>
      </c>
      <c r="J17" t="s">
        <v>115</v>
      </c>
      <c r="K17" t="s">
        <v>43</v>
      </c>
      <c r="L17">
        <v>3</v>
      </c>
      <c r="N17">
        <v>3</v>
      </c>
      <c r="O17" t="s">
        <v>135</v>
      </c>
      <c r="P17" t="s">
        <v>74</v>
      </c>
      <c r="Q17" t="s">
        <v>75</v>
      </c>
      <c r="R17" t="s">
        <v>139</v>
      </c>
      <c r="S17" t="s">
        <v>45</v>
      </c>
      <c r="T17">
        <v>3</v>
      </c>
      <c r="V17">
        <v>3</v>
      </c>
      <c r="W17" t="s">
        <v>86</v>
      </c>
      <c r="X17" t="s">
        <v>92</v>
      </c>
      <c r="Y17" t="s">
        <v>142</v>
      </c>
      <c r="Z17" t="s">
        <v>94</v>
      </c>
      <c r="AA17">
        <v>0</v>
      </c>
      <c r="AB17">
        <v>47</v>
      </c>
    </row>
    <row r="18" spans="1:28" x14ac:dyDescent="0.25">
      <c r="A18" t="s">
        <v>705</v>
      </c>
      <c r="B18">
        <v>16</v>
      </c>
      <c r="C18" t="s">
        <v>63</v>
      </c>
      <c r="D18">
        <v>3</v>
      </c>
      <c r="F18">
        <v>3</v>
      </c>
      <c r="G18" t="s">
        <v>103</v>
      </c>
      <c r="H18" t="s">
        <v>95</v>
      </c>
      <c r="I18" t="s">
        <v>147</v>
      </c>
      <c r="J18" t="s">
        <v>150</v>
      </c>
      <c r="K18" t="s">
        <v>53</v>
      </c>
      <c r="L18">
        <v>3</v>
      </c>
      <c r="M18">
        <v>3</v>
      </c>
      <c r="N18">
        <v>3</v>
      </c>
      <c r="O18" t="s">
        <v>112</v>
      </c>
      <c r="P18" t="s">
        <v>55</v>
      </c>
      <c r="S18" t="s">
        <v>43</v>
      </c>
      <c r="T18">
        <v>3</v>
      </c>
      <c r="V18">
        <v>3</v>
      </c>
      <c r="W18" t="s">
        <v>44</v>
      </c>
      <c r="X18" t="s">
        <v>136</v>
      </c>
      <c r="Y18" t="s">
        <v>137</v>
      </c>
      <c r="Z18" t="s">
        <v>138</v>
      </c>
      <c r="AA18">
        <v>0</v>
      </c>
      <c r="AB18">
        <v>29</v>
      </c>
    </row>
    <row r="19" spans="1:28" x14ac:dyDescent="0.25">
      <c r="A19" t="s">
        <v>706</v>
      </c>
      <c r="B19">
        <v>17</v>
      </c>
      <c r="C19" t="s">
        <v>53</v>
      </c>
      <c r="D19">
        <v>3</v>
      </c>
      <c r="E19">
        <v>3</v>
      </c>
      <c r="F19">
        <v>3</v>
      </c>
      <c r="G19" t="s">
        <v>112</v>
      </c>
      <c r="H19" t="s">
        <v>83</v>
      </c>
      <c r="I19" t="s">
        <v>97</v>
      </c>
      <c r="J19" t="s">
        <v>98</v>
      </c>
      <c r="K19" t="s">
        <v>43</v>
      </c>
      <c r="L19">
        <v>3</v>
      </c>
      <c r="N19">
        <v>3</v>
      </c>
      <c r="O19" t="s">
        <v>44</v>
      </c>
      <c r="P19" t="s">
        <v>74</v>
      </c>
      <c r="Q19" t="s">
        <v>75</v>
      </c>
      <c r="R19" t="s">
        <v>139</v>
      </c>
      <c r="S19" t="s">
        <v>38</v>
      </c>
      <c r="T19">
        <v>3</v>
      </c>
      <c r="U19">
        <v>3</v>
      </c>
      <c r="V19">
        <v>3</v>
      </c>
      <c r="W19" t="s">
        <v>39</v>
      </c>
      <c r="X19" t="s">
        <v>40</v>
      </c>
      <c r="Y19" t="s">
        <v>154</v>
      </c>
      <c r="Z19" t="s">
        <v>155</v>
      </c>
      <c r="AA19">
        <v>0</v>
      </c>
      <c r="AB19">
        <v>56</v>
      </c>
    </row>
    <row r="20" spans="1:28" x14ac:dyDescent="0.25">
      <c r="A20" t="s">
        <v>707</v>
      </c>
      <c r="B20">
        <v>18</v>
      </c>
      <c r="C20" t="s">
        <v>53</v>
      </c>
      <c r="D20">
        <v>3</v>
      </c>
      <c r="E20">
        <v>3</v>
      </c>
      <c r="F20">
        <v>3</v>
      </c>
      <c r="G20" t="s">
        <v>112</v>
      </c>
      <c r="H20" t="s">
        <v>55</v>
      </c>
      <c r="I20" t="s">
        <v>114</v>
      </c>
      <c r="J20" t="s">
        <v>98</v>
      </c>
      <c r="K20" t="s">
        <v>45</v>
      </c>
      <c r="L20">
        <v>3</v>
      </c>
      <c r="N20">
        <v>3</v>
      </c>
      <c r="O20" t="s">
        <v>86</v>
      </c>
      <c r="P20" t="s">
        <v>141</v>
      </c>
      <c r="Q20" t="s">
        <v>142</v>
      </c>
      <c r="R20" t="s">
        <v>143</v>
      </c>
      <c r="S20" t="s">
        <v>63</v>
      </c>
      <c r="T20">
        <v>3</v>
      </c>
      <c r="V20">
        <v>3</v>
      </c>
      <c r="W20" t="s">
        <v>103</v>
      </c>
      <c r="X20" t="s">
        <v>95</v>
      </c>
      <c r="Y20" t="s">
        <v>147</v>
      </c>
      <c r="Z20" t="s">
        <v>151</v>
      </c>
      <c r="AA20">
        <v>0</v>
      </c>
      <c r="AB20">
        <v>30</v>
      </c>
    </row>
    <row r="21" spans="1:28" x14ac:dyDescent="0.25">
      <c r="A21" t="s">
        <v>708</v>
      </c>
      <c r="B21">
        <v>19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55</v>
      </c>
      <c r="I21" t="s">
        <v>105</v>
      </c>
      <c r="J21" t="s">
        <v>98</v>
      </c>
      <c r="K21" t="s">
        <v>45</v>
      </c>
      <c r="L21">
        <v>3</v>
      </c>
      <c r="N21">
        <v>3</v>
      </c>
      <c r="O21" t="s">
        <v>86</v>
      </c>
      <c r="P21" t="s">
        <v>141</v>
      </c>
      <c r="Q21" t="s">
        <v>142</v>
      </c>
      <c r="R21" t="s">
        <v>143</v>
      </c>
      <c r="S21" t="s">
        <v>38</v>
      </c>
      <c r="T21">
        <v>3</v>
      </c>
      <c r="U21">
        <v>3</v>
      </c>
      <c r="V21">
        <v>3</v>
      </c>
      <c r="W21" t="s">
        <v>39</v>
      </c>
      <c r="X21" t="s">
        <v>40</v>
      </c>
      <c r="Y21" t="s">
        <v>41</v>
      </c>
      <c r="Z21" t="s">
        <v>155</v>
      </c>
      <c r="AA21">
        <v>0</v>
      </c>
      <c r="AB21">
        <v>40</v>
      </c>
    </row>
    <row r="22" spans="1:28" x14ac:dyDescent="0.25">
      <c r="A22" t="s">
        <v>709</v>
      </c>
      <c r="B22">
        <v>20</v>
      </c>
      <c r="C22" t="s">
        <v>63</v>
      </c>
      <c r="D22">
        <v>3</v>
      </c>
      <c r="F22">
        <v>3</v>
      </c>
      <c r="G22" t="s">
        <v>103</v>
      </c>
      <c r="H22" t="s">
        <v>95</v>
      </c>
      <c r="I22" t="s">
        <v>147</v>
      </c>
      <c r="J22" t="s">
        <v>149</v>
      </c>
      <c r="K22" t="s">
        <v>53</v>
      </c>
      <c r="L22">
        <v>3</v>
      </c>
      <c r="M22">
        <v>3</v>
      </c>
      <c r="N22">
        <v>3</v>
      </c>
      <c r="O22" t="s">
        <v>112</v>
      </c>
      <c r="P22" t="s">
        <v>83</v>
      </c>
      <c r="Q22" t="s">
        <v>114</v>
      </c>
      <c r="R22" t="s">
        <v>98</v>
      </c>
      <c r="S22" t="s">
        <v>38</v>
      </c>
      <c r="T22">
        <v>3</v>
      </c>
      <c r="U22">
        <v>3</v>
      </c>
      <c r="V22">
        <v>3</v>
      </c>
      <c r="W22" t="s">
        <v>39</v>
      </c>
      <c r="X22" t="s">
        <v>40</v>
      </c>
      <c r="Y22" t="s">
        <v>41</v>
      </c>
      <c r="Z22" t="s">
        <v>156</v>
      </c>
      <c r="AA22">
        <v>0</v>
      </c>
      <c r="AB22">
        <v>52</v>
      </c>
    </row>
    <row r="23" spans="1:28" x14ac:dyDescent="0.25">
      <c r="A23" t="s">
        <v>710</v>
      </c>
      <c r="B23">
        <v>21</v>
      </c>
      <c r="C23" t="s">
        <v>33</v>
      </c>
      <c r="D23">
        <v>3</v>
      </c>
      <c r="F23">
        <v>3</v>
      </c>
      <c r="G23" t="s">
        <v>65</v>
      </c>
      <c r="H23" t="s">
        <v>130</v>
      </c>
      <c r="I23" t="s">
        <v>36</v>
      </c>
      <c r="J23" t="s">
        <v>133</v>
      </c>
      <c r="K23" t="s">
        <v>56</v>
      </c>
      <c r="L23">
        <v>2</v>
      </c>
      <c r="N23">
        <v>2</v>
      </c>
      <c r="O23" t="s">
        <v>120</v>
      </c>
      <c r="P23" t="s">
        <v>69</v>
      </c>
      <c r="Q23" t="s">
        <v>87</v>
      </c>
      <c r="S23" t="s">
        <v>48</v>
      </c>
      <c r="T23">
        <v>3</v>
      </c>
      <c r="V23">
        <v>3</v>
      </c>
      <c r="W23" t="s">
        <v>126</v>
      </c>
      <c r="X23" t="s">
        <v>84</v>
      </c>
      <c r="Y23" t="s">
        <v>127</v>
      </c>
      <c r="Z23" t="s">
        <v>52</v>
      </c>
      <c r="AA23">
        <v>0</v>
      </c>
      <c r="AB23">
        <v>28</v>
      </c>
    </row>
    <row r="24" spans="1:28" x14ac:dyDescent="0.25">
      <c r="A24" t="s">
        <v>711</v>
      </c>
      <c r="B24">
        <v>22</v>
      </c>
      <c r="C24" t="s">
        <v>56</v>
      </c>
      <c r="D24">
        <v>2</v>
      </c>
      <c r="F24">
        <v>2</v>
      </c>
      <c r="G24" t="s">
        <v>120</v>
      </c>
      <c r="H24" t="s">
        <v>121</v>
      </c>
      <c r="I24" t="s">
        <v>123</v>
      </c>
      <c r="J24" t="s">
        <v>124</v>
      </c>
      <c r="K24" t="s">
        <v>48</v>
      </c>
      <c r="L24">
        <v>1</v>
      </c>
      <c r="N24">
        <v>1</v>
      </c>
      <c r="O24" t="s">
        <v>126</v>
      </c>
      <c r="P24" t="s">
        <v>84</v>
      </c>
      <c r="Q24" t="s">
        <v>127</v>
      </c>
      <c r="R24" t="s">
        <v>128</v>
      </c>
      <c r="S24" t="s">
        <v>43</v>
      </c>
      <c r="T24">
        <v>3</v>
      </c>
      <c r="V24">
        <v>2</v>
      </c>
      <c r="W24" t="s">
        <v>44</v>
      </c>
      <c r="X24" t="s">
        <v>136</v>
      </c>
      <c r="Y24" t="s">
        <v>137</v>
      </c>
      <c r="AA24">
        <v>0</v>
      </c>
      <c r="AB24">
        <v>17</v>
      </c>
    </row>
    <row r="25" spans="1:28" x14ac:dyDescent="0.25">
      <c r="A25" t="s">
        <v>712</v>
      </c>
      <c r="B25">
        <v>23</v>
      </c>
      <c r="C25" t="s">
        <v>56</v>
      </c>
      <c r="D25">
        <v>3</v>
      </c>
      <c r="F25">
        <v>3</v>
      </c>
      <c r="G25" t="s">
        <v>120</v>
      </c>
      <c r="H25" t="s">
        <v>121</v>
      </c>
      <c r="I25" t="s">
        <v>123</v>
      </c>
      <c r="J25" t="s">
        <v>124</v>
      </c>
      <c r="K25" t="s">
        <v>48</v>
      </c>
      <c r="L25">
        <v>1</v>
      </c>
      <c r="N25">
        <v>3</v>
      </c>
      <c r="O25" t="s">
        <v>126</v>
      </c>
      <c r="P25" t="s">
        <v>84</v>
      </c>
      <c r="Q25" t="s">
        <v>90</v>
      </c>
      <c r="R25" t="s">
        <v>128</v>
      </c>
      <c r="S25" t="s">
        <v>45</v>
      </c>
      <c r="T25">
        <v>3</v>
      </c>
      <c r="V25">
        <v>2</v>
      </c>
      <c r="W25" t="s">
        <v>86</v>
      </c>
      <c r="X25" t="s">
        <v>92</v>
      </c>
      <c r="Y25" t="s">
        <v>142</v>
      </c>
      <c r="Z25" t="s">
        <v>143</v>
      </c>
      <c r="AA25">
        <v>0</v>
      </c>
      <c r="AB25">
        <v>22</v>
      </c>
    </row>
    <row r="26" spans="1:28" x14ac:dyDescent="0.25">
      <c r="A26" t="s">
        <v>713</v>
      </c>
      <c r="B26">
        <v>24</v>
      </c>
      <c r="C26" t="s">
        <v>56</v>
      </c>
      <c r="D26">
        <v>3</v>
      </c>
      <c r="F26">
        <v>3</v>
      </c>
      <c r="G26" t="s">
        <v>120</v>
      </c>
      <c r="H26" t="s">
        <v>69</v>
      </c>
      <c r="I26" t="s">
        <v>87</v>
      </c>
      <c r="J26" t="s">
        <v>125</v>
      </c>
      <c r="K26" t="s">
        <v>48</v>
      </c>
      <c r="L26">
        <v>3</v>
      </c>
      <c r="N26">
        <v>3</v>
      </c>
      <c r="O26" t="s">
        <v>89</v>
      </c>
      <c r="P26" t="s">
        <v>50</v>
      </c>
      <c r="Q26" t="s">
        <v>127</v>
      </c>
      <c r="R26" t="s">
        <v>52</v>
      </c>
      <c r="S26" t="s">
        <v>63</v>
      </c>
      <c r="T26">
        <v>3</v>
      </c>
      <c r="V26">
        <v>2</v>
      </c>
      <c r="W26" t="s">
        <v>72</v>
      </c>
      <c r="X26" t="s">
        <v>146</v>
      </c>
      <c r="Y26" t="s">
        <v>148</v>
      </c>
      <c r="Z26" t="s">
        <v>151</v>
      </c>
      <c r="AA26">
        <v>0</v>
      </c>
      <c r="AB26">
        <v>29</v>
      </c>
    </row>
    <row r="27" spans="1:28" x14ac:dyDescent="0.25">
      <c r="A27" t="s">
        <v>714</v>
      </c>
      <c r="B27">
        <v>25</v>
      </c>
      <c r="C27" t="s">
        <v>56</v>
      </c>
      <c r="D27">
        <v>2</v>
      </c>
      <c r="F27">
        <v>2</v>
      </c>
      <c r="G27" t="s">
        <v>120</v>
      </c>
      <c r="H27" t="s">
        <v>121</v>
      </c>
      <c r="I27" t="s">
        <v>123</v>
      </c>
      <c r="J27" t="s">
        <v>124</v>
      </c>
      <c r="K27" t="s">
        <v>48</v>
      </c>
      <c r="L27">
        <v>1</v>
      </c>
      <c r="N27">
        <v>3</v>
      </c>
      <c r="O27" t="s">
        <v>126</v>
      </c>
      <c r="P27" t="s">
        <v>84</v>
      </c>
      <c r="Q27" t="s">
        <v>127</v>
      </c>
      <c r="R27" t="s">
        <v>52</v>
      </c>
      <c r="S27" t="s">
        <v>38</v>
      </c>
      <c r="T27">
        <v>1</v>
      </c>
      <c r="U27">
        <v>1</v>
      </c>
      <c r="V27">
        <v>1</v>
      </c>
      <c r="W27" t="s">
        <v>39</v>
      </c>
      <c r="X27" t="s">
        <v>40</v>
      </c>
      <c r="Y27" t="s">
        <v>41</v>
      </c>
      <c r="Z27" t="s">
        <v>156</v>
      </c>
      <c r="AA27">
        <v>0</v>
      </c>
      <c r="AB27">
        <v>16</v>
      </c>
    </row>
    <row r="28" spans="1:28" x14ac:dyDescent="0.25">
      <c r="A28" t="s">
        <v>715</v>
      </c>
      <c r="B28">
        <v>26</v>
      </c>
      <c r="C28" t="s">
        <v>33</v>
      </c>
      <c r="D28">
        <v>3</v>
      </c>
      <c r="F28">
        <v>3</v>
      </c>
      <c r="G28" t="s">
        <v>65</v>
      </c>
      <c r="H28" t="s">
        <v>66</v>
      </c>
      <c r="I28" t="s">
        <v>131</v>
      </c>
      <c r="K28" t="s">
        <v>56</v>
      </c>
      <c r="L28">
        <v>3</v>
      </c>
      <c r="N28">
        <v>3</v>
      </c>
      <c r="O28" t="s">
        <v>120</v>
      </c>
      <c r="P28" t="s">
        <v>69</v>
      </c>
      <c r="Q28" t="s">
        <v>87</v>
      </c>
      <c r="S28" t="s">
        <v>43</v>
      </c>
      <c r="T28">
        <v>1</v>
      </c>
      <c r="V28">
        <v>2</v>
      </c>
      <c r="W28" t="s">
        <v>44</v>
      </c>
      <c r="X28" t="s">
        <v>136</v>
      </c>
      <c r="Y28" t="s">
        <v>100</v>
      </c>
      <c r="Z28" t="s">
        <v>138</v>
      </c>
      <c r="AA28">
        <v>0</v>
      </c>
      <c r="AB28">
        <v>20</v>
      </c>
    </row>
    <row r="29" spans="1:28" x14ac:dyDescent="0.25">
      <c r="A29" t="s">
        <v>716</v>
      </c>
      <c r="B29">
        <v>27</v>
      </c>
      <c r="C29" t="s">
        <v>56</v>
      </c>
      <c r="D29">
        <v>3</v>
      </c>
      <c r="F29">
        <v>3</v>
      </c>
      <c r="G29" t="s">
        <v>120</v>
      </c>
      <c r="H29" t="s">
        <v>69</v>
      </c>
      <c r="I29" t="s">
        <v>87</v>
      </c>
      <c r="J29" t="s">
        <v>124</v>
      </c>
      <c r="K29" t="s">
        <v>33</v>
      </c>
      <c r="L29">
        <v>1</v>
      </c>
      <c r="N29">
        <v>3</v>
      </c>
      <c r="O29" t="s">
        <v>65</v>
      </c>
      <c r="P29" t="s">
        <v>130</v>
      </c>
      <c r="Q29" t="s">
        <v>131</v>
      </c>
      <c r="S29" t="s">
        <v>45</v>
      </c>
      <c r="T29">
        <v>3</v>
      </c>
      <c r="V29">
        <v>3</v>
      </c>
      <c r="W29" t="s">
        <v>86</v>
      </c>
      <c r="X29" t="s">
        <v>141</v>
      </c>
      <c r="Y29" t="s">
        <v>142</v>
      </c>
      <c r="Z29" t="s">
        <v>144</v>
      </c>
      <c r="AA29">
        <v>0</v>
      </c>
      <c r="AB29">
        <v>25</v>
      </c>
    </row>
    <row r="30" spans="1:28" x14ac:dyDescent="0.25">
      <c r="A30" t="s">
        <v>717</v>
      </c>
      <c r="B30">
        <v>28</v>
      </c>
      <c r="C30" t="s">
        <v>63</v>
      </c>
      <c r="D30">
        <v>2</v>
      </c>
      <c r="F30">
        <v>3</v>
      </c>
      <c r="G30" t="s">
        <v>145</v>
      </c>
      <c r="H30" t="s">
        <v>146</v>
      </c>
      <c r="I30" t="s">
        <v>104</v>
      </c>
      <c r="J30" t="s">
        <v>149</v>
      </c>
      <c r="K30" t="s">
        <v>56</v>
      </c>
      <c r="L30">
        <v>3</v>
      </c>
      <c r="N30">
        <v>2</v>
      </c>
      <c r="O30" t="s">
        <v>68</v>
      </c>
      <c r="P30" t="s">
        <v>69</v>
      </c>
      <c r="Q30" t="s">
        <v>123</v>
      </c>
      <c r="R30" t="s">
        <v>124</v>
      </c>
      <c r="S30" t="s">
        <v>33</v>
      </c>
      <c r="T30">
        <v>2</v>
      </c>
      <c r="V30">
        <v>2</v>
      </c>
      <c r="W30" t="s">
        <v>34</v>
      </c>
      <c r="AA30">
        <v>0</v>
      </c>
      <c r="AB30">
        <v>19</v>
      </c>
    </row>
    <row r="31" spans="1:28" x14ac:dyDescent="0.25">
      <c r="A31" t="s">
        <v>718</v>
      </c>
      <c r="B31">
        <v>29</v>
      </c>
      <c r="C31" t="s">
        <v>38</v>
      </c>
      <c r="D31">
        <v>3</v>
      </c>
      <c r="E31">
        <v>1</v>
      </c>
      <c r="F31">
        <v>3</v>
      </c>
      <c r="G31" t="s">
        <v>39</v>
      </c>
      <c r="H31" t="s">
        <v>40</v>
      </c>
      <c r="I31" t="s">
        <v>153</v>
      </c>
      <c r="J31" t="s">
        <v>156</v>
      </c>
      <c r="K31" t="s">
        <v>56</v>
      </c>
      <c r="L31">
        <v>2</v>
      </c>
      <c r="N31">
        <v>2</v>
      </c>
      <c r="O31" t="s">
        <v>120</v>
      </c>
      <c r="P31" t="s">
        <v>69</v>
      </c>
      <c r="Q31" t="s">
        <v>87</v>
      </c>
      <c r="S31" t="s">
        <v>33</v>
      </c>
      <c r="T31">
        <v>3</v>
      </c>
      <c r="V31">
        <v>3</v>
      </c>
      <c r="W31" t="s">
        <v>65</v>
      </c>
      <c r="X31" t="s">
        <v>66</v>
      </c>
      <c r="Y31" t="s">
        <v>131</v>
      </c>
      <c r="Z31" t="s">
        <v>133</v>
      </c>
      <c r="AA31">
        <v>0</v>
      </c>
      <c r="AB31">
        <v>22</v>
      </c>
    </row>
    <row r="32" spans="1:28" x14ac:dyDescent="0.25">
      <c r="A32" t="s">
        <v>719</v>
      </c>
      <c r="B32">
        <v>30</v>
      </c>
      <c r="C32" t="s">
        <v>56</v>
      </c>
      <c r="D32">
        <v>3</v>
      </c>
      <c r="F32">
        <v>3</v>
      </c>
      <c r="G32" t="s">
        <v>120</v>
      </c>
      <c r="H32" t="s">
        <v>69</v>
      </c>
      <c r="K32" t="s">
        <v>43</v>
      </c>
      <c r="L32">
        <v>1</v>
      </c>
      <c r="N32">
        <v>1</v>
      </c>
      <c r="O32" t="s">
        <v>73</v>
      </c>
      <c r="P32" t="s">
        <v>136</v>
      </c>
      <c r="Q32" t="s">
        <v>137</v>
      </c>
      <c r="S32" t="s">
        <v>45</v>
      </c>
      <c r="T32">
        <v>3</v>
      </c>
      <c r="V32">
        <v>3</v>
      </c>
      <c r="W32" t="s">
        <v>140</v>
      </c>
      <c r="X32" t="s">
        <v>141</v>
      </c>
      <c r="AA32">
        <v>0</v>
      </c>
      <c r="AB32">
        <v>15</v>
      </c>
    </row>
    <row r="33" spans="1:28" x14ac:dyDescent="0.25">
      <c r="A33" t="s">
        <v>720</v>
      </c>
      <c r="B33">
        <v>31</v>
      </c>
      <c r="C33" t="s">
        <v>56</v>
      </c>
      <c r="D33">
        <v>3</v>
      </c>
      <c r="F33">
        <v>3</v>
      </c>
      <c r="G33" t="s">
        <v>120</v>
      </c>
      <c r="H33" t="s">
        <v>69</v>
      </c>
      <c r="I33" t="s">
        <v>87</v>
      </c>
      <c r="J33" t="s">
        <v>88</v>
      </c>
      <c r="K33" t="s">
        <v>43</v>
      </c>
      <c r="L33">
        <v>3</v>
      </c>
      <c r="N33">
        <v>3</v>
      </c>
      <c r="O33" t="s">
        <v>44</v>
      </c>
      <c r="P33" t="s">
        <v>136</v>
      </c>
      <c r="Q33" t="s">
        <v>137</v>
      </c>
      <c r="R33" t="s">
        <v>139</v>
      </c>
      <c r="S33" t="s">
        <v>63</v>
      </c>
      <c r="T33">
        <v>3</v>
      </c>
      <c r="V33">
        <v>3</v>
      </c>
      <c r="W33" t="s">
        <v>72</v>
      </c>
      <c r="X33" t="s">
        <v>146</v>
      </c>
      <c r="Y33" t="s">
        <v>148</v>
      </c>
      <c r="Z33" t="s">
        <v>151</v>
      </c>
      <c r="AA33">
        <v>0</v>
      </c>
      <c r="AB33">
        <v>35</v>
      </c>
    </row>
    <row r="34" spans="1:28" x14ac:dyDescent="0.25">
      <c r="A34" t="s">
        <v>721</v>
      </c>
      <c r="B34">
        <v>32</v>
      </c>
      <c r="C34" t="s">
        <v>56</v>
      </c>
      <c r="D34">
        <v>3</v>
      </c>
      <c r="F34">
        <v>3</v>
      </c>
      <c r="G34" t="s">
        <v>120</v>
      </c>
      <c r="H34" t="s">
        <v>69</v>
      </c>
      <c r="I34" t="s">
        <v>87</v>
      </c>
      <c r="J34" t="s">
        <v>125</v>
      </c>
      <c r="K34" t="s">
        <v>43</v>
      </c>
      <c r="L34">
        <v>3</v>
      </c>
      <c r="N34">
        <v>3</v>
      </c>
      <c r="O34" t="s">
        <v>73</v>
      </c>
      <c r="P34" t="s">
        <v>74</v>
      </c>
      <c r="Q34" t="s">
        <v>100</v>
      </c>
      <c r="R34" t="s">
        <v>101</v>
      </c>
      <c r="S34" t="s">
        <v>38</v>
      </c>
      <c r="T34">
        <v>3</v>
      </c>
      <c r="U34">
        <v>3</v>
      </c>
      <c r="V34">
        <v>3</v>
      </c>
      <c r="W34" t="s">
        <v>39</v>
      </c>
      <c r="X34" t="s">
        <v>40</v>
      </c>
      <c r="Y34" t="s">
        <v>154</v>
      </c>
      <c r="Z34" t="s">
        <v>156</v>
      </c>
      <c r="AA34">
        <v>0</v>
      </c>
      <c r="AB34">
        <v>33</v>
      </c>
    </row>
    <row r="35" spans="1:28" x14ac:dyDescent="0.25">
      <c r="A35" t="s">
        <v>722</v>
      </c>
      <c r="B35">
        <v>33</v>
      </c>
      <c r="C35" t="s">
        <v>56</v>
      </c>
      <c r="D35">
        <v>3</v>
      </c>
      <c r="F35">
        <v>2</v>
      </c>
      <c r="G35" t="s">
        <v>57</v>
      </c>
      <c r="H35" t="s">
        <v>69</v>
      </c>
      <c r="I35" t="s">
        <v>87</v>
      </c>
      <c r="K35" t="s">
        <v>45</v>
      </c>
      <c r="L35">
        <v>3</v>
      </c>
      <c r="N35">
        <v>2</v>
      </c>
      <c r="O35" t="s">
        <v>86</v>
      </c>
      <c r="P35" t="s">
        <v>141</v>
      </c>
      <c r="Q35" t="s">
        <v>93</v>
      </c>
      <c r="R35" t="s">
        <v>144</v>
      </c>
      <c r="S35" t="s">
        <v>63</v>
      </c>
      <c r="T35">
        <v>1</v>
      </c>
      <c r="V35">
        <v>3</v>
      </c>
      <c r="W35" t="s">
        <v>103</v>
      </c>
      <c r="X35" t="s">
        <v>146</v>
      </c>
      <c r="Y35" t="s">
        <v>104</v>
      </c>
      <c r="AA35">
        <v>0</v>
      </c>
      <c r="AB35">
        <v>19</v>
      </c>
    </row>
    <row r="36" spans="1:28" x14ac:dyDescent="0.25">
      <c r="A36" t="s">
        <v>723</v>
      </c>
      <c r="B36">
        <v>34</v>
      </c>
      <c r="C36" t="s">
        <v>38</v>
      </c>
      <c r="D36">
        <v>2</v>
      </c>
      <c r="E36">
        <v>3</v>
      </c>
      <c r="F36">
        <v>2</v>
      </c>
      <c r="G36" t="s">
        <v>39</v>
      </c>
      <c r="H36" t="s">
        <v>96</v>
      </c>
      <c r="I36" t="s">
        <v>153</v>
      </c>
      <c r="J36" t="s">
        <v>156</v>
      </c>
      <c r="K36" t="s">
        <v>56</v>
      </c>
      <c r="L36">
        <v>3</v>
      </c>
      <c r="N36">
        <v>3</v>
      </c>
      <c r="O36" t="s">
        <v>57</v>
      </c>
      <c r="P36" t="s">
        <v>69</v>
      </c>
      <c r="Q36" t="s">
        <v>87</v>
      </c>
      <c r="R36" t="s">
        <v>125</v>
      </c>
      <c r="S36" t="s">
        <v>45</v>
      </c>
      <c r="T36">
        <v>3</v>
      </c>
      <c r="V36">
        <v>2</v>
      </c>
      <c r="W36" t="s">
        <v>86</v>
      </c>
      <c r="X36" t="s">
        <v>76</v>
      </c>
      <c r="Y36" t="s">
        <v>142</v>
      </c>
      <c r="AA36">
        <v>0</v>
      </c>
      <c r="AB36">
        <v>23</v>
      </c>
    </row>
    <row r="37" spans="1:28" x14ac:dyDescent="0.25">
      <c r="A37" t="s">
        <v>724</v>
      </c>
      <c r="B37">
        <v>35</v>
      </c>
      <c r="C37" t="s">
        <v>38</v>
      </c>
      <c r="D37">
        <v>3</v>
      </c>
      <c r="E37">
        <v>3</v>
      </c>
      <c r="F37">
        <v>3</v>
      </c>
      <c r="G37" t="s">
        <v>39</v>
      </c>
      <c r="H37" t="s">
        <v>40</v>
      </c>
      <c r="I37" t="s">
        <v>41</v>
      </c>
      <c r="J37" t="s">
        <v>156</v>
      </c>
      <c r="K37" t="s">
        <v>56</v>
      </c>
      <c r="L37">
        <v>3</v>
      </c>
      <c r="N37">
        <v>3</v>
      </c>
      <c r="O37" t="s">
        <v>57</v>
      </c>
      <c r="P37" t="s">
        <v>69</v>
      </c>
      <c r="Q37" t="s">
        <v>87</v>
      </c>
      <c r="R37" t="s">
        <v>125</v>
      </c>
      <c r="S37" t="s">
        <v>63</v>
      </c>
      <c r="T37">
        <v>3</v>
      </c>
      <c r="V37">
        <v>3</v>
      </c>
      <c r="W37" t="s">
        <v>103</v>
      </c>
      <c r="X37" t="s">
        <v>146</v>
      </c>
      <c r="Y37" t="s">
        <v>147</v>
      </c>
      <c r="Z37" t="s">
        <v>151</v>
      </c>
      <c r="AA37">
        <v>0</v>
      </c>
      <c r="AB37">
        <v>43</v>
      </c>
    </row>
    <row r="38" spans="1:28" x14ac:dyDescent="0.25">
      <c r="A38" t="s">
        <v>725</v>
      </c>
      <c r="B38">
        <v>36</v>
      </c>
      <c r="C38" t="s">
        <v>33</v>
      </c>
      <c r="D38">
        <v>3</v>
      </c>
      <c r="F38">
        <v>3</v>
      </c>
      <c r="G38" t="s">
        <v>34</v>
      </c>
      <c r="H38" t="s">
        <v>130</v>
      </c>
      <c r="I38" t="s">
        <v>36</v>
      </c>
      <c r="K38" t="s">
        <v>48</v>
      </c>
      <c r="L38">
        <v>3</v>
      </c>
      <c r="N38">
        <v>1</v>
      </c>
      <c r="O38" t="s">
        <v>126</v>
      </c>
      <c r="P38" t="s">
        <v>84</v>
      </c>
      <c r="Q38" t="s">
        <v>51</v>
      </c>
      <c r="S38" t="s">
        <v>43</v>
      </c>
      <c r="T38">
        <v>3</v>
      </c>
      <c r="V38">
        <v>3</v>
      </c>
      <c r="W38" t="s">
        <v>44</v>
      </c>
      <c r="X38" t="s">
        <v>99</v>
      </c>
      <c r="AA38">
        <v>0</v>
      </c>
      <c r="AB38">
        <v>18</v>
      </c>
    </row>
    <row r="39" spans="1:28" x14ac:dyDescent="0.25">
      <c r="A39" t="s">
        <v>726</v>
      </c>
      <c r="B39">
        <v>37</v>
      </c>
      <c r="C39" t="s">
        <v>33</v>
      </c>
      <c r="D39">
        <v>3</v>
      </c>
      <c r="F39">
        <v>3</v>
      </c>
      <c r="G39" t="s">
        <v>65</v>
      </c>
      <c r="H39" t="s">
        <v>130</v>
      </c>
      <c r="I39" t="s">
        <v>36</v>
      </c>
      <c r="K39" t="s">
        <v>48</v>
      </c>
      <c r="L39">
        <v>3</v>
      </c>
      <c r="N39">
        <v>1</v>
      </c>
      <c r="O39" t="s">
        <v>126</v>
      </c>
      <c r="P39" t="s">
        <v>84</v>
      </c>
      <c r="Q39" t="s">
        <v>51</v>
      </c>
      <c r="R39" t="s">
        <v>128</v>
      </c>
      <c r="S39" t="s">
        <v>45</v>
      </c>
      <c r="T39">
        <v>3</v>
      </c>
      <c r="V39">
        <v>1</v>
      </c>
      <c r="W39" t="s">
        <v>86</v>
      </c>
      <c r="X39" t="s">
        <v>92</v>
      </c>
      <c r="Y39" t="s">
        <v>142</v>
      </c>
      <c r="Z39" t="s">
        <v>144</v>
      </c>
      <c r="AA39">
        <v>0</v>
      </c>
      <c r="AB39">
        <v>19</v>
      </c>
    </row>
    <row r="40" spans="1:28" x14ac:dyDescent="0.25">
      <c r="A40" t="s">
        <v>727</v>
      </c>
      <c r="B40">
        <v>38</v>
      </c>
      <c r="C40" t="s">
        <v>48</v>
      </c>
      <c r="D40">
        <v>3</v>
      </c>
      <c r="F40">
        <v>1</v>
      </c>
      <c r="G40" t="s">
        <v>89</v>
      </c>
      <c r="H40" t="s">
        <v>84</v>
      </c>
      <c r="I40" t="s">
        <v>90</v>
      </c>
      <c r="J40" t="s">
        <v>128</v>
      </c>
      <c r="K40" t="s">
        <v>33</v>
      </c>
      <c r="L40">
        <v>1</v>
      </c>
      <c r="N40">
        <v>3</v>
      </c>
      <c r="O40" t="s">
        <v>34</v>
      </c>
      <c r="S40" t="s">
        <v>63</v>
      </c>
      <c r="T40">
        <v>2</v>
      </c>
      <c r="V40">
        <v>1</v>
      </c>
      <c r="W40" t="s">
        <v>72</v>
      </c>
      <c r="X40" t="s">
        <v>95</v>
      </c>
      <c r="Y40" t="s">
        <v>147</v>
      </c>
      <c r="AA40">
        <v>0</v>
      </c>
      <c r="AB40">
        <v>15</v>
      </c>
    </row>
    <row r="41" spans="1:28" x14ac:dyDescent="0.25">
      <c r="A41" t="s">
        <v>728</v>
      </c>
      <c r="B41">
        <v>39</v>
      </c>
      <c r="C41" t="s">
        <v>48</v>
      </c>
      <c r="D41">
        <v>2</v>
      </c>
      <c r="F41">
        <v>1</v>
      </c>
      <c r="G41" t="s">
        <v>126</v>
      </c>
      <c r="H41" t="s">
        <v>71</v>
      </c>
      <c r="I41" t="s">
        <v>127</v>
      </c>
      <c r="J41" t="s">
        <v>128</v>
      </c>
      <c r="K41" t="s">
        <v>33</v>
      </c>
      <c r="L41">
        <v>1</v>
      </c>
      <c r="N41">
        <v>1</v>
      </c>
      <c r="O41" t="s">
        <v>65</v>
      </c>
      <c r="P41" t="s">
        <v>130</v>
      </c>
      <c r="Q41" t="s">
        <v>131</v>
      </c>
      <c r="R41" t="s">
        <v>133</v>
      </c>
      <c r="S41" t="s">
        <v>38</v>
      </c>
      <c r="T41">
        <v>1</v>
      </c>
      <c r="U41">
        <v>1</v>
      </c>
      <c r="V41">
        <v>3</v>
      </c>
      <c r="W41" t="s">
        <v>39</v>
      </c>
      <c r="X41" t="s">
        <v>40</v>
      </c>
      <c r="Y41" t="s">
        <v>41</v>
      </c>
      <c r="Z41" t="s">
        <v>155</v>
      </c>
      <c r="AA41">
        <v>0</v>
      </c>
      <c r="AB41">
        <v>16</v>
      </c>
    </row>
    <row r="42" spans="1:28" x14ac:dyDescent="0.25">
      <c r="A42" t="s">
        <v>729</v>
      </c>
      <c r="B42">
        <v>40</v>
      </c>
      <c r="C42" t="s">
        <v>43</v>
      </c>
      <c r="D42">
        <v>3</v>
      </c>
      <c r="F42">
        <v>3</v>
      </c>
      <c r="G42" t="s">
        <v>44</v>
      </c>
      <c r="H42" t="s">
        <v>136</v>
      </c>
      <c r="I42" t="s">
        <v>137</v>
      </c>
      <c r="J42" t="s">
        <v>138</v>
      </c>
      <c r="K42" t="s">
        <v>48</v>
      </c>
      <c r="L42">
        <v>3</v>
      </c>
      <c r="N42">
        <v>3</v>
      </c>
      <c r="O42" t="s">
        <v>126</v>
      </c>
      <c r="P42" t="s">
        <v>71</v>
      </c>
      <c r="Q42" t="s">
        <v>90</v>
      </c>
      <c r="R42" t="s">
        <v>52</v>
      </c>
      <c r="S42" t="s">
        <v>45</v>
      </c>
      <c r="T42">
        <v>3</v>
      </c>
      <c r="V42">
        <v>1</v>
      </c>
      <c r="W42" t="s">
        <v>86</v>
      </c>
      <c r="AA42">
        <v>0</v>
      </c>
      <c r="AB42">
        <v>26</v>
      </c>
    </row>
    <row r="43" spans="1:28" x14ac:dyDescent="0.25">
      <c r="A43" t="s">
        <v>730</v>
      </c>
      <c r="B43">
        <v>41</v>
      </c>
      <c r="C43" t="s">
        <v>43</v>
      </c>
      <c r="D43">
        <v>3</v>
      </c>
      <c r="F43">
        <v>3</v>
      </c>
      <c r="G43" t="s">
        <v>44</v>
      </c>
      <c r="H43" t="s">
        <v>136</v>
      </c>
      <c r="I43" t="s">
        <v>137</v>
      </c>
      <c r="J43" t="s">
        <v>139</v>
      </c>
      <c r="K43" t="s">
        <v>48</v>
      </c>
      <c r="L43">
        <v>2</v>
      </c>
      <c r="N43">
        <v>3</v>
      </c>
      <c r="O43" t="s">
        <v>126</v>
      </c>
      <c r="P43" t="s">
        <v>71</v>
      </c>
      <c r="Q43" t="s">
        <v>51</v>
      </c>
      <c r="R43" t="s">
        <v>128</v>
      </c>
      <c r="S43" t="s">
        <v>63</v>
      </c>
      <c r="T43">
        <v>3</v>
      </c>
      <c r="V43">
        <v>3</v>
      </c>
      <c r="W43" t="s">
        <v>72</v>
      </c>
      <c r="X43" t="s">
        <v>146</v>
      </c>
      <c r="Y43" t="s">
        <v>148</v>
      </c>
      <c r="Z43" t="s">
        <v>150</v>
      </c>
      <c r="AA43">
        <v>0</v>
      </c>
      <c r="AB43">
        <v>30</v>
      </c>
    </row>
    <row r="44" spans="1:28" x14ac:dyDescent="0.25">
      <c r="A44" t="s">
        <v>731</v>
      </c>
      <c r="B44">
        <v>42</v>
      </c>
      <c r="C44" t="s">
        <v>43</v>
      </c>
      <c r="D44">
        <v>3</v>
      </c>
      <c r="F44">
        <v>3</v>
      </c>
      <c r="G44" t="s">
        <v>44</v>
      </c>
      <c r="H44" t="s">
        <v>136</v>
      </c>
      <c r="I44" t="s">
        <v>137</v>
      </c>
      <c r="J44" t="s">
        <v>138</v>
      </c>
      <c r="K44" t="s">
        <v>48</v>
      </c>
      <c r="L44">
        <v>3</v>
      </c>
      <c r="N44">
        <v>2</v>
      </c>
      <c r="O44" t="s">
        <v>126</v>
      </c>
      <c r="P44" t="s">
        <v>71</v>
      </c>
      <c r="Q44" t="s">
        <v>90</v>
      </c>
      <c r="R44" t="s">
        <v>52</v>
      </c>
      <c r="S44" t="s">
        <v>38</v>
      </c>
      <c r="T44">
        <v>1</v>
      </c>
      <c r="U44">
        <v>1</v>
      </c>
      <c r="V44">
        <v>1</v>
      </c>
      <c r="W44" t="s">
        <v>39</v>
      </c>
      <c r="X44" t="s">
        <v>40</v>
      </c>
      <c r="Y44" t="s">
        <v>153</v>
      </c>
      <c r="Z44" t="s">
        <v>155</v>
      </c>
      <c r="AA44">
        <v>0</v>
      </c>
      <c r="AB44">
        <v>19</v>
      </c>
    </row>
    <row r="45" spans="1:28" x14ac:dyDescent="0.25">
      <c r="A45" t="s">
        <v>732</v>
      </c>
      <c r="B45">
        <v>43</v>
      </c>
      <c r="C45" t="s">
        <v>63</v>
      </c>
      <c r="D45">
        <v>3</v>
      </c>
      <c r="F45">
        <v>3</v>
      </c>
      <c r="G45" t="s">
        <v>72</v>
      </c>
      <c r="H45" t="s">
        <v>146</v>
      </c>
      <c r="I45" t="s">
        <v>148</v>
      </c>
      <c r="J45" t="s">
        <v>150</v>
      </c>
      <c r="K45" t="s">
        <v>48</v>
      </c>
      <c r="L45">
        <v>2</v>
      </c>
      <c r="N45">
        <v>2</v>
      </c>
      <c r="O45" t="s">
        <v>126</v>
      </c>
      <c r="P45" t="s">
        <v>71</v>
      </c>
      <c r="Q45" t="s">
        <v>127</v>
      </c>
      <c r="R45" t="s">
        <v>52</v>
      </c>
      <c r="S45" t="s">
        <v>45</v>
      </c>
      <c r="T45">
        <v>3</v>
      </c>
      <c r="V45">
        <v>3</v>
      </c>
      <c r="W45" t="s">
        <v>86</v>
      </c>
      <c r="X45" t="s">
        <v>141</v>
      </c>
      <c r="Y45" t="s">
        <v>93</v>
      </c>
      <c r="Z45" t="s">
        <v>143</v>
      </c>
      <c r="AA45">
        <v>0</v>
      </c>
      <c r="AB45">
        <v>26</v>
      </c>
    </row>
    <row r="46" spans="1:28" x14ac:dyDescent="0.25">
      <c r="A46" t="s">
        <v>733</v>
      </c>
      <c r="B46">
        <v>44</v>
      </c>
      <c r="C46" t="s">
        <v>48</v>
      </c>
      <c r="D46">
        <v>3</v>
      </c>
      <c r="F46">
        <v>3</v>
      </c>
      <c r="G46" t="s">
        <v>126</v>
      </c>
      <c r="H46" t="s">
        <v>71</v>
      </c>
      <c r="I46" t="s">
        <v>127</v>
      </c>
      <c r="J46" t="s">
        <v>128</v>
      </c>
      <c r="K46" t="s">
        <v>45</v>
      </c>
      <c r="L46">
        <v>3</v>
      </c>
      <c r="N46">
        <v>3</v>
      </c>
      <c r="O46" t="s">
        <v>86</v>
      </c>
      <c r="P46" t="s">
        <v>141</v>
      </c>
      <c r="Q46" t="s">
        <v>93</v>
      </c>
      <c r="R46" t="s">
        <v>143</v>
      </c>
      <c r="S46" t="s">
        <v>38</v>
      </c>
      <c r="T46">
        <v>2</v>
      </c>
      <c r="U46">
        <v>3</v>
      </c>
      <c r="V46">
        <v>3</v>
      </c>
      <c r="W46" t="s">
        <v>39</v>
      </c>
      <c r="X46" t="s">
        <v>40</v>
      </c>
      <c r="Y46" t="s">
        <v>153</v>
      </c>
      <c r="Z46" t="s">
        <v>156</v>
      </c>
      <c r="AA46">
        <v>0</v>
      </c>
      <c r="AB46">
        <v>33</v>
      </c>
    </row>
    <row r="47" spans="1:28" x14ac:dyDescent="0.25">
      <c r="A47" t="s">
        <v>734</v>
      </c>
      <c r="B47">
        <v>45</v>
      </c>
      <c r="C47" t="s">
        <v>63</v>
      </c>
      <c r="D47">
        <v>3</v>
      </c>
      <c r="F47">
        <v>1</v>
      </c>
      <c r="G47" t="s">
        <v>72</v>
      </c>
      <c r="H47" t="s">
        <v>146</v>
      </c>
      <c r="I47" t="s">
        <v>147</v>
      </c>
      <c r="J47" t="s">
        <v>149</v>
      </c>
      <c r="K47" t="s">
        <v>48</v>
      </c>
      <c r="L47">
        <v>3</v>
      </c>
      <c r="N47">
        <v>2</v>
      </c>
      <c r="O47" t="s">
        <v>89</v>
      </c>
      <c r="P47" t="s">
        <v>84</v>
      </c>
      <c r="S47" t="s">
        <v>38</v>
      </c>
      <c r="T47">
        <v>2</v>
      </c>
      <c r="U47">
        <v>1</v>
      </c>
      <c r="V47">
        <v>2</v>
      </c>
      <c r="W47" t="s">
        <v>39</v>
      </c>
      <c r="X47" t="s">
        <v>40</v>
      </c>
      <c r="AA47">
        <v>0</v>
      </c>
      <c r="AB47">
        <v>16</v>
      </c>
    </row>
    <row r="48" spans="1:28" x14ac:dyDescent="0.25">
      <c r="A48" t="s">
        <v>735</v>
      </c>
      <c r="B48">
        <v>46</v>
      </c>
      <c r="C48" t="s">
        <v>43</v>
      </c>
      <c r="D48">
        <v>2</v>
      </c>
      <c r="F48">
        <v>3</v>
      </c>
      <c r="G48" t="s">
        <v>44</v>
      </c>
      <c r="H48" t="s">
        <v>136</v>
      </c>
      <c r="I48" t="s">
        <v>137</v>
      </c>
      <c r="K48" t="s">
        <v>33</v>
      </c>
      <c r="L48">
        <v>3</v>
      </c>
      <c r="N48">
        <v>3</v>
      </c>
      <c r="O48" t="s">
        <v>65</v>
      </c>
      <c r="P48" t="s">
        <v>66</v>
      </c>
      <c r="S48" t="s">
        <v>45</v>
      </c>
      <c r="T48">
        <v>3</v>
      </c>
      <c r="V48">
        <v>1</v>
      </c>
      <c r="W48" t="s">
        <v>86</v>
      </c>
      <c r="X48" t="s">
        <v>141</v>
      </c>
      <c r="AA48">
        <v>0</v>
      </c>
      <c r="AB48">
        <v>16</v>
      </c>
    </row>
    <row r="49" spans="1:28" x14ac:dyDescent="0.25">
      <c r="A49" t="s">
        <v>736</v>
      </c>
      <c r="B49">
        <v>47</v>
      </c>
      <c r="C49" t="s">
        <v>43</v>
      </c>
      <c r="D49">
        <v>3</v>
      </c>
      <c r="F49">
        <v>1</v>
      </c>
      <c r="G49" t="s">
        <v>44</v>
      </c>
      <c r="H49" t="s">
        <v>136</v>
      </c>
      <c r="I49" t="s">
        <v>137</v>
      </c>
      <c r="J49" t="s">
        <v>139</v>
      </c>
      <c r="K49" t="s">
        <v>33</v>
      </c>
      <c r="L49">
        <v>2</v>
      </c>
      <c r="N49">
        <v>2</v>
      </c>
      <c r="O49" t="s">
        <v>34</v>
      </c>
      <c r="S49" t="s">
        <v>63</v>
      </c>
      <c r="T49">
        <v>2</v>
      </c>
      <c r="V49">
        <v>2</v>
      </c>
      <c r="W49" t="s">
        <v>145</v>
      </c>
      <c r="X49" t="s">
        <v>146</v>
      </c>
      <c r="Y49" t="s">
        <v>104</v>
      </c>
      <c r="Z49" t="s">
        <v>149</v>
      </c>
      <c r="AA49">
        <v>0</v>
      </c>
      <c r="AB49">
        <v>16</v>
      </c>
    </row>
    <row r="50" spans="1:28" x14ac:dyDescent="0.25">
      <c r="A50" t="s">
        <v>737</v>
      </c>
      <c r="B50">
        <v>48</v>
      </c>
      <c r="C50" t="s">
        <v>33</v>
      </c>
      <c r="D50">
        <v>2</v>
      </c>
      <c r="F50">
        <v>3</v>
      </c>
      <c r="G50" t="s">
        <v>65</v>
      </c>
      <c r="H50" t="s">
        <v>66</v>
      </c>
      <c r="K50" t="s">
        <v>43</v>
      </c>
      <c r="L50">
        <v>1</v>
      </c>
      <c r="N50">
        <v>1</v>
      </c>
      <c r="O50" t="s">
        <v>44</v>
      </c>
      <c r="P50" t="s">
        <v>136</v>
      </c>
      <c r="Q50" t="s">
        <v>100</v>
      </c>
      <c r="S50" t="s">
        <v>38</v>
      </c>
      <c r="T50">
        <v>1</v>
      </c>
      <c r="U50">
        <v>1</v>
      </c>
      <c r="V50">
        <v>3</v>
      </c>
      <c r="W50" t="s">
        <v>39</v>
      </c>
      <c r="X50" t="s">
        <v>40</v>
      </c>
      <c r="Y50" t="s">
        <v>153</v>
      </c>
      <c r="AA50">
        <v>0</v>
      </c>
      <c r="AB50">
        <v>15</v>
      </c>
    </row>
    <row r="51" spans="1:28" x14ac:dyDescent="0.25">
      <c r="A51" t="s">
        <v>738</v>
      </c>
      <c r="B51">
        <v>49</v>
      </c>
      <c r="C51" t="s">
        <v>45</v>
      </c>
      <c r="D51">
        <v>3</v>
      </c>
      <c r="F51">
        <v>1</v>
      </c>
      <c r="G51" t="s">
        <v>86</v>
      </c>
      <c r="H51" t="s">
        <v>141</v>
      </c>
      <c r="I51" t="s">
        <v>142</v>
      </c>
      <c r="J51" t="s">
        <v>144</v>
      </c>
      <c r="K51" t="s">
        <v>33</v>
      </c>
      <c r="L51">
        <v>2</v>
      </c>
      <c r="N51">
        <v>3</v>
      </c>
      <c r="O51" t="s">
        <v>34</v>
      </c>
      <c r="P51" t="s">
        <v>66</v>
      </c>
      <c r="Q51" t="s">
        <v>131</v>
      </c>
      <c r="R51" t="s">
        <v>133</v>
      </c>
      <c r="S51" t="s">
        <v>63</v>
      </c>
      <c r="T51">
        <v>1</v>
      </c>
      <c r="V51">
        <v>2</v>
      </c>
      <c r="W51" t="s">
        <v>145</v>
      </c>
      <c r="X51" t="s">
        <v>146</v>
      </c>
      <c r="Y51" t="s">
        <v>104</v>
      </c>
      <c r="AA51">
        <v>0</v>
      </c>
      <c r="AB51">
        <v>18</v>
      </c>
    </row>
    <row r="52" spans="1:28" x14ac:dyDescent="0.25">
      <c r="A52" t="s">
        <v>739</v>
      </c>
      <c r="B52">
        <v>50</v>
      </c>
      <c r="C52" t="s">
        <v>45</v>
      </c>
      <c r="D52">
        <v>3</v>
      </c>
      <c r="F52">
        <v>1</v>
      </c>
      <c r="G52" t="s">
        <v>86</v>
      </c>
      <c r="H52" t="s">
        <v>141</v>
      </c>
      <c r="I52" t="s">
        <v>93</v>
      </c>
      <c r="K52" t="s">
        <v>33</v>
      </c>
      <c r="L52">
        <v>2</v>
      </c>
      <c r="N52">
        <v>3</v>
      </c>
      <c r="O52" t="s">
        <v>65</v>
      </c>
      <c r="P52" t="s">
        <v>35</v>
      </c>
      <c r="S52" t="s">
        <v>38</v>
      </c>
      <c r="T52">
        <v>1</v>
      </c>
      <c r="U52">
        <v>1</v>
      </c>
      <c r="V52">
        <v>2</v>
      </c>
      <c r="W52" t="s">
        <v>39</v>
      </c>
      <c r="X52" t="s">
        <v>40</v>
      </c>
      <c r="Y52" t="s">
        <v>153</v>
      </c>
      <c r="AA52">
        <v>0</v>
      </c>
      <c r="AB52">
        <v>14</v>
      </c>
    </row>
    <row r="53" spans="1:28" x14ac:dyDescent="0.25">
      <c r="A53" t="s">
        <v>740</v>
      </c>
      <c r="B53">
        <v>51</v>
      </c>
      <c r="C53" t="s">
        <v>63</v>
      </c>
      <c r="D53">
        <v>1</v>
      </c>
      <c r="F53">
        <v>1</v>
      </c>
      <c r="G53" t="s">
        <v>72</v>
      </c>
      <c r="H53" t="s">
        <v>95</v>
      </c>
      <c r="K53" t="s">
        <v>33</v>
      </c>
      <c r="L53">
        <v>1</v>
      </c>
      <c r="N53">
        <v>2</v>
      </c>
      <c r="O53" t="s">
        <v>34</v>
      </c>
      <c r="P53" t="s">
        <v>66</v>
      </c>
      <c r="S53" t="s">
        <v>38</v>
      </c>
      <c r="T53">
        <v>1</v>
      </c>
      <c r="U53">
        <v>1</v>
      </c>
      <c r="V53">
        <v>2</v>
      </c>
      <c r="W53" t="s">
        <v>39</v>
      </c>
      <c r="X53" t="s">
        <v>40</v>
      </c>
      <c r="AA53">
        <v>0</v>
      </c>
      <c r="AB53">
        <v>9</v>
      </c>
    </row>
    <row r="54" spans="1:28" x14ac:dyDescent="0.25">
      <c r="A54" t="s">
        <v>741</v>
      </c>
      <c r="B54">
        <v>52</v>
      </c>
      <c r="C54" t="s">
        <v>43</v>
      </c>
      <c r="D54">
        <v>3</v>
      </c>
      <c r="F54">
        <v>3</v>
      </c>
      <c r="G54" t="s">
        <v>44</v>
      </c>
      <c r="K54" t="s">
        <v>45</v>
      </c>
      <c r="L54">
        <v>3</v>
      </c>
      <c r="N54">
        <v>1</v>
      </c>
      <c r="O54" t="s">
        <v>86</v>
      </c>
      <c r="P54" t="s">
        <v>141</v>
      </c>
      <c r="Q54" t="s">
        <v>102</v>
      </c>
      <c r="S54" t="s">
        <v>63</v>
      </c>
      <c r="T54">
        <v>1</v>
      </c>
      <c r="V54">
        <v>3</v>
      </c>
      <c r="W54" t="s">
        <v>145</v>
      </c>
      <c r="X54" t="s">
        <v>146</v>
      </c>
      <c r="AA54">
        <v>0</v>
      </c>
      <c r="AB54">
        <v>14</v>
      </c>
    </row>
    <row r="55" spans="1:28" x14ac:dyDescent="0.25">
      <c r="A55" t="s">
        <v>742</v>
      </c>
      <c r="B55">
        <v>53</v>
      </c>
      <c r="C55" t="s">
        <v>38</v>
      </c>
      <c r="D55">
        <v>3</v>
      </c>
      <c r="E55">
        <v>1</v>
      </c>
      <c r="F55">
        <v>3</v>
      </c>
      <c r="G55" t="s">
        <v>39</v>
      </c>
      <c r="H55" t="s">
        <v>70</v>
      </c>
      <c r="K55" t="s">
        <v>43</v>
      </c>
      <c r="L55">
        <v>2</v>
      </c>
      <c r="N55">
        <v>1</v>
      </c>
      <c r="O55" t="s">
        <v>135</v>
      </c>
      <c r="P55" t="s">
        <v>136</v>
      </c>
      <c r="Q55" t="s">
        <v>75</v>
      </c>
      <c r="R55" t="s">
        <v>139</v>
      </c>
      <c r="S55" t="s">
        <v>45</v>
      </c>
      <c r="T55">
        <v>3</v>
      </c>
      <c r="V55">
        <v>1</v>
      </c>
      <c r="W55" t="s">
        <v>86</v>
      </c>
      <c r="X55" t="s">
        <v>76</v>
      </c>
      <c r="AA55">
        <v>0</v>
      </c>
      <c r="AB55">
        <v>17</v>
      </c>
    </row>
    <row r="56" spans="1:28" x14ac:dyDescent="0.25">
      <c r="A56" t="s">
        <v>743</v>
      </c>
      <c r="B56">
        <v>54</v>
      </c>
      <c r="C56" t="s">
        <v>43</v>
      </c>
      <c r="D56">
        <v>3</v>
      </c>
      <c r="F56">
        <v>3</v>
      </c>
      <c r="G56" t="s">
        <v>44</v>
      </c>
      <c r="H56" t="s">
        <v>136</v>
      </c>
      <c r="I56" t="s">
        <v>137</v>
      </c>
      <c r="J56" t="s">
        <v>138</v>
      </c>
      <c r="K56" t="s">
        <v>63</v>
      </c>
      <c r="L56">
        <v>3</v>
      </c>
      <c r="N56">
        <v>2</v>
      </c>
      <c r="O56" t="s">
        <v>72</v>
      </c>
      <c r="P56" t="s">
        <v>146</v>
      </c>
      <c r="Q56" t="s">
        <v>104</v>
      </c>
      <c r="R56" t="s">
        <v>149</v>
      </c>
      <c r="S56" t="s">
        <v>38</v>
      </c>
      <c r="T56">
        <v>1</v>
      </c>
      <c r="U56">
        <v>1</v>
      </c>
      <c r="V56">
        <v>3</v>
      </c>
      <c r="W56" t="s">
        <v>39</v>
      </c>
      <c r="X56" t="s">
        <v>40</v>
      </c>
      <c r="AA56">
        <v>0</v>
      </c>
      <c r="AB56">
        <v>21</v>
      </c>
    </row>
    <row r="57" spans="1:28" x14ac:dyDescent="0.25">
      <c r="A57" t="s">
        <v>744</v>
      </c>
      <c r="B57">
        <v>55</v>
      </c>
      <c r="C57" t="s">
        <v>63</v>
      </c>
      <c r="D57">
        <v>2</v>
      </c>
      <c r="F57">
        <v>2</v>
      </c>
      <c r="G57" t="s">
        <v>72</v>
      </c>
      <c r="H57" t="s">
        <v>146</v>
      </c>
      <c r="I57" t="s">
        <v>104</v>
      </c>
      <c r="J57" t="s">
        <v>151</v>
      </c>
      <c r="K57" t="s">
        <v>45</v>
      </c>
      <c r="L57">
        <v>3</v>
      </c>
      <c r="N57">
        <v>1</v>
      </c>
      <c r="O57" t="s">
        <v>86</v>
      </c>
      <c r="P57" t="s">
        <v>141</v>
      </c>
      <c r="Q57" t="s">
        <v>102</v>
      </c>
      <c r="R57" t="s">
        <v>143</v>
      </c>
      <c r="S57" t="s">
        <v>38</v>
      </c>
      <c r="T57">
        <v>2</v>
      </c>
      <c r="U57">
        <v>3</v>
      </c>
      <c r="V57">
        <v>1</v>
      </c>
      <c r="W57" t="s">
        <v>39</v>
      </c>
      <c r="X57" t="s">
        <v>96</v>
      </c>
      <c r="Y57" t="s">
        <v>153</v>
      </c>
      <c r="Z57" t="s">
        <v>156</v>
      </c>
      <c r="AA57">
        <v>0</v>
      </c>
      <c r="AB57">
        <v>20</v>
      </c>
    </row>
  </sheetData>
  <phoneticPr fontId="3" type="noConversion"/>
  <conditionalFormatting sqref="B1:B1048576">
    <cfRule type="duplicateValues" dxfId="6" priority="1"/>
  </conditionalFormatting>
  <conditionalFormatting sqref="A2:B57">
    <cfRule type="duplicateValues" dxfId="5" priority="633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J21" sqref="J21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4.5703125" bestFit="1" customWidth="1"/>
    <col min="17" max="17" width="9.28515625" bestFit="1" customWidth="1"/>
  </cols>
  <sheetData>
    <row r="1" spans="1:15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9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0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1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10</v>
      </c>
      <c r="L3" s="3">
        <f>IF(ScenarioTeams3[[#This Row],[battles]],ScenarioTeams3[[#This Row],[wins]]/ScenarioTeams3[[#This Row],[battles]],0)</f>
        <v>0.47619047619047616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1</v>
      </c>
      <c r="G4">
        <f>ScenarioStat3[[#This Row],[team-1-win]]+ScenarioStat3[[#This Row],[team-2-win]]+ScenarioStat3[[#This Row],[team-3-win]]</f>
        <v>1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12</v>
      </c>
      <c r="L4" s="3">
        <f>IF(ScenarioTeams3[[#This Row],[battles]],ScenarioTeams3[[#This Row],[wins]]/ScenarioTeams3[[#This Row],[battles]],0)</f>
        <v>0.5714285714285714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1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1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5" s="3">
        <f>IF(ScenarioTeams3[[#This Row],[battles]],ScenarioTeams3[[#This Row],[wins]]/ScenarioTeams3[[#This Row],[battles]],0)</f>
        <v>0.19047619047619047</v>
      </c>
      <c r="N5" s="4" t="s">
        <v>158</v>
      </c>
      <c r="O5" s="30">
        <f>MIN(Scenario3[turns])</f>
        <v>9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0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0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1</v>
      </c>
      <c r="G6">
        <f>ScenarioStat3[[#This Row],[team-1-win]]+ScenarioStat3[[#This Row],[team-2-win]]+ScenarioStat3[[#This Row],[team-3-win]]</f>
        <v>1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6" s="3">
        <f>IF(ScenarioTeams3[[#This Row],[battles]],ScenarioTeams3[[#This Row],[wins]]/ScenarioTeams3[[#This Row],[battles]],0)</f>
        <v>0.33333333333333331</v>
      </c>
      <c r="N6" s="5" t="s">
        <v>108</v>
      </c>
      <c r="O6" s="31">
        <f>AVERAGE(Scenario3[turns])</f>
        <v>25.767857142857142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0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1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1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7" s="3">
        <f>IF(ScenarioTeams3[[#This Row],[battles]],ScenarioTeams3[[#This Row],[wins]]/ScenarioTeams3[[#This Row],[battles]],0)</f>
        <v>0.38095238095238093</v>
      </c>
      <c r="N7" s="5" t="s">
        <v>160</v>
      </c>
      <c r="O7" s="31">
        <f>MAX(Scenario3[turns])</f>
        <v>56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1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1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8" s="3">
        <f>IF(ScenarioTeams3[[#This Row],[battles]],ScenarioTeams3[[#This Row],[wins]]/ScenarioTeams3[[#This Row],[battles]],0)</f>
        <v>0.19047619047619047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1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0</v>
      </c>
      <c r="G9">
        <f>ScenarioStat3[[#This Row],[team-1-win]]+ScenarioStat3[[#This Row],[team-2-win]]+ScenarioStat3[[#This Row],[team-3-win]]</f>
        <v>1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9" s="3">
        <f>IF(ScenarioTeams3[[#This Row],[battles]],ScenarioTeams3[[#This Row],[wins]]/ScenarioTeams3[[#This Row],[battles]],0)</f>
        <v>0.33333333333333331</v>
      </c>
      <c r="N9" s="4" t="s">
        <v>185</v>
      </c>
      <c r="O9" s="30">
        <f>120000*$O$6/1000/60</f>
        <v>51.535714285714292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0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1</v>
      </c>
      <c r="G10">
        <f>ScenarioStat3[[#This Row],[team-1-win]]+ScenarioStat3[[#This Row],[team-2-win]]+ScenarioStat3[[#This Row],[team-3-win]]</f>
        <v>1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10" s="3">
        <f>IF(ScenarioTeams3[[#This Row],[battles]],ScenarioTeams3[[#This Row],[wins]]/ScenarioTeams3[[#This Row],[battles]],0)</f>
        <v>0.19047619047619047</v>
      </c>
      <c r="N10" s="5" t="s">
        <v>186</v>
      </c>
      <c r="O10" s="6">
        <f>O9*COUNTA(ScenarioStat3[hero-1])/60/24*2</f>
        <v>4.0083333333333337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0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1</v>
      </c>
      <c r="G11">
        <f>ScenarioStat3[[#This Row],[team-1-win]]+ScenarioStat3[[#This Row],[team-2-win]]+ScenarioStat3[[#This Row],[team-3-win]]</f>
        <v>1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1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1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1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0</v>
      </c>
      <c r="G13">
        <f>ScenarioStat3[[#This Row],[team-1-win]]+ScenarioStat3[[#This Row],[team-2-win]]+ScenarioStat3[[#This Row],[team-3-win]]</f>
        <v>1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1</v>
      </c>
      <c r="C14" t="s">
        <v>33</v>
      </c>
      <c r="D14">
        <f>COUNTIFS(Scenario3[winner1],ScenarioStat3[[#This Row],[hero-2]],Scenario3[loser1],ScenarioStat3[[#This Row],[hero-1]],Scenario3[loser2],ScenarioStat3[[#This Row],[hero-3]])</f>
        <v>0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0</v>
      </c>
      <c r="G14">
        <f>ScenarioStat3[[#This Row],[team-1-win]]+ScenarioStat3[[#This Row],[team-2-win]]+ScenarioStat3[[#This Row],[team-3-win]]</f>
        <v>1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1</v>
      </c>
      <c r="C15" t="s">
        <v>33</v>
      </c>
      <c r="D15">
        <f>COUNTIFS(Scenario3[winner1],ScenarioStat3[[#This Row],[hero-2]],Scenario3[loser1],ScenarioStat3[[#This Row],[hero-1]],Scenario3[loser2],ScenarioStat3[[#This Row],[hero-3]])</f>
        <v>0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0</v>
      </c>
      <c r="G15">
        <f>ScenarioStat3[[#This Row],[team-1-win]]+ScenarioStat3[[#This Row],[team-2-win]]+ScenarioStat3[[#This Row],[team-3-win]]</f>
        <v>1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1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1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1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0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>
        <f>ScenarioStat3[[#This Row],[team-1-win]]+ScenarioStat3[[#This Row],[team-2-win]]+ScenarioStat3[[#This Row],[team-3-win]]</f>
        <v>1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1</v>
      </c>
      <c r="C18" t="s">
        <v>43</v>
      </c>
      <c r="D18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1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0</v>
      </c>
      <c r="C19" t="s">
        <v>43</v>
      </c>
      <c r="D19">
        <f>COUNTIFS(Scenario3[winner1],ScenarioStat3[[#This Row],[hero-2]],Scenario3[loser1],ScenarioStat3[[#This Row],[hero-1]],Scenario3[loser2],ScenarioStat3[[#This Row],[hero-3]])</f>
        <v>0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1</v>
      </c>
      <c r="G19">
        <f>ScenarioStat3[[#This Row],[team-1-win]]+ScenarioStat3[[#This Row],[team-2-win]]+ScenarioStat3[[#This Row],[team-3-win]]</f>
        <v>1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1</v>
      </c>
      <c r="C20" t="s">
        <v>43</v>
      </c>
      <c r="D20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1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1</v>
      </c>
      <c r="C21" t="s">
        <v>45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1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1</v>
      </c>
      <c r="C22" t="s">
        <v>45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1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0</v>
      </c>
      <c r="C23" t="s">
        <v>63</v>
      </c>
      <c r="D23">
        <f>COUNTIFS(Scenario3[winner1],ScenarioStat3[[#This Row],[hero-2]],Scenario3[loser1],ScenarioStat3[[#This Row],[hero-1]],Scenario3[loser2],ScenarioStat3[[#This Row],[hero-3]])</f>
        <v>1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>
        <f>ScenarioStat3[[#This Row],[team-1-win]]+ScenarioStat3[[#This Row],[team-2-win]]+ScenarioStat3[[#This Row],[team-3-win]]</f>
        <v>1</v>
      </c>
    </row>
    <row r="24" spans="1:7" x14ac:dyDescent="0.25">
      <c r="A24" t="s">
        <v>56</v>
      </c>
      <c r="B24">
        <f>COUNTIFS(Scenario3[winner1],ScenarioStat3[[#This Row],[hero-1]],Scenario3[loser1],ScenarioStat3[[#This Row],[hero-2]],Scenario3[loser2],ScenarioStat3[[#This Row],[hero-3]])</f>
        <v>0</v>
      </c>
      <c r="C24" t="s">
        <v>48</v>
      </c>
      <c r="D24">
        <f>COUNTIFS(Scenario3[winner1],ScenarioStat3[[#This Row],[hero-2]],Scenario3[loser1],ScenarioStat3[[#This Row],[hero-1]],Scenario3[loser2],ScenarioStat3[[#This Row],[hero-3]])</f>
        <v>0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1</v>
      </c>
      <c r="G24">
        <f>ScenarioStat3[[#This Row],[team-1-win]]+ScenarioStat3[[#This Row],[team-2-win]]+ScenarioStat3[[#This Row],[team-3-win]]</f>
        <v>1</v>
      </c>
    </row>
    <row r="25" spans="1:7" x14ac:dyDescent="0.25">
      <c r="A25" t="s">
        <v>56</v>
      </c>
      <c r="B25">
        <f>COUNTIFS(Scenario3[winner1],ScenarioStat3[[#This Row],[hero-1]],Scenario3[loser1],ScenarioStat3[[#This Row],[hero-2]],Scenario3[loser2],ScenarioStat3[[#This Row],[hero-3]])</f>
        <v>1</v>
      </c>
      <c r="C25" t="s">
        <v>48</v>
      </c>
      <c r="D25">
        <f>COUNTIFS(Scenario3[winner1],ScenarioStat3[[#This Row],[hero-2]],Scenario3[loser1],ScenarioStat3[[#This Row],[hero-1]],Scenario3[loser2],ScenarioStat3[[#This Row],[hero-3]])</f>
        <v>0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0</v>
      </c>
      <c r="G25">
        <f>ScenarioStat3[[#This Row],[team-1-win]]+ScenarioStat3[[#This Row],[team-2-win]]+ScenarioStat3[[#This Row],[team-3-win]]</f>
        <v>1</v>
      </c>
    </row>
    <row r="26" spans="1:7" x14ac:dyDescent="0.25">
      <c r="A26" t="s">
        <v>56</v>
      </c>
      <c r="B26">
        <f>COUNTIFS(Scenario3[winner1],ScenarioStat3[[#This Row],[hero-1]],Scenario3[loser1],ScenarioStat3[[#This Row],[hero-2]],Scenario3[loser2],ScenarioStat3[[#This Row],[hero-3]])</f>
        <v>1</v>
      </c>
      <c r="C26" t="s">
        <v>48</v>
      </c>
      <c r="D26">
        <f>COUNTIFS(Scenario3[winner1],ScenarioStat3[[#This Row],[hero-2]],Scenario3[loser1],ScenarioStat3[[#This Row],[hero-1]],Scenario3[loser2],ScenarioStat3[[#This Row],[hero-3]])</f>
        <v>0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1</v>
      </c>
    </row>
    <row r="27" spans="1:7" x14ac:dyDescent="0.25">
      <c r="A27" t="s">
        <v>56</v>
      </c>
      <c r="B27">
        <f>COUNTIFS(Scenario3[winner1],ScenarioStat3[[#This Row],[hero-1]],Scenario3[loser1],ScenarioStat3[[#This Row],[hero-2]],Scenario3[loser2],ScenarioStat3[[#This Row],[hero-3]])</f>
        <v>1</v>
      </c>
      <c r="C27" t="s">
        <v>48</v>
      </c>
      <c r="D2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0</v>
      </c>
      <c r="G27">
        <f>ScenarioStat3[[#This Row],[team-1-win]]+ScenarioStat3[[#This Row],[team-2-win]]+ScenarioStat3[[#This Row],[team-3-win]]</f>
        <v>1</v>
      </c>
    </row>
    <row r="28" spans="1:7" x14ac:dyDescent="0.25">
      <c r="A28" t="s">
        <v>56</v>
      </c>
      <c r="B28">
        <f>COUNTIFS(Scenario3[winner1],ScenarioStat3[[#This Row],[hero-1]],Scenario3[loser1],ScenarioStat3[[#This Row],[hero-2]],Scenario3[loser2],ScenarioStat3[[#This Row],[hero-3]])</f>
        <v>1</v>
      </c>
      <c r="C28" t="s">
        <v>48</v>
      </c>
      <c r="D28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1</v>
      </c>
    </row>
    <row r="29" spans="1:7" x14ac:dyDescent="0.25">
      <c r="A29" t="s">
        <v>56</v>
      </c>
      <c r="B29">
        <f>COUNTIFS(Scenario3[winner1],ScenarioStat3[[#This Row],[hero-1]],Scenario3[loser1],ScenarioStat3[[#This Row],[hero-2]],Scenario3[loser2],ScenarioStat3[[#This Row],[hero-3]])</f>
        <v>0</v>
      </c>
      <c r="C29" t="s">
        <v>33</v>
      </c>
      <c r="D29">
        <f>COUNTIFS(Scenario3[winner1],ScenarioStat3[[#This Row],[hero-2]],Scenario3[loser1],ScenarioStat3[[#This Row],[hero-1]],Scenario3[loser2],ScenarioStat3[[#This Row],[hero-3]])</f>
        <v>1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0</v>
      </c>
      <c r="G29">
        <f>ScenarioStat3[[#This Row],[team-1-win]]+ScenarioStat3[[#This Row],[team-2-win]]+ScenarioStat3[[#This Row],[team-3-win]]</f>
        <v>1</v>
      </c>
    </row>
    <row r="30" spans="1:7" x14ac:dyDescent="0.25">
      <c r="A30" t="s">
        <v>56</v>
      </c>
      <c r="B30">
        <f>COUNTIFS(Scenario3[winner1],ScenarioStat3[[#This Row],[hero-1]],Scenario3[loser1],ScenarioStat3[[#This Row],[hero-2]],Scenario3[loser2],ScenarioStat3[[#This Row],[hero-3]])</f>
        <v>1</v>
      </c>
      <c r="C30" t="s">
        <v>33</v>
      </c>
      <c r="D30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0</v>
      </c>
      <c r="G30">
        <f>ScenarioStat3[[#This Row],[team-1-win]]+ScenarioStat3[[#This Row],[team-2-win]]+ScenarioStat3[[#This Row],[team-3-win]]</f>
        <v>1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0</v>
      </c>
      <c r="C31" t="s">
        <v>33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1</v>
      </c>
      <c r="G31">
        <f>ScenarioStat3[[#This Row],[team-1-win]]+ScenarioStat3[[#This Row],[team-2-win]]+ScenarioStat3[[#This Row],[team-3-win]]</f>
        <v>1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0</v>
      </c>
      <c r="C32" t="s">
        <v>33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1</v>
      </c>
      <c r="G32">
        <f>ScenarioStat3[[#This Row],[team-1-win]]+ScenarioStat3[[#This Row],[team-2-win]]+ScenarioStat3[[#This Row],[team-3-win]]</f>
        <v>1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1</v>
      </c>
      <c r="C33" t="s">
        <v>43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1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1</v>
      </c>
      <c r="C34" t="s">
        <v>43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0</v>
      </c>
      <c r="G34">
        <f>ScenarioStat3[[#This Row],[team-1-win]]+ScenarioStat3[[#This Row],[team-2-win]]+ScenarioStat3[[#This Row],[team-3-win]]</f>
        <v>1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1</v>
      </c>
      <c r="C35" t="s">
        <v>43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>
        <f>ScenarioStat3[[#This Row],[team-1-win]]+ScenarioStat3[[#This Row],[team-2-win]]+ScenarioStat3[[#This Row],[team-3-win]]</f>
        <v>1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1</v>
      </c>
      <c r="C36" t="s">
        <v>45</v>
      </c>
      <c r="D36">
        <f>COUNTIFS(Scenario3[winner1],ScenarioStat3[[#This Row],[hero-2]],Scenario3[loser1],ScenarioStat3[[#This Row],[hero-1]],Scenario3[loser2],ScenarioStat3[[#This Row],[hero-3]])</f>
        <v>0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0</v>
      </c>
      <c r="G36">
        <f>ScenarioStat3[[#This Row],[team-1-win]]+ScenarioStat3[[#This Row],[team-2-win]]+ScenarioStat3[[#This Row],[team-3-win]]</f>
        <v>1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0</v>
      </c>
      <c r="C37" t="s">
        <v>45</v>
      </c>
      <c r="D37">
        <f>COUNTIFS(Scenario3[winner1],ScenarioStat3[[#This Row],[hero-2]],Scenario3[loser1],ScenarioStat3[[#This Row],[hero-1]],Scenario3[loser2],ScenarioStat3[[#This Row],[hero-3]])</f>
        <v>0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1</v>
      </c>
      <c r="G37">
        <f>ScenarioStat3[[#This Row],[team-1-win]]+ScenarioStat3[[#This Row],[team-2-win]]+ScenarioStat3[[#This Row],[team-3-win]]</f>
        <v>1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0</v>
      </c>
      <c r="C38" t="s">
        <v>63</v>
      </c>
      <c r="D38">
        <f>COUNTIFS(Scenario3[winner1],ScenarioStat3[[#This Row],[hero-2]],Scenario3[loser1],ScenarioStat3[[#This Row],[hero-1]],Scenario3[loser2],ScenarioStat3[[#This Row],[hero-3]])</f>
        <v>0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1</v>
      </c>
      <c r="G38">
        <f>ScenarioStat3[[#This Row],[team-1-win]]+ScenarioStat3[[#This Row],[team-2-win]]+ScenarioStat3[[#This Row],[team-3-win]]</f>
        <v>1</v>
      </c>
    </row>
    <row r="39" spans="1:7" x14ac:dyDescent="0.25">
      <c r="A39" t="s">
        <v>48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1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0</v>
      </c>
      <c r="G39">
        <f>ScenarioStat3[[#This Row],[team-1-win]]+ScenarioStat3[[#This Row],[team-2-win]]+ScenarioStat3[[#This Row],[team-3-win]]</f>
        <v>1</v>
      </c>
    </row>
    <row r="40" spans="1:7" x14ac:dyDescent="0.25">
      <c r="A40" t="s">
        <v>48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1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0</v>
      </c>
      <c r="G40">
        <f>ScenarioStat3[[#This Row],[team-1-win]]+ScenarioStat3[[#This Row],[team-2-win]]+ScenarioStat3[[#This Row],[team-3-win]]</f>
        <v>1</v>
      </c>
    </row>
    <row r="41" spans="1:7" x14ac:dyDescent="0.25">
      <c r="A41" t="s">
        <v>48</v>
      </c>
      <c r="B41">
        <f>COUNTIFS(Scenario3[winner1],ScenarioStat3[[#This Row],[hero-1]],Scenario3[loser1],ScenarioStat3[[#This Row],[hero-2]],Scenario3[loser2],ScenarioStat3[[#This Row],[hero-3]])</f>
        <v>1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0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0</v>
      </c>
      <c r="G41">
        <f>ScenarioStat3[[#This Row],[team-1-win]]+ScenarioStat3[[#This Row],[team-2-win]]+ScenarioStat3[[#This Row],[team-3-win]]</f>
        <v>1</v>
      </c>
    </row>
    <row r="42" spans="1:7" x14ac:dyDescent="0.25">
      <c r="A42" t="s">
        <v>48</v>
      </c>
      <c r="B42">
        <f>COUNTIFS(Scenario3[winner1],ScenarioStat3[[#This Row],[hero-1]],Scenario3[loser1],ScenarioStat3[[#This Row],[hero-2]],Scenario3[loser2],ScenarioStat3[[#This Row],[hero-3]])</f>
        <v>1</v>
      </c>
      <c r="C42" t="s">
        <v>33</v>
      </c>
      <c r="D42">
        <f>COUNTIFS(Scenario3[winner1],ScenarioStat3[[#This Row],[hero-2]],Scenario3[loser1],ScenarioStat3[[#This Row],[hero-1]],Scenario3[loser2],ScenarioStat3[[#This Row],[hero-3]])</f>
        <v>0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0</v>
      </c>
      <c r="G42">
        <f>ScenarioStat3[[#This Row],[team-1-win]]+ScenarioStat3[[#This Row],[team-2-win]]+ScenarioStat3[[#This Row],[team-3-win]]</f>
        <v>1</v>
      </c>
    </row>
    <row r="43" spans="1:7" x14ac:dyDescent="0.25">
      <c r="A43" t="s">
        <v>48</v>
      </c>
      <c r="B43">
        <f>COUNTIFS(Scenario3[winner1],ScenarioStat3[[#This Row],[hero-1]],Scenario3[loser1],ScenarioStat3[[#This Row],[hero-2]],Scenario3[loser2],ScenarioStat3[[#This Row],[hero-3]])</f>
        <v>0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1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0</v>
      </c>
      <c r="G43">
        <f>ScenarioStat3[[#This Row],[team-1-win]]+ScenarioStat3[[#This Row],[team-2-win]]+ScenarioStat3[[#This Row],[team-3-win]]</f>
        <v>1</v>
      </c>
    </row>
    <row r="44" spans="1:7" x14ac:dyDescent="0.25">
      <c r="A44" t="s">
        <v>48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1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0</v>
      </c>
      <c r="G44">
        <f>ScenarioStat3[[#This Row],[team-1-win]]+ScenarioStat3[[#This Row],[team-2-win]]+ScenarioStat3[[#This Row],[team-3-win]]</f>
        <v>1</v>
      </c>
    </row>
    <row r="45" spans="1:7" x14ac:dyDescent="0.25">
      <c r="A45" t="s">
        <v>48</v>
      </c>
      <c r="B45">
        <f>COUNTIFS(Scenario3[winner1],ScenarioStat3[[#This Row],[hero-1]],Scenario3[loser1],ScenarioStat3[[#This Row],[hero-2]],Scenario3[loser2],ScenarioStat3[[#This Row],[hero-3]])</f>
        <v>0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1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1</v>
      </c>
    </row>
    <row r="46" spans="1:7" x14ac:dyDescent="0.25">
      <c r="A46" t="s">
        <v>48</v>
      </c>
      <c r="B46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0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1</v>
      </c>
      <c r="G46">
        <f>ScenarioStat3[[#This Row],[team-1-win]]+ScenarioStat3[[#This Row],[team-2-win]]+ScenarioStat3[[#This Row],[team-3-win]]</f>
        <v>1</v>
      </c>
    </row>
    <row r="47" spans="1:7" x14ac:dyDescent="0.25">
      <c r="A47" t="s">
        <v>48</v>
      </c>
      <c r="B47">
        <f>COUNTIFS(Scenario3[winner1],ScenarioStat3[[#This Row],[hero-1]],Scenario3[loser1],ScenarioStat3[[#This Row],[hero-2]],Scenario3[loser2],ScenarioStat3[[#This Row],[hero-3]])</f>
        <v>1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1</v>
      </c>
    </row>
    <row r="48" spans="1:7" x14ac:dyDescent="0.25">
      <c r="A48" t="s">
        <v>48</v>
      </c>
      <c r="B48">
        <f>COUNTIFS(Scenario3[winner1],ScenarioStat3[[#This Row],[hero-1]],Scenario3[loser1],ScenarioStat3[[#This Row],[hero-2]],Scenario3[loser2],ScenarioStat3[[#This Row],[hero-3]])</f>
        <v>0</v>
      </c>
      <c r="C48" t="s">
        <v>63</v>
      </c>
      <c r="D48">
        <f>COUNTIFS(Scenario3[winner1],ScenarioStat3[[#This Row],[hero-2]],Scenario3[loser1],ScenarioStat3[[#This Row],[hero-1]],Scenario3[loser2],ScenarioStat3[[#This Row],[hero-3]])</f>
        <v>1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>
        <f>ScenarioStat3[[#This Row],[team-1-win]]+ScenarioStat3[[#This Row],[team-2-win]]+ScenarioStat3[[#This Row],[team-3-win]]</f>
        <v>1</v>
      </c>
    </row>
    <row r="49" spans="1:7" x14ac:dyDescent="0.25">
      <c r="A49" t="s">
        <v>33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>
        <f>COUNTIFS(Scenario3[winner1],ScenarioStat3[[#This Row],[hero-2]],Scenario3[loser1],ScenarioStat3[[#This Row],[hero-1]],Scenario3[loser2],ScenarioStat3[[#This Row],[hero-3]])</f>
        <v>1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0</v>
      </c>
      <c r="G49">
        <f>ScenarioStat3[[#This Row],[team-1-win]]+ScenarioStat3[[#This Row],[team-2-win]]+ScenarioStat3[[#This Row],[team-3-win]]</f>
        <v>1</v>
      </c>
    </row>
    <row r="50" spans="1:7" x14ac:dyDescent="0.25">
      <c r="A50" t="s">
        <v>33</v>
      </c>
      <c r="B50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>
        <f>COUNTIFS(Scenario3[winner1],ScenarioStat3[[#This Row],[hero-2]],Scenario3[loser1],ScenarioStat3[[#This Row],[hero-1]],Scenario3[loser2],ScenarioStat3[[#This Row],[hero-3]])</f>
        <v>1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0</v>
      </c>
      <c r="G50">
        <f>ScenarioStat3[[#This Row],[team-1-win]]+ScenarioStat3[[#This Row],[team-2-win]]+ScenarioStat3[[#This Row],[team-3-win]]</f>
        <v>1</v>
      </c>
    </row>
    <row r="51" spans="1:7" x14ac:dyDescent="0.25">
      <c r="A51" t="s">
        <v>33</v>
      </c>
      <c r="B51">
        <f>COUNTIFS(Scenario3[winner1],ScenarioStat3[[#This Row],[hero-1]],Scenario3[loser1],ScenarioStat3[[#This Row],[hero-2]],Scenario3[loser2],ScenarioStat3[[#This Row],[hero-3]])</f>
        <v>1</v>
      </c>
      <c r="C51" t="s">
        <v>43</v>
      </c>
      <c r="D51">
        <f>COUNTIFS(Scenario3[winner1],ScenarioStat3[[#This Row],[hero-2]],Scenario3[loser1],ScenarioStat3[[#This Row],[hero-1]],Scenario3[loser2],ScenarioStat3[[#This Row],[hero-3]])</f>
        <v>0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0</v>
      </c>
      <c r="G51">
        <f>ScenarioStat3[[#This Row],[team-1-win]]+ScenarioStat3[[#This Row],[team-2-win]]+ScenarioStat3[[#This Row],[team-3-win]]</f>
        <v>1</v>
      </c>
    </row>
    <row r="52" spans="1:7" x14ac:dyDescent="0.25">
      <c r="A52" t="s">
        <v>33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>
        <f>COUNTIFS(Scenario3[winner1],ScenarioStat3[[#This Row],[hero-2]],Scenario3[loser1],ScenarioStat3[[#This Row],[hero-1]],Scenario3[loser2],ScenarioStat3[[#This Row],[hero-3]])</f>
        <v>1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1</v>
      </c>
    </row>
    <row r="53" spans="1:7" x14ac:dyDescent="0.25">
      <c r="A53" t="s">
        <v>33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>
        <f>COUNTIFS(Scenario3[winner1],ScenarioStat3[[#This Row],[hero-2]],Scenario3[loser1],ScenarioStat3[[#This Row],[hero-1]],Scenario3[loser2],ScenarioStat3[[#This Row],[hero-3]])</f>
        <v>1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>
        <f>ScenarioStat3[[#This Row],[team-1-win]]+ScenarioStat3[[#This Row],[team-2-win]]+ScenarioStat3[[#This Row],[team-3-win]]</f>
        <v>1</v>
      </c>
    </row>
    <row r="54" spans="1:7" x14ac:dyDescent="0.25">
      <c r="A54" t="s">
        <v>33</v>
      </c>
      <c r="B54">
        <f>COUNTIFS(Scenario3[winner1],ScenarioStat3[[#This Row],[hero-1]],Scenario3[loser1],ScenarioStat3[[#This Row],[hero-2]],Scenario3[loser2],ScenarioStat3[[#This Row],[hero-3]])</f>
        <v>0</v>
      </c>
      <c r="C54" t="s">
        <v>63</v>
      </c>
      <c r="D54">
        <f>COUNTIFS(Scenario3[winner1],ScenarioStat3[[#This Row],[hero-2]],Scenario3[loser1],ScenarioStat3[[#This Row],[hero-1]],Scenario3[loser2],ScenarioStat3[[#This Row],[hero-3]])</f>
        <v>1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0</v>
      </c>
      <c r="G54">
        <f>ScenarioStat3[[#This Row],[team-1-win]]+ScenarioStat3[[#This Row],[team-2-win]]+ScenarioStat3[[#This Row],[team-3-win]]</f>
        <v>1</v>
      </c>
    </row>
    <row r="55" spans="1:7" x14ac:dyDescent="0.25">
      <c r="A55" t="s">
        <v>43</v>
      </c>
      <c r="B55">
        <f>COUNTIFS(Scenario3[winner1],ScenarioStat3[[#This Row],[hero-1]],Scenario3[loser1],ScenarioStat3[[#This Row],[hero-2]],Scenario3[loser2],ScenarioStat3[[#This Row],[hero-3]])</f>
        <v>1</v>
      </c>
      <c r="C55" t="s">
        <v>45</v>
      </c>
      <c r="D55">
        <f>COUNTIFS(Scenario3[winner1],ScenarioStat3[[#This Row],[hero-2]],Scenario3[loser1],ScenarioStat3[[#This Row],[hero-1]],Scenario3[loser2],ScenarioStat3[[#This Row],[hero-3]])</f>
        <v>0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0</v>
      </c>
      <c r="G55">
        <f>ScenarioStat3[[#This Row],[team-1-win]]+ScenarioStat3[[#This Row],[team-2-win]]+ScenarioStat3[[#This Row],[team-3-win]]</f>
        <v>1</v>
      </c>
    </row>
    <row r="56" spans="1:7" x14ac:dyDescent="0.25">
      <c r="A56" t="s">
        <v>43</v>
      </c>
      <c r="B56">
        <f>COUNTIFS(Scenario3[winner1],ScenarioStat3[[#This Row],[hero-1]],Scenario3[loser1],ScenarioStat3[[#This Row],[hero-2]],Scenario3[loser2],ScenarioStat3[[#This Row],[hero-3]])</f>
        <v>0</v>
      </c>
      <c r="C56" t="s">
        <v>45</v>
      </c>
      <c r="D56">
        <f>COUNTIFS(Scenario3[winner1],ScenarioStat3[[#This Row],[hero-2]],Scenario3[loser1],ScenarioStat3[[#This Row],[hero-1]],Scenario3[loser2],ScenarioStat3[[#This Row],[hero-3]])</f>
        <v>0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1</v>
      </c>
      <c r="G56">
        <f>ScenarioStat3[[#This Row],[team-1-win]]+ScenarioStat3[[#This Row],[team-2-win]]+ScenarioStat3[[#This Row],[team-3-win]]</f>
        <v>1</v>
      </c>
    </row>
    <row r="57" spans="1:7" x14ac:dyDescent="0.25">
      <c r="A57" t="s">
        <v>43</v>
      </c>
      <c r="B57">
        <f>COUNTIFS(Scenario3[winner1],ScenarioStat3[[#This Row],[hero-1]],Scenario3[loser1],ScenarioStat3[[#This Row],[hero-2]],Scenario3[loser2],ScenarioStat3[[#This Row],[hero-3]])</f>
        <v>1</v>
      </c>
      <c r="C57" t="s">
        <v>63</v>
      </c>
      <c r="D57">
        <f>COUNTIFS(Scenario3[winner1],ScenarioStat3[[#This Row],[hero-2]],Scenario3[loser1],ScenarioStat3[[#This Row],[hero-1]],Scenario3[loser2],ScenarioStat3[[#This Row],[hero-3]])</f>
        <v>0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1</v>
      </c>
    </row>
    <row r="58" spans="1:7" x14ac:dyDescent="0.25">
      <c r="A58" t="s">
        <v>45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>
        <f>COUNTIFS(Scenario3[winner1],ScenarioStat3[[#This Row],[hero-2]],Scenario3[loser1],ScenarioStat3[[#This Row],[hero-1]],Scenario3[loser2],ScenarioStat3[[#This Row],[hero-3]])</f>
        <v>1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1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71"/>
  <sheetViews>
    <sheetView topLeftCell="A55" workbookViewId="0">
      <selection activeCell="A2" sqref="A2:AJ71"/>
    </sheetView>
  </sheetViews>
  <sheetFormatPr defaultRowHeight="15" x14ac:dyDescent="0.25"/>
  <cols>
    <col min="1" max="1" width="38.14062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0.5703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11.42578125" bestFit="1" customWidth="1"/>
    <col min="28" max="28" width="11.28515625" hidden="1" customWidth="1"/>
    <col min="29" max="29" width="10.85546875" hidden="1" customWidth="1"/>
    <col min="30" max="30" width="10.5703125" hidden="1" customWidth="1"/>
    <col min="31" max="34" width="14.710937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745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55</v>
      </c>
      <c r="I2" t="s">
        <v>105</v>
      </c>
      <c r="J2" t="s">
        <v>115</v>
      </c>
      <c r="K2" t="s">
        <v>56</v>
      </c>
      <c r="L2">
        <v>3</v>
      </c>
      <c r="N2">
        <v>3</v>
      </c>
      <c r="O2" t="s">
        <v>120</v>
      </c>
      <c r="P2" t="s">
        <v>69</v>
      </c>
      <c r="Q2" t="s">
        <v>87</v>
      </c>
      <c r="R2" t="s">
        <v>125</v>
      </c>
      <c r="S2" t="s">
        <v>48</v>
      </c>
      <c r="T2">
        <v>3</v>
      </c>
      <c r="V2">
        <v>3</v>
      </c>
      <c r="W2" t="s">
        <v>126</v>
      </c>
      <c r="X2" t="s">
        <v>71</v>
      </c>
      <c r="Y2" t="s">
        <v>51</v>
      </c>
      <c r="Z2" t="s">
        <v>128</v>
      </c>
      <c r="AA2" t="s">
        <v>43</v>
      </c>
      <c r="AB2">
        <v>3</v>
      </c>
      <c r="AD2">
        <v>3</v>
      </c>
      <c r="AE2" t="s">
        <v>44</v>
      </c>
      <c r="AF2" t="s">
        <v>99</v>
      </c>
      <c r="AG2" t="s">
        <v>137</v>
      </c>
      <c r="AH2" t="s">
        <v>139</v>
      </c>
      <c r="AI2">
        <v>0</v>
      </c>
      <c r="AJ2">
        <v>39</v>
      </c>
    </row>
    <row r="3" spans="1:36" x14ac:dyDescent="0.25">
      <c r="A3" t="s">
        <v>746</v>
      </c>
      <c r="B3">
        <v>1</v>
      </c>
      <c r="C3" t="s">
        <v>56</v>
      </c>
      <c r="D3">
        <v>3</v>
      </c>
      <c r="F3">
        <v>3</v>
      </c>
      <c r="G3" t="s">
        <v>120</v>
      </c>
      <c r="H3" t="s">
        <v>69</v>
      </c>
      <c r="I3" t="s">
        <v>87</v>
      </c>
      <c r="J3" t="s">
        <v>125</v>
      </c>
      <c r="K3" t="s">
        <v>53</v>
      </c>
      <c r="L3">
        <v>2</v>
      </c>
      <c r="M3">
        <v>3</v>
      </c>
      <c r="N3">
        <v>3</v>
      </c>
      <c r="O3" t="s">
        <v>112</v>
      </c>
      <c r="P3" t="s">
        <v>55</v>
      </c>
      <c r="Q3" t="s">
        <v>105</v>
      </c>
      <c r="R3" t="s">
        <v>115</v>
      </c>
      <c r="S3" t="s">
        <v>48</v>
      </c>
      <c r="T3">
        <v>1</v>
      </c>
      <c r="V3">
        <v>2</v>
      </c>
      <c r="W3" t="s">
        <v>126</v>
      </c>
      <c r="X3" t="s">
        <v>71</v>
      </c>
      <c r="Y3" t="s">
        <v>51</v>
      </c>
      <c r="Z3" t="s">
        <v>128</v>
      </c>
      <c r="AA3" t="s">
        <v>45</v>
      </c>
      <c r="AB3">
        <v>3</v>
      </c>
      <c r="AD3">
        <v>3</v>
      </c>
      <c r="AE3" t="s">
        <v>86</v>
      </c>
      <c r="AF3" t="s">
        <v>76</v>
      </c>
      <c r="AG3" t="s">
        <v>93</v>
      </c>
      <c r="AH3" t="s">
        <v>143</v>
      </c>
      <c r="AI3">
        <v>0</v>
      </c>
      <c r="AJ3">
        <v>39</v>
      </c>
    </row>
    <row r="4" spans="1:36" x14ac:dyDescent="0.25">
      <c r="A4" t="s">
        <v>747</v>
      </c>
      <c r="B4">
        <v>2</v>
      </c>
      <c r="C4" t="s">
        <v>56</v>
      </c>
      <c r="D4">
        <v>3</v>
      </c>
      <c r="F4">
        <v>3</v>
      </c>
      <c r="G4" t="s">
        <v>120</v>
      </c>
      <c r="H4" t="s">
        <v>69</v>
      </c>
      <c r="I4" t="s">
        <v>87</v>
      </c>
      <c r="J4" t="s">
        <v>88</v>
      </c>
      <c r="K4" t="s">
        <v>53</v>
      </c>
      <c r="L4">
        <v>3</v>
      </c>
      <c r="M4">
        <v>3</v>
      </c>
      <c r="N4">
        <v>3</v>
      </c>
      <c r="O4" t="s">
        <v>112</v>
      </c>
      <c r="P4" t="s">
        <v>55</v>
      </c>
      <c r="Q4" t="s">
        <v>105</v>
      </c>
      <c r="R4" t="s">
        <v>98</v>
      </c>
      <c r="S4" t="s">
        <v>48</v>
      </c>
      <c r="T4">
        <v>3</v>
      </c>
      <c r="V4">
        <v>3</v>
      </c>
      <c r="W4" t="s">
        <v>126</v>
      </c>
      <c r="X4" t="s">
        <v>71</v>
      </c>
      <c r="Y4" t="s">
        <v>51</v>
      </c>
      <c r="Z4" t="s">
        <v>128</v>
      </c>
      <c r="AA4" t="s">
        <v>33</v>
      </c>
      <c r="AB4">
        <v>2</v>
      </c>
      <c r="AD4">
        <v>3</v>
      </c>
      <c r="AE4" t="s">
        <v>65</v>
      </c>
      <c r="AF4" t="s">
        <v>130</v>
      </c>
      <c r="AG4" t="s">
        <v>36</v>
      </c>
      <c r="AH4" t="s">
        <v>133</v>
      </c>
      <c r="AI4">
        <v>0</v>
      </c>
      <c r="AJ4">
        <v>45</v>
      </c>
    </row>
    <row r="5" spans="1:36" x14ac:dyDescent="0.25">
      <c r="A5" t="s">
        <v>748</v>
      </c>
      <c r="B5">
        <v>3</v>
      </c>
      <c r="C5" t="s">
        <v>63</v>
      </c>
      <c r="D5">
        <v>3</v>
      </c>
      <c r="F5">
        <v>3</v>
      </c>
      <c r="G5" t="s">
        <v>103</v>
      </c>
      <c r="H5" t="s">
        <v>95</v>
      </c>
      <c r="I5" t="s">
        <v>148</v>
      </c>
      <c r="J5" t="s">
        <v>149</v>
      </c>
      <c r="K5" t="s">
        <v>53</v>
      </c>
      <c r="L5">
        <v>3</v>
      </c>
      <c r="M5">
        <v>3</v>
      </c>
      <c r="N5">
        <v>3</v>
      </c>
      <c r="O5" t="s">
        <v>112</v>
      </c>
      <c r="P5" t="s">
        <v>83</v>
      </c>
      <c r="Q5" t="s">
        <v>97</v>
      </c>
      <c r="R5" t="s">
        <v>98</v>
      </c>
      <c r="S5" t="s">
        <v>56</v>
      </c>
      <c r="T5">
        <v>3</v>
      </c>
      <c r="V5">
        <v>3</v>
      </c>
      <c r="W5" t="s">
        <v>120</v>
      </c>
      <c r="X5" t="s">
        <v>69</v>
      </c>
      <c r="Y5" t="s">
        <v>85</v>
      </c>
      <c r="Z5" t="s">
        <v>125</v>
      </c>
      <c r="AA5" t="s">
        <v>48</v>
      </c>
      <c r="AB5">
        <v>3</v>
      </c>
      <c r="AD5">
        <v>3</v>
      </c>
      <c r="AE5" t="s">
        <v>126</v>
      </c>
      <c r="AF5" t="s">
        <v>71</v>
      </c>
      <c r="AG5" t="s">
        <v>51</v>
      </c>
      <c r="AH5" t="s">
        <v>128</v>
      </c>
      <c r="AI5">
        <v>0</v>
      </c>
      <c r="AJ5">
        <v>62</v>
      </c>
    </row>
    <row r="6" spans="1:36" x14ac:dyDescent="0.25">
      <c r="A6" t="s">
        <v>749</v>
      </c>
      <c r="B6">
        <v>4</v>
      </c>
      <c r="C6" t="s">
        <v>38</v>
      </c>
      <c r="D6">
        <v>3</v>
      </c>
      <c r="E6">
        <v>3</v>
      </c>
      <c r="F6">
        <v>3</v>
      </c>
      <c r="G6" t="s">
        <v>39</v>
      </c>
      <c r="H6" t="s">
        <v>40</v>
      </c>
      <c r="I6" t="s">
        <v>154</v>
      </c>
      <c r="J6" t="s">
        <v>155</v>
      </c>
      <c r="K6" t="s">
        <v>53</v>
      </c>
      <c r="L6">
        <v>2</v>
      </c>
      <c r="M6">
        <v>3</v>
      </c>
      <c r="N6">
        <v>3</v>
      </c>
      <c r="O6" t="s">
        <v>112</v>
      </c>
      <c r="P6" t="s">
        <v>55</v>
      </c>
      <c r="Q6" t="s">
        <v>114</v>
      </c>
      <c r="R6" t="s">
        <v>98</v>
      </c>
      <c r="S6" t="s">
        <v>56</v>
      </c>
      <c r="T6">
        <v>3</v>
      </c>
      <c r="V6">
        <v>3</v>
      </c>
      <c r="W6" t="s">
        <v>120</v>
      </c>
      <c r="X6" t="s">
        <v>69</v>
      </c>
      <c r="Y6" t="s">
        <v>87</v>
      </c>
      <c r="Z6" t="s">
        <v>88</v>
      </c>
      <c r="AA6" t="s">
        <v>48</v>
      </c>
      <c r="AB6">
        <v>3</v>
      </c>
      <c r="AD6">
        <v>3</v>
      </c>
      <c r="AE6" t="s">
        <v>49</v>
      </c>
      <c r="AF6" t="s">
        <v>71</v>
      </c>
      <c r="AG6" t="s">
        <v>90</v>
      </c>
      <c r="AH6" t="s">
        <v>52</v>
      </c>
      <c r="AI6">
        <v>0</v>
      </c>
      <c r="AJ6">
        <v>76</v>
      </c>
    </row>
    <row r="7" spans="1:36" x14ac:dyDescent="0.25">
      <c r="A7" t="s">
        <v>750</v>
      </c>
      <c r="B7">
        <v>5</v>
      </c>
      <c r="C7" t="s">
        <v>33</v>
      </c>
      <c r="D7">
        <v>3</v>
      </c>
      <c r="F7">
        <v>3</v>
      </c>
      <c r="G7" t="s">
        <v>65</v>
      </c>
      <c r="H7" t="s">
        <v>130</v>
      </c>
      <c r="I7" t="s">
        <v>131</v>
      </c>
      <c r="J7" t="s">
        <v>133</v>
      </c>
      <c r="K7" t="s">
        <v>53</v>
      </c>
      <c r="L7">
        <v>3</v>
      </c>
      <c r="M7">
        <v>3</v>
      </c>
      <c r="N7">
        <v>3</v>
      </c>
      <c r="O7" t="s">
        <v>112</v>
      </c>
      <c r="P7" t="s">
        <v>83</v>
      </c>
      <c r="Q7" t="s">
        <v>97</v>
      </c>
      <c r="R7" t="s">
        <v>115</v>
      </c>
      <c r="S7" t="s">
        <v>56</v>
      </c>
      <c r="T7">
        <v>3</v>
      </c>
      <c r="V7">
        <v>3</v>
      </c>
      <c r="W7" t="s">
        <v>120</v>
      </c>
      <c r="X7" t="s">
        <v>69</v>
      </c>
      <c r="Y7" t="s">
        <v>123</v>
      </c>
      <c r="Z7" t="s">
        <v>125</v>
      </c>
      <c r="AA7" t="s">
        <v>43</v>
      </c>
      <c r="AB7">
        <v>1</v>
      </c>
      <c r="AD7">
        <v>1</v>
      </c>
      <c r="AE7" t="s">
        <v>44</v>
      </c>
      <c r="AF7" t="s">
        <v>136</v>
      </c>
      <c r="AG7" t="s">
        <v>137</v>
      </c>
      <c r="AH7" t="s">
        <v>138</v>
      </c>
      <c r="AI7">
        <v>0</v>
      </c>
      <c r="AJ7">
        <v>49</v>
      </c>
    </row>
    <row r="8" spans="1:36" x14ac:dyDescent="0.25">
      <c r="A8" t="s">
        <v>751</v>
      </c>
      <c r="B8">
        <v>6</v>
      </c>
      <c r="C8" t="s">
        <v>53</v>
      </c>
      <c r="D8">
        <v>3</v>
      </c>
      <c r="E8">
        <v>3</v>
      </c>
      <c r="F8">
        <v>3</v>
      </c>
      <c r="G8" t="s">
        <v>112</v>
      </c>
      <c r="H8" t="s">
        <v>55</v>
      </c>
      <c r="I8" t="s">
        <v>97</v>
      </c>
      <c r="J8" t="s">
        <v>98</v>
      </c>
      <c r="K8" t="s">
        <v>56</v>
      </c>
      <c r="L8">
        <v>3</v>
      </c>
      <c r="N8">
        <v>3</v>
      </c>
      <c r="O8" t="s">
        <v>120</v>
      </c>
      <c r="P8" t="s">
        <v>69</v>
      </c>
      <c r="Q8" t="s">
        <v>85</v>
      </c>
      <c r="R8" t="s">
        <v>124</v>
      </c>
      <c r="S8" t="s">
        <v>33</v>
      </c>
      <c r="T8">
        <v>3</v>
      </c>
      <c r="V8">
        <v>3</v>
      </c>
      <c r="W8" t="s">
        <v>65</v>
      </c>
      <c r="X8" t="s">
        <v>130</v>
      </c>
      <c r="Y8" t="s">
        <v>131</v>
      </c>
      <c r="Z8" t="s">
        <v>133</v>
      </c>
      <c r="AA8" t="s">
        <v>45</v>
      </c>
      <c r="AB8">
        <v>3</v>
      </c>
      <c r="AD8">
        <v>3</v>
      </c>
      <c r="AE8" t="s">
        <v>86</v>
      </c>
      <c r="AF8" t="s">
        <v>76</v>
      </c>
      <c r="AG8" t="s">
        <v>142</v>
      </c>
      <c r="AH8" t="s">
        <v>143</v>
      </c>
      <c r="AI8">
        <v>0</v>
      </c>
      <c r="AJ8">
        <v>54</v>
      </c>
    </row>
    <row r="9" spans="1:36" x14ac:dyDescent="0.25">
      <c r="A9" t="s">
        <v>752</v>
      </c>
      <c r="B9">
        <v>7</v>
      </c>
      <c r="C9" t="s">
        <v>33</v>
      </c>
      <c r="D9">
        <v>3</v>
      </c>
      <c r="F9">
        <v>3</v>
      </c>
      <c r="G9" t="s">
        <v>34</v>
      </c>
      <c r="H9" t="s">
        <v>130</v>
      </c>
      <c r="I9" t="s">
        <v>131</v>
      </c>
      <c r="J9" t="s">
        <v>133</v>
      </c>
      <c r="K9" t="s">
        <v>53</v>
      </c>
      <c r="L9">
        <v>1</v>
      </c>
      <c r="M9">
        <v>3</v>
      </c>
      <c r="N9">
        <v>2</v>
      </c>
      <c r="O9" t="s">
        <v>112</v>
      </c>
      <c r="P9" t="s">
        <v>83</v>
      </c>
      <c r="Q9" t="s">
        <v>97</v>
      </c>
      <c r="S9" t="s">
        <v>56</v>
      </c>
      <c r="T9">
        <v>3</v>
      </c>
      <c r="V9">
        <v>3</v>
      </c>
      <c r="W9" t="s">
        <v>120</v>
      </c>
      <c r="X9" t="s">
        <v>69</v>
      </c>
      <c r="Y9" t="s">
        <v>87</v>
      </c>
      <c r="Z9" t="s">
        <v>88</v>
      </c>
      <c r="AA9" t="s">
        <v>63</v>
      </c>
      <c r="AB9">
        <v>3</v>
      </c>
      <c r="AD9">
        <v>3</v>
      </c>
      <c r="AE9" t="s">
        <v>72</v>
      </c>
      <c r="AF9" t="s">
        <v>146</v>
      </c>
      <c r="AG9" t="s">
        <v>148</v>
      </c>
      <c r="AH9" t="s">
        <v>151</v>
      </c>
      <c r="AI9">
        <v>0</v>
      </c>
      <c r="AJ9">
        <v>43</v>
      </c>
    </row>
    <row r="10" spans="1:36" x14ac:dyDescent="0.25">
      <c r="A10" t="s">
        <v>753</v>
      </c>
      <c r="B10">
        <v>8</v>
      </c>
      <c r="C10" t="s">
        <v>38</v>
      </c>
      <c r="D10">
        <v>3</v>
      </c>
      <c r="E10">
        <v>3</v>
      </c>
      <c r="F10">
        <v>3</v>
      </c>
      <c r="G10" t="s">
        <v>39</v>
      </c>
      <c r="H10" t="s">
        <v>40</v>
      </c>
      <c r="I10" t="s">
        <v>41</v>
      </c>
      <c r="J10" t="s">
        <v>156</v>
      </c>
      <c r="K10" t="s">
        <v>53</v>
      </c>
      <c r="L10">
        <v>1</v>
      </c>
      <c r="M10">
        <v>3</v>
      </c>
      <c r="N10">
        <v>3</v>
      </c>
      <c r="O10" t="s">
        <v>112</v>
      </c>
      <c r="P10" t="s">
        <v>83</v>
      </c>
      <c r="Q10" t="s">
        <v>97</v>
      </c>
      <c r="R10" t="s">
        <v>115</v>
      </c>
      <c r="S10" t="s">
        <v>56</v>
      </c>
      <c r="T10">
        <v>3</v>
      </c>
      <c r="V10">
        <v>3</v>
      </c>
      <c r="W10" t="s">
        <v>120</v>
      </c>
      <c r="X10" t="s">
        <v>69</v>
      </c>
      <c r="Y10" t="s">
        <v>87</v>
      </c>
      <c r="Z10" t="s">
        <v>88</v>
      </c>
      <c r="AA10" t="s">
        <v>33</v>
      </c>
      <c r="AB10">
        <v>3</v>
      </c>
      <c r="AD10">
        <v>3</v>
      </c>
      <c r="AE10" t="s">
        <v>65</v>
      </c>
      <c r="AF10" t="s">
        <v>130</v>
      </c>
      <c r="AG10" t="s">
        <v>131</v>
      </c>
      <c r="AH10" t="s">
        <v>133</v>
      </c>
      <c r="AI10">
        <v>0</v>
      </c>
      <c r="AJ10">
        <v>54</v>
      </c>
    </row>
    <row r="11" spans="1:36" x14ac:dyDescent="0.25">
      <c r="A11" t="s">
        <v>754</v>
      </c>
      <c r="B11">
        <v>9</v>
      </c>
      <c r="C11" t="s">
        <v>45</v>
      </c>
      <c r="D11">
        <v>3</v>
      </c>
      <c r="F11">
        <v>3</v>
      </c>
      <c r="G11" t="s">
        <v>86</v>
      </c>
      <c r="H11" t="s">
        <v>141</v>
      </c>
      <c r="I11" t="s">
        <v>142</v>
      </c>
      <c r="J11" t="s">
        <v>144</v>
      </c>
      <c r="K11" t="s">
        <v>53</v>
      </c>
      <c r="L11">
        <v>1</v>
      </c>
      <c r="M11">
        <v>3</v>
      </c>
      <c r="N11">
        <v>1</v>
      </c>
      <c r="O11" t="s">
        <v>112</v>
      </c>
      <c r="S11" t="s">
        <v>56</v>
      </c>
      <c r="T11">
        <v>3</v>
      </c>
      <c r="V11">
        <v>3</v>
      </c>
      <c r="W11" t="s">
        <v>120</v>
      </c>
      <c r="X11" t="s">
        <v>69</v>
      </c>
      <c r="Y11" t="s">
        <v>87</v>
      </c>
      <c r="Z11" t="s">
        <v>88</v>
      </c>
      <c r="AA11" t="s">
        <v>43</v>
      </c>
      <c r="AB11">
        <v>3</v>
      </c>
      <c r="AD11">
        <v>3</v>
      </c>
      <c r="AE11" t="s">
        <v>73</v>
      </c>
      <c r="AF11" t="s">
        <v>99</v>
      </c>
      <c r="AG11" t="s">
        <v>137</v>
      </c>
      <c r="AH11" t="s">
        <v>101</v>
      </c>
      <c r="AI11">
        <v>0</v>
      </c>
      <c r="AJ11">
        <v>37</v>
      </c>
    </row>
    <row r="12" spans="1:36" x14ac:dyDescent="0.25">
      <c r="A12" t="s">
        <v>755</v>
      </c>
      <c r="B12">
        <v>10</v>
      </c>
      <c r="C12" t="s">
        <v>43</v>
      </c>
      <c r="D12">
        <v>3</v>
      </c>
      <c r="F12">
        <v>3</v>
      </c>
      <c r="G12" t="s">
        <v>44</v>
      </c>
      <c r="H12" t="s">
        <v>74</v>
      </c>
      <c r="I12" t="s">
        <v>137</v>
      </c>
      <c r="J12" t="s">
        <v>139</v>
      </c>
      <c r="K12" t="s">
        <v>53</v>
      </c>
      <c r="L12">
        <v>2</v>
      </c>
      <c r="M12">
        <v>3</v>
      </c>
      <c r="N12">
        <v>3</v>
      </c>
      <c r="O12" t="s">
        <v>112</v>
      </c>
      <c r="P12" t="s">
        <v>83</v>
      </c>
      <c r="Q12" t="s">
        <v>114</v>
      </c>
      <c r="R12" t="s">
        <v>115</v>
      </c>
      <c r="S12" t="s">
        <v>56</v>
      </c>
      <c r="T12">
        <v>3</v>
      </c>
      <c r="V12">
        <v>3</v>
      </c>
      <c r="W12" t="s">
        <v>120</v>
      </c>
      <c r="X12" t="s">
        <v>69</v>
      </c>
      <c r="Y12" t="s">
        <v>87</v>
      </c>
      <c r="Z12" t="s">
        <v>125</v>
      </c>
      <c r="AA12" t="s">
        <v>63</v>
      </c>
      <c r="AB12">
        <v>3</v>
      </c>
      <c r="AD12">
        <v>3</v>
      </c>
      <c r="AE12" t="s">
        <v>72</v>
      </c>
      <c r="AF12" t="s">
        <v>146</v>
      </c>
      <c r="AG12" t="s">
        <v>148</v>
      </c>
      <c r="AH12" t="s">
        <v>150</v>
      </c>
      <c r="AI12">
        <v>0</v>
      </c>
      <c r="AJ12">
        <v>55</v>
      </c>
    </row>
    <row r="13" spans="1:36" x14ac:dyDescent="0.25">
      <c r="A13" t="s">
        <v>756</v>
      </c>
      <c r="B13">
        <v>11</v>
      </c>
      <c r="C13" t="s">
        <v>38</v>
      </c>
      <c r="D13">
        <v>3</v>
      </c>
      <c r="E13">
        <v>3</v>
      </c>
      <c r="F13">
        <v>3</v>
      </c>
      <c r="G13" t="s">
        <v>39</v>
      </c>
      <c r="H13" t="s">
        <v>40</v>
      </c>
      <c r="I13" t="s">
        <v>41</v>
      </c>
      <c r="J13" t="s">
        <v>156</v>
      </c>
      <c r="K13" t="s">
        <v>53</v>
      </c>
      <c r="L13">
        <v>3</v>
      </c>
      <c r="M13">
        <v>3</v>
      </c>
      <c r="N13">
        <v>3</v>
      </c>
      <c r="O13" t="s">
        <v>112</v>
      </c>
      <c r="P13" t="s">
        <v>83</v>
      </c>
      <c r="Q13" t="s">
        <v>114</v>
      </c>
      <c r="R13" t="s">
        <v>98</v>
      </c>
      <c r="S13" t="s">
        <v>56</v>
      </c>
      <c r="T13">
        <v>3</v>
      </c>
      <c r="V13">
        <v>3</v>
      </c>
      <c r="W13" t="s">
        <v>120</v>
      </c>
      <c r="X13" t="s">
        <v>69</v>
      </c>
      <c r="Y13" t="s">
        <v>87</v>
      </c>
      <c r="Z13" t="s">
        <v>125</v>
      </c>
      <c r="AA13" t="s">
        <v>43</v>
      </c>
      <c r="AB13">
        <v>3</v>
      </c>
      <c r="AD13">
        <v>3</v>
      </c>
      <c r="AE13" t="s">
        <v>44</v>
      </c>
      <c r="AF13" t="s">
        <v>74</v>
      </c>
      <c r="AG13" t="s">
        <v>75</v>
      </c>
      <c r="AH13" t="s">
        <v>139</v>
      </c>
      <c r="AI13">
        <v>0</v>
      </c>
      <c r="AJ13">
        <v>52</v>
      </c>
    </row>
    <row r="14" spans="1:36" x14ac:dyDescent="0.25">
      <c r="A14" t="s">
        <v>757</v>
      </c>
      <c r="B14">
        <v>12</v>
      </c>
      <c r="C14" t="s">
        <v>63</v>
      </c>
      <c r="D14">
        <v>3</v>
      </c>
      <c r="F14">
        <v>3</v>
      </c>
      <c r="G14" t="s">
        <v>103</v>
      </c>
      <c r="H14" t="s">
        <v>95</v>
      </c>
      <c r="I14" t="s">
        <v>147</v>
      </c>
      <c r="J14" t="s">
        <v>151</v>
      </c>
      <c r="K14" t="s">
        <v>53</v>
      </c>
      <c r="L14">
        <v>3</v>
      </c>
      <c r="M14">
        <v>3</v>
      </c>
      <c r="N14">
        <v>3</v>
      </c>
      <c r="O14" t="s">
        <v>112</v>
      </c>
      <c r="P14" t="s">
        <v>55</v>
      </c>
      <c r="Q14" t="s">
        <v>114</v>
      </c>
      <c r="R14" t="s">
        <v>98</v>
      </c>
      <c r="S14" t="s">
        <v>56</v>
      </c>
      <c r="T14">
        <v>3</v>
      </c>
      <c r="V14">
        <v>3</v>
      </c>
      <c r="W14" t="s">
        <v>120</v>
      </c>
      <c r="X14" t="s">
        <v>121</v>
      </c>
      <c r="Y14" t="s">
        <v>123</v>
      </c>
      <c r="Z14" t="s">
        <v>88</v>
      </c>
      <c r="AA14" t="s">
        <v>45</v>
      </c>
      <c r="AB14">
        <v>3</v>
      </c>
      <c r="AD14">
        <v>3</v>
      </c>
      <c r="AE14" t="s">
        <v>86</v>
      </c>
      <c r="AF14" t="s">
        <v>141</v>
      </c>
      <c r="AG14" t="s">
        <v>142</v>
      </c>
      <c r="AH14" t="s">
        <v>94</v>
      </c>
      <c r="AI14">
        <v>0</v>
      </c>
      <c r="AJ14">
        <v>52</v>
      </c>
    </row>
    <row r="15" spans="1:36" x14ac:dyDescent="0.25">
      <c r="A15" t="s">
        <v>758</v>
      </c>
      <c r="B15">
        <v>13</v>
      </c>
      <c r="C15" t="s">
        <v>56</v>
      </c>
      <c r="D15">
        <v>3</v>
      </c>
      <c r="F15">
        <v>3</v>
      </c>
      <c r="G15" t="s">
        <v>120</v>
      </c>
      <c r="H15" t="s">
        <v>69</v>
      </c>
      <c r="I15" t="s">
        <v>87</v>
      </c>
      <c r="J15" t="s">
        <v>124</v>
      </c>
      <c r="K15" t="s">
        <v>53</v>
      </c>
      <c r="L15">
        <v>3</v>
      </c>
      <c r="M15">
        <v>3</v>
      </c>
      <c r="N15">
        <v>3</v>
      </c>
      <c r="O15" t="s">
        <v>112</v>
      </c>
      <c r="P15" t="s">
        <v>55</v>
      </c>
      <c r="Q15" t="s">
        <v>105</v>
      </c>
      <c r="R15" t="s">
        <v>98</v>
      </c>
      <c r="S15" t="s">
        <v>45</v>
      </c>
      <c r="T15">
        <v>3</v>
      </c>
      <c r="V15">
        <v>3</v>
      </c>
      <c r="W15" t="s">
        <v>86</v>
      </c>
      <c r="X15" t="s">
        <v>76</v>
      </c>
      <c r="Y15" t="s">
        <v>142</v>
      </c>
      <c r="Z15" t="s">
        <v>143</v>
      </c>
      <c r="AA15" t="s">
        <v>38</v>
      </c>
      <c r="AB15">
        <v>3</v>
      </c>
      <c r="AC15">
        <v>3</v>
      </c>
      <c r="AD15">
        <v>3</v>
      </c>
      <c r="AE15" t="s">
        <v>39</v>
      </c>
      <c r="AF15" t="s">
        <v>40</v>
      </c>
      <c r="AG15" t="s">
        <v>41</v>
      </c>
      <c r="AH15" t="s">
        <v>156</v>
      </c>
      <c r="AI15">
        <v>0</v>
      </c>
      <c r="AJ15">
        <v>57</v>
      </c>
    </row>
    <row r="16" spans="1:36" x14ac:dyDescent="0.25">
      <c r="A16" t="s">
        <v>759</v>
      </c>
      <c r="B16">
        <v>14</v>
      </c>
      <c r="C16" t="s">
        <v>63</v>
      </c>
      <c r="D16">
        <v>3</v>
      </c>
      <c r="F16">
        <v>3</v>
      </c>
      <c r="G16" t="s">
        <v>103</v>
      </c>
      <c r="H16" t="s">
        <v>95</v>
      </c>
      <c r="I16" t="s">
        <v>147</v>
      </c>
      <c r="J16" t="s">
        <v>151</v>
      </c>
      <c r="K16" t="s">
        <v>53</v>
      </c>
      <c r="L16">
        <v>3</v>
      </c>
      <c r="M16">
        <v>3</v>
      </c>
      <c r="N16">
        <v>3</v>
      </c>
      <c r="O16" t="s">
        <v>112</v>
      </c>
      <c r="P16" t="s">
        <v>55</v>
      </c>
      <c r="Q16" t="s">
        <v>114</v>
      </c>
      <c r="R16" t="s">
        <v>115</v>
      </c>
      <c r="S16" t="s">
        <v>56</v>
      </c>
      <c r="T16">
        <v>3</v>
      </c>
      <c r="V16">
        <v>3</v>
      </c>
      <c r="W16" t="s">
        <v>120</v>
      </c>
      <c r="X16" t="s">
        <v>69</v>
      </c>
      <c r="Y16" t="s">
        <v>87</v>
      </c>
      <c r="Z16" t="s">
        <v>125</v>
      </c>
      <c r="AA16" t="s">
        <v>38</v>
      </c>
      <c r="AB16">
        <v>3</v>
      </c>
      <c r="AC16">
        <v>3</v>
      </c>
      <c r="AD16">
        <v>3</v>
      </c>
      <c r="AE16" t="s">
        <v>39</v>
      </c>
      <c r="AF16" t="s">
        <v>40</v>
      </c>
      <c r="AG16" t="s">
        <v>153</v>
      </c>
      <c r="AH16" t="s">
        <v>156</v>
      </c>
      <c r="AI16">
        <v>0</v>
      </c>
      <c r="AJ16">
        <v>67</v>
      </c>
    </row>
    <row r="17" spans="1:36" x14ac:dyDescent="0.25">
      <c r="A17" t="s">
        <v>760</v>
      </c>
      <c r="B17">
        <v>15</v>
      </c>
      <c r="C17" t="s">
        <v>33</v>
      </c>
      <c r="D17">
        <v>3</v>
      </c>
      <c r="F17">
        <v>2</v>
      </c>
      <c r="G17" t="s">
        <v>65</v>
      </c>
      <c r="H17" t="s">
        <v>130</v>
      </c>
      <c r="I17" t="s">
        <v>36</v>
      </c>
      <c r="J17" t="s">
        <v>134</v>
      </c>
      <c r="K17" t="s">
        <v>53</v>
      </c>
      <c r="L17">
        <v>3</v>
      </c>
      <c r="M17">
        <v>2</v>
      </c>
      <c r="N17">
        <v>3</v>
      </c>
      <c r="O17" t="s">
        <v>112</v>
      </c>
      <c r="P17" t="s">
        <v>83</v>
      </c>
      <c r="S17" t="s">
        <v>48</v>
      </c>
      <c r="T17">
        <v>1</v>
      </c>
      <c r="V17">
        <v>2</v>
      </c>
      <c r="W17" t="s">
        <v>126</v>
      </c>
      <c r="X17" t="s">
        <v>84</v>
      </c>
      <c r="AA17" t="s">
        <v>43</v>
      </c>
      <c r="AB17">
        <v>1</v>
      </c>
      <c r="AD17">
        <v>1</v>
      </c>
      <c r="AE17" t="s">
        <v>44</v>
      </c>
      <c r="AF17" t="s">
        <v>136</v>
      </c>
      <c r="AG17" t="s">
        <v>137</v>
      </c>
      <c r="AH17" t="s">
        <v>101</v>
      </c>
      <c r="AI17">
        <v>0</v>
      </c>
      <c r="AJ17">
        <v>22</v>
      </c>
    </row>
    <row r="18" spans="1:36" x14ac:dyDescent="0.25">
      <c r="A18" t="s">
        <v>761</v>
      </c>
      <c r="B18">
        <v>16</v>
      </c>
      <c r="C18" t="s">
        <v>45</v>
      </c>
      <c r="D18">
        <v>3</v>
      </c>
      <c r="F18">
        <v>3</v>
      </c>
      <c r="G18" t="s">
        <v>86</v>
      </c>
      <c r="H18" t="s">
        <v>76</v>
      </c>
      <c r="I18" t="s">
        <v>142</v>
      </c>
      <c r="J18" t="s">
        <v>144</v>
      </c>
      <c r="K18" t="s">
        <v>53</v>
      </c>
      <c r="L18">
        <v>1</v>
      </c>
      <c r="M18">
        <v>3</v>
      </c>
      <c r="N18">
        <v>3</v>
      </c>
      <c r="O18" t="s">
        <v>112</v>
      </c>
      <c r="S18" t="s">
        <v>48</v>
      </c>
      <c r="T18">
        <v>1</v>
      </c>
      <c r="V18">
        <v>3</v>
      </c>
      <c r="W18" t="s">
        <v>126</v>
      </c>
      <c r="X18" t="s">
        <v>84</v>
      </c>
      <c r="Y18" t="s">
        <v>127</v>
      </c>
      <c r="Z18" t="s">
        <v>128</v>
      </c>
      <c r="AA18" t="s">
        <v>33</v>
      </c>
      <c r="AB18">
        <v>3</v>
      </c>
      <c r="AD18">
        <v>3</v>
      </c>
      <c r="AE18" t="s">
        <v>65</v>
      </c>
      <c r="AF18" t="s">
        <v>130</v>
      </c>
      <c r="AG18" t="s">
        <v>36</v>
      </c>
      <c r="AH18" t="s">
        <v>133</v>
      </c>
      <c r="AI18">
        <v>0</v>
      </c>
      <c r="AJ18">
        <v>33</v>
      </c>
    </row>
    <row r="19" spans="1:36" x14ac:dyDescent="0.25">
      <c r="A19" t="s">
        <v>762</v>
      </c>
      <c r="B19">
        <v>17</v>
      </c>
      <c r="C19" t="s">
        <v>33</v>
      </c>
      <c r="D19">
        <v>3</v>
      </c>
      <c r="F19">
        <v>3</v>
      </c>
      <c r="G19" t="s">
        <v>34</v>
      </c>
      <c r="H19" t="s">
        <v>130</v>
      </c>
      <c r="I19" t="s">
        <v>131</v>
      </c>
      <c r="J19" t="s">
        <v>133</v>
      </c>
      <c r="K19" t="s">
        <v>53</v>
      </c>
      <c r="L19">
        <v>3</v>
      </c>
      <c r="M19">
        <v>3</v>
      </c>
      <c r="N19">
        <v>3</v>
      </c>
      <c r="O19" t="s">
        <v>112</v>
      </c>
      <c r="P19" t="s">
        <v>83</v>
      </c>
      <c r="Q19" t="s">
        <v>97</v>
      </c>
      <c r="R19" t="s">
        <v>98</v>
      </c>
      <c r="S19" t="s">
        <v>48</v>
      </c>
      <c r="T19">
        <v>3</v>
      </c>
      <c r="V19">
        <v>3</v>
      </c>
      <c r="W19" t="s">
        <v>126</v>
      </c>
      <c r="X19" t="s">
        <v>71</v>
      </c>
      <c r="Y19" t="s">
        <v>51</v>
      </c>
      <c r="Z19" t="s">
        <v>128</v>
      </c>
      <c r="AA19" t="s">
        <v>63</v>
      </c>
      <c r="AB19">
        <v>3</v>
      </c>
      <c r="AD19">
        <v>3</v>
      </c>
      <c r="AE19" t="s">
        <v>72</v>
      </c>
      <c r="AF19" t="s">
        <v>146</v>
      </c>
      <c r="AG19" t="s">
        <v>148</v>
      </c>
      <c r="AH19" t="s">
        <v>150</v>
      </c>
      <c r="AI19">
        <v>0</v>
      </c>
      <c r="AJ19">
        <v>51</v>
      </c>
    </row>
    <row r="20" spans="1:36" x14ac:dyDescent="0.25">
      <c r="A20" t="s">
        <v>763</v>
      </c>
      <c r="B20">
        <v>18</v>
      </c>
      <c r="C20" t="s">
        <v>33</v>
      </c>
      <c r="D20">
        <v>3</v>
      </c>
      <c r="F20">
        <v>3</v>
      </c>
      <c r="G20" t="s">
        <v>65</v>
      </c>
      <c r="H20" t="s">
        <v>130</v>
      </c>
      <c r="I20" t="s">
        <v>36</v>
      </c>
      <c r="J20" t="s">
        <v>133</v>
      </c>
      <c r="K20" t="s">
        <v>53</v>
      </c>
      <c r="L20">
        <v>3</v>
      </c>
      <c r="M20">
        <v>3</v>
      </c>
      <c r="N20">
        <v>3</v>
      </c>
      <c r="O20" t="s">
        <v>112</v>
      </c>
      <c r="P20" t="s">
        <v>55</v>
      </c>
      <c r="Q20" t="s">
        <v>97</v>
      </c>
      <c r="R20" t="s">
        <v>98</v>
      </c>
      <c r="S20" t="s">
        <v>48</v>
      </c>
      <c r="T20">
        <v>1</v>
      </c>
      <c r="V20">
        <v>2</v>
      </c>
      <c r="W20" t="s">
        <v>126</v>
      </c>
      <c r="X20" t="s">
        <v>84</v>
      </c>
      <c r="AA20" t="s">
        <v>38</v>
      </c>
      <c r="AB20">
        <v>3</v>
      </c>
      <c r="AC20">
        <v>3</v>
      </c>
      <c r="AD20">
        <v>3</v>
      </c>
      <c r="AE20" t="s">
        <v>39</v>
      </c>
      <c r="AF20" t="s">
        <v>40</v>
      </c>
      <c r="AG20" t="s">
        <v>154</v>
      </c>
      <c r="AH20" t="s">
        <v>156</v>
      </c>
      <c r="AI20">
        <v>0</v>
      </c>
      <c r="AJ20">
        <v>34</v>
      </c>
    </row>
    <row r="21" spans="1:36" x14ac:dyDescent="0.25">
      <c r="A21" s="36" t="s">
        <v>764</v>
      </c>
      <c r="B21">
        <v>19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55</v>
      </c>
      <c r="I21" t="s">
        <v>105</v>
      </c>
      <c r="J21" t="s">
        <v>98</v>
      </c>
      <c r="K21" t="s">
        <v>48</v>
      </c>
      <c r="L21">
        <v>3</v>
      </c>
      <c r="N21">
        <v>1</v>
      </c>
      <c r="O21" t="s">
        <v>126</v>
      </c>
      <c r="P21" t="s">
        <v>71</v>
      </c>
      <c r="Q21" t="s">
        <v>51</v>
      </c>
      <c r="R21" t="s">
        <v>128</v>
      </c>
      <c r="S21" t="s">
        <v>43</v>
      </c>
      <c r="T21">
        <v>3</v>
      </c>
      <c r="V21">
        <v>3</v>
      </c>
      <c r="W21" t="s">
        <v>44</v>
      </c>
      <c r="X21" t="s">
        <v>74</v>
      </c>
      <c r="Y21" t="s">
        <v>75</v>
      </c>
      <c r="Z21" t="s">
        <v>139</v>
      </c>
      <c r="AA21" t="s">
        <v>45</v>
      </c>
      <c r="AB21">
        <v>3</v>
      </c>
      <c r="AD21">
        <v>3</v>
      </c>
      <c r="AE21" t="s">
        <v>86</v>
      </c>
      <c r="AF21" t="s">
        <v>92</v>
      </c>
      <c r="AG21" t="s">
        <v>102</v>
      </c>
      <c r="AH21" t="s">
        <v>144</v>
      </c>
      <c r="AI21">
        <v>0</v>
      </c>
      <c r="AJ21">
        <v>35</v>
      </c>
    </row>
    <row r="22" spans="1:36" x14ac:dyDescent="0.25">
      <c r="A22" t="s">
        <v>765</v>
      </c>
      <c r="B22">
        <v>20</v>
      </c>
      <c r="C22" t="s">
        <v>43</v>
      </c>
      <c r="D22">
        <v>3</v>
      </c>
      <c r="F22">
        <v>3</v>
      </c>
      <c r="G22" t="s">
        <v>44</v>
      </c>
      <c r="H22" t="s">
        <v>136</v>
      </c>
      <c r="I22" t="s">
        <v>137</v>
      </c>
      <c r="J22" t="s">
        <v>138</v>
      </c>
      <c r="K22" t="s">
        <v>53</v>
      </c>
      <c r="L22">
        <v>3</v>
      </c>
      <c r="M22">
        <v>3</v>
      </c>
      <c r="N22">
        <v>3</v>
      </c>
      <c r="O22" t="s">
        <v>112</v>
      </c>
      <c r="P22" t="s">
        <v>55</v>
      </c>
      <c r="Q22" t="s">
        <v>97</v>
      </c>
      <c r="R22" t="s">
        <v>98</v>
      </c>
      <c r="S22" t="s">
        <v>48</v>
      </c>
      <c r="T22">
        <v>1</v>
      </c>
      <c r="V22">
        <v>2</v>
      </c>
      <c r="W22" t="s">
        <v>126</v>
      </c>
      <c r="X22" t="s">
        <v>71</v>
      </c>
      <c r="Y22" t="s">
        <v>51</v>
      </c>
      <c r="AA22" t="s">
        <v>63</v>
      </c>
      <c r="AB22">
        <v>3</v>
      </c>
      <c r="AD22">
        <v>3</v>
      </c>
      <c r="AE22" t="s">
        <v>72</v>
      </c>
      <c r="AF22" t="s">
        <v>95</v>
      </c>
      <c r="AG22" t="s">
        <v>147</v>
      </c>
      <c r="AH22" t="s">
        <v>151</v>
      </c>
      <c r="AI22">
        <v>0</v>
      </c>
      <c r="AJ22">
        <v>42</v>
      </c>
    </row>
    <row r="23" spans="1:36" x14ac:dyDescent="0.25">
      <c r="A23" t="s">
        <v>766</v>
      </c>
      <c r="B23">
        <v>21</v>
      </c>
      <c r="C23" t="s">
        <v>43</v>
      </c>
      <c r="D23">
        <v>3</v>
      </c>
      <c r="F23">
        <v>3</v>
      </c>
      <c r="G23" t="s">
        <v>44</v>
      </c>
      <c r="H23" t="s">
        <v>136</v>
      </c>
      <c r="I23" t="s">
        <v>137</v>
      </c>
      <c r="J23" t="s">
        <v>138</v>
      </c>
      <c r="K23" t="s">
        <v>53</v>
      </c>
      <c r="L23">
        <v>3</v>
      </c>
      <c r="M23">
        <v>3</v>
      </c>
      <c r="N23">
        <v>3</v>
      </c>
      <c r="O23" t="s">
        <v>112</v>
      </c>
      <c r="P23" t="s">
        <v>55</v>
      </c>
      <c r="S23" t="s">
        <v>48</v>
      </c>
      <c r="T23">
        <v>3</v>
      </c>
      <c r="V23">
        <v>3</v>
      </c>
      <c r="W23" t="s">
        <v>126</v>
      </c>
      <c r="X23" t="s">
        <v>71</v>
      </c>
      <c r="Y23" t="s">
        <v>51</v>
      </c>
      <c r="Z23" t="s">
        <v>128</v>
      </c>
      <c r="AA23" t="s">
        <v>38</v>
      </c>
      <c r="AB23">
        <v>3</v>
      </c>
      <c r="AC23">
        <v>3</v>
      </c>
      <c r="AD23">
        <v>3</v>
      </c>
      <c r="AE23" t="s">
        <v>39</v>
      </c>
      <c r="AF23" t="s">
        <v>40</v>
      </c>
      <c r="AG23" t="s">
        <v>41</v>
      </c>
      <c r="AH23" t="s">
        <v>156</v>
      </c>
      <c r="AI23">
        <v>0</v>
      </c>
      <c r="AJ23">
        <v>53</v>
      </c>
    </row>
    <row r="24" spans="1:36" x14ac:dyDescent="0.25">
      <c r="A24" t="s">
        <v>767</v>
      </c>
      <c r="B24">
        <v>22</v>
      </c>
      <c r="C24" t="s">
        <v>53</v>
      </c>
      <c r="D24">
        <v>3</v>
      </c>
      <c r="E24">
        <v>3</v>
      </c>
      <c r="F24">
        <v>3</v>
      </c>
      <c r="G24" t="s">
        <v>112</v>
      </c>
      <c r="H24" t="s">
        <v>55</v>
      </c>
      <c r="I24" t="s">
        <v>105</v>
      </c>
      <c r="J24" t="s">
        <v>115</v>
      </c>
      <c r="K24" t="s">
        <v>48</v>
      </c>
      <c r="L24">
        <v>3</v>
      </c>
      <c r="N24">
        <v>1</v>
      </c>
      <c r="O24" t="s">
        <v>126</v>
      </c>
      <c r="P24" t="s">
        <v>71</v>
      </c>
      <c r="Q24" t="s">
        <v>51</v>
      </c>
      <c r="R24" t="s">
        <v>128</v>
      </c>
      <c r="S24" t="s">
        <v>45</v>
      </c>
      <c r="T24">
        <v>3</v>
      </c>
      <c r="V24">
        <v>3</v>
      </c>
      <c r="W24" t="s">
        <v>86</v>
      </c>
      <c r="X24" t="s">
        <v>92</v>
      </c>
      <c r="Y24" t="s">
        <v>142</v>
      </c>
      <c r="Z24" t="s">
        <v>143</v>
      </c>
      <c r="AA24" t="s">
        <v>63</v>
      </c>
      <c r="AB24">
        <v>3</v>
      </c>
      <c r="AD24">
        <v>3</v>
      </c>
      <c r="AE24" t="s">
        <v>103</v>
      </c>
      <c r="AF24" t="s">
        <v>95</v>
      </c>
      <c r="AG24" t="s">
        <v>147</v>
      </c>
      <c r="AH24" t="s">
        <v>151</v>
      </c>
      <c r="AI24">
        <v>0</v>
      </c>
      <c r="AJ24">
        <v>61</v>
      </c>
    </row>
    <row r="25" spans="1:36" x14ac:dyDescent="0.25">
      <c r="A25" t="s">
        <v>768</v>
      </c>
      <c r="B25">
        <v>23</v>
      </c>
      <c r="C25" t="s">
        <v>53</v>
      </c>
      <c r="D25">
        <v>3</v>
      </c>
      <c r="E25">
        <v>3</v>
      </c>
      <c r="F25">
        <v>3</v>
      </c>
      <c r="G25" t="s">
        <v>112</v>
      </c>
      <c r="H25" t="s">
        <v>83</v>
      </c>
      <c r="I25" t="s">
        <v>105</v>
      </c>
      <c r="J25" t="s">
        <v>98</v>
      </c>
      <c r="K25" t="s">
        <v>48</v>
      </c>
      <c r="L25">
        <v>3</v>
      </c>
      <c r="N25">
        <v>3</v>
      </c>
      <c r="O25" t="s">
        <v>126</v>
      </c>
      <c r="P25" t="s">
        <v>71</v>
      </c>
      <c r="Q25" t="s">
        <v>127</v>
      </c>
      <c r="R25" t="s">
        <v>52</v>
      </c>
      <c r="S25" t="s">
        <v>45</v>
      </c>
      <c r="T25">
        <v>3</v>
      </c>
      <c r="V25">
        <v>3</v>
      </c>
      <c r="W25" t="s">
        <v>47</v>
      </c>
      <c r="X25" t="s">
        <v>76</v>
      </c>
      <c r="Y25" t="s">
        <v>102</v>
      </c>
      <c r="Z25" t="s">
        <v>94</v>
      </c>
      <c r="AA25" t="s">
        <v>38</v>
      </c>
      <c r="AB25">
        <v>3</v>
      </c>
      <c r="AC25">
        <v>3</v>
      </c>
      <c r="AD25">
        <v>3</v>
      </c>
      <c r="AE25" t="s">
        <v>39</v>
      </c>
      <c r="AF25" t="s">
        <v>40</v>
      </c>
      <c r="AG25" t="s">
        <v>41</v>
      </c>
      <c r="AH25" t="s">
        <v>156</v>
      </c>
      <c r="AI25">
        <v>0</v>
      </c>
      <c r="AJ25">
        <v>55</v>
      </c>
    </row>
    <row r="26" spans="1:36" x14ac:dyDescent="0.25">
      <c r="A26" t="s">
        <v>769</v>
      </c>
      <c r="B26">
        <v>24</v>
      </c>
      <c r="C26" t="s">
        <v>63</v>
      </c>
      <c r="D26">
        <v>3</v>
      </c>
      <c r="F26">
        <v>3</v>
      </c>
      <c r="G26" t="s">
        <v>72</v>
      </c>
      <c r="H26" t="s">
        <v>95</v>
      </c>
      <c r="I26" t="s">
        <v>104</v>
      </c>
      <c r="J26" t="s">
        <v>151</v>
      </c>
      <c r="K26" t="s">
        <v>53</v>
      </c>
      <c r="L26">
        <v>3</v>
      </c>
      <c r="M26">
        <v>3</v>
      </c>
      <c r="N26">
        <v>3</v>
      </c>
      <c r="O26" t="s">
        <v>112</v>
      </c>
      <c r="P26" t="s">
        <v>55</v>
      </c>
      <c r="Q26" t="s">
        <v>105</v>
      </c>
      <c r="R26" t="s">
        <v>115</v>
      </c>
      <c r="S26" t="s">
        <v>48</v>
      </c>
      <c r="T26">
        <v>3</v>
      </c>
      <c r="V26">
        <v>3</v>
      </c>
      <c r="W26" t="s">
        <v>126</v>
      </c>
      <c r="X26" t="s">
        <v>71</v>
      </c>
      <c r="Y26" t="s">
        <v>51</v>
      </c>
      <c r="Z26" t="s">
        <v>128</v>
      </c>
      <c r="AA26" t="s">
        <v>38</v>
      </c>
      <c r="AB26">
        <v>3</v>
      </c>
      <c r="AC26">
        <v>3</v>
      </c>
      <c r="AD26">
        <v>3</v>
      </c>
      <c r="AE26" t="s">
        <v>39</v>
      </c>
      <c r="AF26" t="s">
        <v>40</v>
      </c>
      <c r="AG26" t="s">
        <v>154</v>
      </c>
      <c r="AH26" t="s">
        <v>155</v>
      </c>
      <c r="AI26">
        <v>0</v>
      </c>
      <c r="AJ26">
        <v>57</v>
      </c>
    </row>
    <row r="27" spans="1:36" x14ac:dyDescent="0.25">
      <c r="A27" t="s">
        <v>770</v>
      </c>
      <c r="B27">
        <v>25</v>
      </c>
      <c r="C27" t="s">
        <v>33</v>
      </c>
      <c r="D27">
        <v>3</v>
      </c>
      <c r="F27">
        <v>3</v>
      </c>
      <c r="G27" t="s">
        <v>65</v>
      </c>
      <c r="H27" t="s">
        <v>130</v>
      </c>
      <c r="I27" t="s">
        <v>131</v>
      </c>
      <c r="J27" t="s">
        <v>133</v>
      </c>
      <c r="K27" t="s">
        <v>53</v>
      </c>
      <c r="L27">
        <v>3</v>
      </c>
      <c r="M27">
        <v>3</v>
      </c>
      <c r="N27">
        <v>3</v>
      </c>
      <c r="O27" t="s">
        <v>112</v>
      </c>
      <c r="P27" t="s">
        <v>83</v>
      </c>
      <c r="Q27" t="s">
        <v>97</v>
      </c>
      <c r="R27" t="s">
        <v>98</v>
      </c>
      <c r="S27" t="s">
        <v>43</v>
      </c>
      <c r="T27">
        <v>3</v>
      </c>
      <c r="V27">
        <v>3</v>
      </c>
      <c r="W27" t="s">
        <v>44</v>
      </c>
      <c r="X27" t="s">
        <v>136</v>
      </c>
      <c r="Y27" t="s">
        <v>137</v>
      </c>
      <c r="Z27" t="s">
        <v>139</v>
      </c>
      <c r="AA27" t="s">
        <v>45</v>
      </c>
      <c r="AB27">
        <v>3</v>
      </c>
      <c r="AD27">
        <v>1</v>
      </c>
      <c r="AE27" t="s">
        <v>86</v>
      </c>
      <c r="AI27">
        <v>0</v>
      </c>
      <c r="AJ27">
        <v>60</v>
      </c>
    </row>
    <row r="28" spans="1:36" x14ac:dyDescent="0.25">
      <c r="A28" t="s">
        <v>771</v>
      </c>
      <c r="B28">
        <v>26</v>
      </c>
      <c r="C28" t="s">
        <v>63</v>
      </c>
      <c r="D28">
        <v>3</v>
      </c>
      <c r="F28">
        <v>3</v>
      </c>
      <c r="G28" t="s">
        <v>103</v>
      </c>
      <c r="H28" t="s">
        <v>146</v>
      </c>
      <c r="I28" t="s">
        <v>104</v>
      </c>
      <c r="J28" t="s">
        <v>151</v>
      </c>
      <c r="K28" t="s">
        <v>53</v>
      </c>
      <c r="L28">
        <v>2</v>
      </c>
      <c r="M28">
        <v>3</v>
      </c>
      <c r="N28">
        <v>3</v>
      </c>
      <c r="O28" t="s">
        <v>112</v>
      </c>
      <c r="S28" t="s">
        <v>33</v>
      </c>
      <c r="T28">
        <v>3</v>
      </c>
      <c r="V28">
        <v>3</v>
      </c>
      <c r="W28" t="s">
        <v>34</v>
      </c>
      <c r="X28" t="s">
        <v>130</v>
      </c>
      <c r="Y28" t="s">
        <v>131</v>
      </c>
      <c r="Z28" t="s">
        <v>134</v>
      </c>
      <c r="AA28" t="s">
        <v>43</v>
      </c>
      <c r="AB28">
        <v>3</v>
      </c>
      <c r="AD28">
        <v>3</v>
      </c>
      <c r="AE28" t="s">
        <v>44</v>
      </c>
      <c r="AF28" t="s">
        <v>136</v>
      </c>
      <c r="AG28" t="s">
        <v>137</v>
      </c>
      <c r="AH28" t="s">
        <v>139</v>
      </c>
      <c r="AI28">
        <v>0</v>
      </c>
      <c r="AJ28">
        <v>49</v>
      </c>
    </row>
    <row r="29" spans="1:36" x14ac:dyDescent="0.25">
      <c r="A29" t="s">
        <v>772</v>
      </c>
      <c r="B29">
        <v>27</v>
      </c>
      <c r="C29" t="s">
        <v>38</v>
      </c>
      <c r="D29">
        <v>3</v>
      </c>
      <c r="E29">
        <v>3</v>
      </c>
      <c r="F29">
        <v>3</v>
      </c>
      <c r="G29" t="s">
        <v>39</v>
      </c>
      <c r="H29" t="s">
        <v>40</v>
      </c>
      <c r="I29" t="s">
        <v>41</v>
      </c>
      <c r="J29" t="s">
        <v>156</v>
      </c>
      <c r="K29" t="s">
        <v>53</v>
      </c>
      <c r="L29">
        <v>3</v>
      </c>
      <c r="M29">
        <v>3</v>
      </c>
      <c r="N29">
        <v>3</v>
      </c>
      <c r="O29" t="s">
        <v>112</v>
      </c>
      <c r="P29" t="s">
        <v>83</v>
      </c>
      <c r="Q29" t="s">
        <v>105</v>
      </c>
      <c r="R29" t="s">
        <v>98</v>
      </c>
      <c r="S29" t="s">
        <v>33</v>
      </c>
      <c r="T29">
        <v>3</v>
      </c>
      <c r="V29">
        <v>3</v>
      </c>
      <c r="W29" t="s">
        <v>65</v>
      </c>
      <c r="X29" t="s">
        <v>130</v>
      </c>
      <c r="Y29" t="s">
        <v>131</v>
      </c>
      <c r="Z29" t="s">
        <v>133</v>
      </c>
      <c r="AA29" t="s">
        <v>43</v>
      </c>
      <c r="AB29">
        <v>3</v>
      </c>
      <c r="AD29">
        <v>3</v>
      </c>
      <c r="AE29" t="s">
        <v>44</v>
      </c>
      <c r="AF29" t="s">
        <v>136</v>
      </c>
      <c r="AG29" t="s">
        <v>137</v>
      </c>
      <c r="AH29" t="s">
        <v>138</v>
      </c>
      <c r="AI29">
        <v>0</v>
      </c>
      <c r="AJ29">
        <v>78</v>
      </c>
    </row>
    <row r="30" spans="1:36" x14ac:dyDescent="0.25">
      <c r="A30" t="s">
        <v>773</v>
      </c>
      <c r="B30">
        <v>28</v>
      </c>
      <c r="C30" t="s">
        <v>63</v>
      </c>
      <c r="D30">
        <v>3</v>
      </c>
      <c r="F30">
        <v>3</v>
      </c>
      <c r="G30" t="s">
        <v>145</v>
      </c>
      <c r="H30" t="s">
        <v>146</v>
      </c>
      <c r="I30" t="s">
        <v>148</v>
      </c>
      <c r="J30" t="s">
        <v>150</v>
      </c>
      <c r="K30" t="s">
        <v>53</v>
      </c>
      <c r="L30">
        <v>3</v>
      </c>
      <c r="M30">
        <v>3</v>
      </c>
      <c r="N30">
        <v>3</v>
      </c>
      <c r="O30" t="s">
        <v>112</v>
      </c>
      <c r="P30" t="s">
        <v>83</v>
      </c>
      <c r="Q30" t="s">
        <v>105</v>
      </c>
      <c r="R30" t="s">
        <v>98</v>
      </c>
      <c r="S30" t="s">
        <v>33</v>
      </c>
      <c r="T30">
        <v>3</v>
      </c>
      <c r="V30">
        <v>3</v>
      </c>
      <c r="W30" t="s">
        <v>65</v>
      </c>
      <c r="X30" t="s">
        <v>35</v>
      </c>
      <c r="Y30" t="s">
        <v>36</v>
      </c>
      <c r="Z30" t="s">
        <v>134</v>
      </c>
      <c r="AA30" t="s">
        <v>45</v>
      </c>
      <c r="AB30">
        <v>1</v>
      </c>
      <c r="AD30">
        <v>3</v>
      </c>
      <c r="AE30" t="s">
        <v>86</v>
      </c>
      <c r="AF30" t="s">
        <v>76</v>
      </c>
      <c r="AG30" t="s">
        <v>93</v>
      </c>
      <c r="AI30">
        <v>0</v>
      </c>
      <c r="AJ30">
        <v>45</v>
      </c>
    </row>
    <row r="31" spans="1:36" x14ac:dyDescent="0.25">
      <c r="A31" t="s">
        <v>774</v>
      </c>
      <c r="B31">
        <v>29</v>
      </c>
      <c r="C31" t="s">
        <v>38</v>
      </c>
      <c r="D31">
        <v>3</v>
      </c>
      <c r="E31">
        <v>3</v>
      </c>
      <c r="F31">
        <v>3</v>
      </c>
      <c r="G31" t="s">
        <v>39</v>
      </c>
      <c r="H31" t="s">
        <v>40</v>
      </c>
      <c r="I31" t="s">
        <v>41</v>
      </c>
      <c r="J31" t="s">
        <v>156</v>
      </c>
      <c r="K31" t="s">
        <v>53</v>
      </c>
      <c r="L31">
        <v>1</v>
      </c>
      <c r="M31">
        <v>3</v>
      </c>
      <c r="N31">
        <v>3</v>
      </c>
      <c r="O31" t="s">
        <v>112</v>
      </c>
      <c r="P31" t="s">
        <v>83</v>
      </c>
      <c r="Q31" t="s">
        <v>97</v>
      </c>
      <c r="S31" t="s">
        <v>33</v>
      </c>
      <c r="T31">
        <v>3</v>
      </c>
      <c r="V31">
        <v>3</v>
      </c>
      <c r="W31" t="s">
        <v>65</v>
      </c>
      <c r="X31" t="s">
        <v>130</v>
      </c>
      <c r="Y31" t="s">
        <v>131</v>
      </c>
      <c r="Z31" t="s">
        <v>133</v>
      </c>
      <c r="AA31" t="s">
        <v>45</v>
      </c>
      <c r="AB31">
        <v>3</v>
      </c>
      <c r="AD31">
        <v>3</v>
      </c>
      <c r="AE31" t="s">
        <v>47</v>
      </c>
      <c r="AF31" t="s">
        <v>92</v>
      </c>
      <c r="AG31" t="s">
        <v>142</v>
      </c>
      <c r="AH31" t="s">
        <v>144</v>
      </c>
      <c r="AI31">
        <v>0</v>
      </c>
      <c r="AJ31">
        <v>65</v>
      </c>
    </row>
    <row r="32" spans="1:36" x14ac:dyDescent="0.25">
      <c r="A32" t="s">
        <v>775</v>
      </c>
      <c r="B32">
        <v>30</v>
      </c>
      <c r="C32" t="s">
        <v>38</v>
      </c>
      <c r="D32">
        <v>3</v>
      </c>
      <c r="E32">
        <v>3</v>
      </c>
      <c r="F32">
        <v>3</v>
      </c>
      <c r="G32" t="s">
        <v>39</v>
      </c>
      <c r="H32" t="s">
        <v>40</v>
      </c>
      <c r="I32" t="s">
        <v>41</v>
      </c>
      <c r="J32" t="s">
        <v>156</v>
      </c>
      <c r="K32" t="s">
        <v>53</v>
      </c>
      <c r="L32">
        <v>1</v>
      </c>
      <c r="M32">
        <v>3</v>
      </c>
      <c r="N32">
        <v>3</v>
      </c>
      <c r="O32" t="s">
        <v>112</v>
      </c>
      <c r="P32" t="s">
        <v>83</v>
      </c>
      <c r="Q32" t="s">
        <v>97</v>
      </c>
      <c r="R32" t="s">
        <v>98</v>
      </c>
      <c r="S32" t="s">
        <v>33</v>
      </c>
      <c r="T32">
        <v>3</v>
      </c>
      <c r="V32">
        <v>3</v>
      </c>
      <c r="W32" t="s">
        <v>65</v>
      </c>
      <c r="X32" t="s">
        <v>66</v>
      </c>
      <c r="Y32" t="s">
        <v>131</v>
      </c>
      <c r="Z32" t="s">
        <v>133</v>
      </c>
      <c r="AA32" t="s">
        <v>63</v>
      </c>
      <c r="AB32">
        <v>3</v>
      </c>
      <c r="AD32">
        <v>3</v>
      </c>
      <c r="AE32" t="s">
        <v>72</v>
      </c>
      <c r="AF32" t="s">
        <v>146</v>
      </c>
      <c r="AG32" t="s">
        <v>148</v>
      </c>
      <c r="AH32" t="s">
        <v>150</v>
      </c>
      <c r="AI32">
        <v>0</v>
      </c>
      <c r="AJ32">
        <v>53</v>
      </c>
    </row>
    <row r="33" spans="1:36" x14ac:dyDescent="0.25">
      <c r="A33" t="s">
        <v>776</v>
      </c>
      <c r="B33">
        <v>31</v>
      </c>
      <c r="C33" t="s">
        <v>53</v>
      </c>
      <c r="D33">
        <v>3</v>
      </c>
      <c r="E33">
        <v>3</v>
      </c>
      <c r="F33">
        <v>3</v>
      </c>
      <c r="G33" t="s">
        <v>112</v>
      </c>
      <c r="H33" t="s">
        <v>55</v>
      </c>
      <c r="I33" t="s">
        <v>97</v>
      </c>
      <c r="J33" t="s">
        <v>98</v>
      </c>
      <c r="K33" t="s">
        <v>43</v>
      </c>
      <c r="L33">
        <v>1</v>
      </c>
      <c r="N33">
        <v>1</v>
      </c>
      <c r="O33" t="s">
        <v>44</v>
      </c>
      <c r="P33" t="s">
        <v>136</v>
      </c>
      <c r="Q33" t="s">
        <v>100</v>
      </c>
      <c r="R33" t="s">
        <v>138</v>
      </c>
      <c r="S33" t="s">
        <v>45</v>
      </c>
      <c r="T33">
        <v>3</v>
      </c>
      <c r="V33">
        <v>3</v>
      </c>
      <c r="W33" t="s">
        <v>86</v>
      </c>
      <c r="X33" t="s">
        <v>141</v>
      </c>
      <c r="Y33" t="s">
        <v>142</v>
      </c>
      <c r="Z33" t="s">
        <v>94</v>
      </c>
      <c r="AA33" t="s">
        <v>63</v>
      </c>
      <c r="AB33">
        <v>3</v>
      </c>
      <c r="AD33">
        <v>3</v>
      </c>
      <c r="AE33" t="s">
        <v>103</v>
      </c>
      <c r="AF33" t="s">
        <v>95</v>
      </c>
      <c r="AG33" t="s">
        <v>147</v>
      </c>
      <c r="AH33" t="s">
        <v>150</v>
      </c>
      <c r="AI33">
        <v>0</v>
      </c>
      <c r="AJ33">
        <v>69</v>
      </c>
    </row>
    <row r="34" spans="1:36" x14ac:dyDescent="0.25">
      <c r="A34" t="s">
        <v>777</v>
      </c>
      <c r="B34">
        <v>32</v>
      </c>
      <c r="C34" t="s">
        <v>43</v>
      </c>
      <c r="D34">
        <v>3</v>
      </c>
      <c r="F34">
        <v>3</v>
      </c>
      <c r="G34" t="s">
        <v>73</v>
      </c>
      <c r="H34" t="s">
        <v>136</v>
      </c>
      <c r="I34" t="s">
        <v>137</v>
      </c>
      <c r="J34" t="s">
        <v>138</v>
      </c>
      <c r="K34" t="s">
        <v>53</v>
      </c>
      <c r="L34">
        <v>3</v>
      </c>
      <c r="M34">
        <v>3</v>
      </c>
      <c r="N34">
        <v>3</v>
      </c>
      <c r="O34" t="s">
        <v>112</v>
      </c>
      <c r="P34" t="s">
        <v>55</v>
      </c>
      <c r="Q34" t="s">
        <v>105</v>
      </c>
      <c r="R34" t="s">
        <v>98</v>
      </c>
      <c r="S34" t="s">
        <v>45</v>
      </c>
      <c r="T34">
        <v>3</v>
      </c>
      <c r="V34">
        <v>1</v>
      </c>
      <c r="W34" t="s">
        <v>86</v>
      </c>
      <c r="X34" t="s">
        <v>141</v>
      </c>
      <c r="AA34" t="s">
        <v>38</v>
      </c>
      <c r="AB34">
        <v>3</v>
      </c>
      <c r="AC34">
        <v>1</v>
      </c>
      <c r="AD34">
        <v>3</v>
      </c>
      <c r="AE34" t="s">
        <v>39</v>
      </c>
      <c r="AF34" t="s">
        <v>40</v>
      </c>
      <c r="AG34" t="s">
        <v>153</v>
      </c>
      <c r="AH34" t="s">
        <v>155</v>
      </c>
      <c r="AI34">
        <v>0</v>
      </c>
      <c r="AJ34">
        <v>36</v>
      </c>
    </row>
    <row r="35" spans="1:36" x14ac:dyDescent="0.25">
      <c r="A35" t="s">
        <v>778</v>
      </c>
      <c r="B35">
        <v>33</v>
      </c>
      <c r="C35" t="s">
        <v>38</v>
      </c>
      <c r="D35">
        <v>3</v>
      </c>
      <c r="E35">
        <v>3</v>
      </c>
      <c r="F35">
        <v>3</v>
      </c>
      <c r="G35" t="s">
        <v>39</v>
      </c>
      <c r="H35" t="s">
        <v>40</v>
      </c>
      <c r="I35" t="s">
        <v>153</v>
      </c>
      <c r="J35" t="s">
        <v>156</v>
      </c>
      <c r="K35" t="s">
        <v>53</v>
      </c>
      <c r="L35">
        <v>3</v>
      </c>
      <c r="M35">
        <v>3</v>
      </c>
      <c r="N35">
        <v>3</v>
      </c>
      <c r="O35" t="s">
        <v>112</v>
      </c>
      <c r="P35" t="s">
        <v>83</v>
      </c>
      <c r="Q35" t="s">
        <v>97</v>
      </c>
      <c r="R35" t="s">
        <v>98</v>
      </c>
      <c r="S35" t="s">
        <v>43</v>
      </c>
      <c r="T35">
        <v>3</v>
      </c>
      <c r="V35">
        <v>3</v>
      </c>
      <c r="W35" t="s">
        <v>44</v>
      </c>
      <c r="X35" t="s">
        <v>136</v>
      </c>
      <c r="Y35" t="s">
        <v>137</v>
      </c>
      <c r="Z35" t="s">
        <v>138</v>
      </c>
      <c r="AA35" t="s">
        <v>63</v>
      </c>
      <c r="AB35">
        <v>3</v>
      </c>
      <c r="AD35">
        <v>3</v>
      </c>
      <c r="AE35" t="s">
        <v>103</v>
      </c>
      <c r="AF35" t="s">
        <v>95</v>
      </c>
      <c r="AG35" t="s">
        <v>147</v>
      </c>
      <c r="AH35" t="s">
        <v>151</v>
      </c>
      <c r="AI35">
        <v>0</v>
      </c>
      <c r="AJ35">
        <v>70</v>
      </c>
    </row>
    <row r="36" spans="1:36" x14ac:dyDescent="0.25">
      <c r="A36" t="s">
        <v>779</v>
      </c>
      <c r="B36">
        <v>34</v>
      </c>
      <c r="C36" t="s">
        <v>45</v>
      </c>
      <c r="D36">
        <v>3</v>
      </c>
      <c r="F36">
        <v>3</v>
      </c>
      <c r="G36" t="s">
        <v>86</v>
      </c>
      <c r="H36" t="s">
        <v>76</v>
      </c>
      <c r="I36" t="s">
        <v>102</v>
      </c>
      <c r="J36" t="s">
        <v>143</v>
      </c>
      <c r="K36" t="s">
        <v>53</v>
      </c>
      <c r="L36">
        <v>3</v>
      </c>
      <c r="M36">
        <v>3</v>
      </c>
      <c r="N36">
        <v>3</v>
      </c>
      <c r="O36" t="s">
        <v>112</v>
      </c>
      <c r="P36" t="s">
        <v>83</v>
      </c>
      <c r="Q36" t="s">
        <v>105</v>
      </c>
      <c r="R36" t="s">
        <v>98</v>
      </c>
      <c r="S36" t="s">
        <v>63</v>
      </c>
      <c r="T36">
        <v>3</v>
      </c>
      <c r="V36">
        <v>3</v>
      </c>
      <c r="W36" t="s">
        <v>103</v>
      </c>
      <c r="X36" t="s">
        <v>95</v>
      </c>
      <c r="Y36" t="s">
        <v>147</v>
      </c>
      <c r="Z36" t="s">
        <v>149</v>
      </c>
      <c r="AA36" t="s">
        <v>38</v>
      </c>
      <c r="AB36">
        <v>3</v>
      </c>
      <c r="AC36">
        <v>3</v>
      </c>
      <c r="AD36">
        <v>3</v>
      </c>
      <c r="AE36" t="s">
        <v>39</v>
      </c>
      <c r="AF36" t="s">
        <v>40</v>
      </c>
      <c r="AG36" t="s">
        <v>153</v>
      </c>
      <c r="AH36" t="s">
        <v>156</v>
      </c>
      <c r="AI36">
        <v>0</v>
      </c>
      <c r="AJ36">
        <v>50</v>
      </c>
    </row>
    <row r="37" spans="1:36" x14ac:dyDescent="0.25">
      <c r="A37" t="s">
        <v>780</v>
      </c>
      <c r="B37">
        <v>35</v>
      </c>
      <c r="C37" t="s">
        <v>33</v>
      </c>
      <c r="D37">
        <v>1</v>
      </c>
      <c r="F37">
        <v>2</v>
      </c>
      <c r="G37" t="s">
        <v>65</v>
      </c>
      <c r="H37" t="s">
        <v>130</v>
      </c>
      <c r="I37" t="s">
        <v>36</v>
      </c>
      <c r="J37" t="s">
        <v>37</v>
      </c>
      <c r="K37" t="s">
        <v>56</v>
      </c>
      <c r="L37">
        <v>1</v>
      </c>
      <c r="N37">
        <v>2</v>
      </c>
      <c r="O37" t="s">
        <v>120</v>
      </c>
      <c r="P37" t="s">
        <v>69</v>
      </c>
      <c r="Q37" t="s">
        <v>87</v>
      </c>
      <c r="R37" t="s">
        <v>125</v>
      </c>
      <c r="S37" t="s">
        <v>48</v>
      </c>
      <c r="T37">
        <v>2</v>
      </c>
      <c r="V37">
        <v>1</v>
      </c>
      <c r="W37" t="s">
        <v>126</v>
      </c>
      <c r="X37" t="s">
        <v>84</v>
      </c>
      <c r="Y37" t="s">
        <v>127</v>
      </c>
      <c r="AA37" t="s">
        <v>43</v>
      </c>
      <c r="AB37">
        <v>2</v>
      </c>
      <c r="AD37">
        <v>3</v>
      </c>
      <c r="AE37" t="s">
        <v>44</v>
      </c>
      <c r="AF37" t="s">
        <v>136</v>
      </c>
      <c r="AI37">
        <v>0</v>
      </c>
      <c r="AJ37">
        <v>20</v>
      </c>
    </row>
    <row r="38" spans="1:36" x14ac:dyDescent="0.25">
      <c r="A38" t="s">
        <v>781</v>
      </c>
      <c r="B38">
        <v>36</v>
      </c>
      <c r="C38" t="s">
        <v>33</v>
      </c>
      <c r="D38">
        <v>3</v>
      </c>
      <c r="F38">
        <v>3</v>
      </c>
      <c r="G38" t="s">
        <v>65</v>
      </c>
      <c r="H38" t="s">
        <v>130</v>
      </c>
      <c r="I38" t="s">
        <v>36</v>
      </c>
      <c r="J38" t="s">
        <v>133</v>
      </c>
      <c r="K38" t="s">
        <v>56</v>
      </c>
      <c r="L38">
        <v>3</v>
      </c>
      <c r="N38">
        <v>3</v>
      </c>
      <c r="O38" t="s">
        <v>120</v>
      </c>
      <c r="P38" t="s">
        <v>69</v>
      </c>
      <c r="Q38" t="s">
        <v>87</v>
      </c>
      <c r="R38" t="s">
        <v>124</v>
      </c>
      <c r="S38" t="s">
        <v>48</v>
      </c>
      <c r="T38">
        <v>3</v>
      </c>
      <c r="V38">
        <v>3</v>
      </c>
      <c r="W38" t="s">
        <v>126</v>
      </c>
      <c r="X38" t="s">
        <v>84</v>
      </c>
      <c r="Y38" t="s">
        <v>127</v>
      </c>
      <c r="Z38" t="s">
        <v>128</v>
      </c>
      <c r="AA38" t="s">
        <v>45</v>
      </c>
      <c r="AB38">
        <v>3</v>
      </c>
      <c r="AD38">
        <v>1</v>
      </c>
      <c r="AE38" t="s">
        <v>47</v>
      </c>
      <c r="AI38">
        <v>0</v>
      </c>
      <c r="AJ38">
        <v>31</v>
      </c>
    </row>
    <row r="39" spans="1:36" x14ac:dyDescent="0.25">
      <c r="A39" t="s">
        <v>782</v>
      </c>
      <c r="B39">
        <v>37</v>
      </c>
      <c r="C39" t="s">
        <v>63</v>
      </c>
      <c r="D39">
        <v>3</v>
      </c>
      <c r="F39">
        <v>3</v>
      </c>
      <c r="G39" t="s">
        <v>72</v>
      </c>
      <c r="H39" t="s">
        <v>146</v>
      </c>
      <c r="I39" t="s">
        <v>148</v>
      </c>
      <c r="J39" t="s">
        <v>149</v>
      </c>
      <c r="K39" t="s">
        <v>56</v>
      </c>
      <c r="L39">
        <v>2</v>
      </c>
      <c r="N39">
        <v>2</v>
      </c>
      <c r="O39" t="s">
        <v>120</v>
      </c>
      <c r="P39" t="s">
        <v>69</v>
      </c>
      <c r="Q39" t="s">
        <v>87</v>
      </c>
      <c r="R39" t="s">
        <v>88</v>
      </c>
      <c r="S39" t="s">
        <v>48</v>
      </c>
      <c r="T39">
        <v>3</v>
      </c>
      <c r="V39">
        <v>3</v>
      </c>
      <c r="W39" t="s">
        <v>126</v>
      </c>
      <c r="X39" t="s">
        <v>71</v>
      </c>
      <c r="Y39" t="s">
        <v>127</v>
      </c>
      <c r="Z39" t="s">
        <v>52</v>
      </c>
      <c r="AA39" t="s">
        <v>33</v>
      </c>
      <c r="AB39">
        <v>3</v>
      </c>
      <c r="AD39">
        <v>2</v>
      </c>
      <c r="AE39" t="s">
        <v>34</v>
      </c>
      <c r="AF39" t="s">
        <v>130</v>
      </c>
      <c r="AG39" t="s">
        <v>131</v>
      </c>
      <c r="AH39" t="s">
        <v>133</v>
      </c>
      <c r="AI39">
        <v>0</v>
      </c>
      <c r="AJ39">
        <v>43</v>
      </c>
    </row>
    <row r="40" spans="1:36" x14ac:dyDescent="0.25">
      <c r="A40" t="s">
        <v>783</v>
      </c>
      <c r="B40">
        <v>38</v>
      </c>
      <c r="C40" t="s">
        <v>33</v>
      </c>
      <c r="D40">
        <v>3</v>
      </c>
      <c r="F40">
        <v>3</v>
      </c>
      <c r="G40" t="s">
        <v>65</v>
      </c>
      <c r="H40" t="s">
        <v>130</v>
      </c>
      <c r="I40" t="s">
        <v>36</v>
      </c>
      <c r="J40" t="s">
        <v>133</v>
      </c>
      <c r="K40" t="s">
        <v>56</v>
      </c>
      <c r="L40">
        <v>3</v>
      </c>
      <c r="N40">
        <v>3</v>
      </c>
      <c r="O40" t="s">
        <v>120</v>
      </c>
      <c r="P40" t="s">
        <v>69</v>
      </c>
      <c r="Q40" t="s">
        <v>87</v>
      </c>
      <c r="R40" t="s">
        <v>125</v>
      </c>
      <c r="S40" t="s">
        <v>48</v>
      </c>
      <c r="T40">
        <v>3</v>
      </c>
      <c r="V40">
        <v>3</v>
      </c>
      <c r="W40" t="s">
        <v>126</v>
      </c>
      <c r="X40" t="s">
        <v>84</v>
      </c>
      <c r="Y40" t="s">
        <v>127</v>
      </c>
      <c r="Z40" t="s">
        <v>128</v>
      </c>
      <c r="AA40" t="s">
        <v>38</v>
      </c>
      <c r="AB40">
        <v>3</v>
      </c>
      <c r="AC40">
        <v>3</v>
      </c>
      <c r="AD40">
        <v>3</v>
      </c>
      <c r="AE40" t="s">
        <v>39</v>
      </c>
      <c r="AF40" t="s">
        <v>40</v>
      </c>
      <c r="AG40" t="s">
        <v>153</v>
      </c>
      <c r="AH40" t="s">
        <v>156</v>
      </c>
      <c r="AI40">
        <v>0</v>
      </c>
      <c r="AJ40">
        <v>52</v>
      </c>
    </row>
    <row r="41" spans="1:36" x14ac:dyDescent="0.25">
      <c r="A41" t="s">
        <v>784</v>
      </c>
      <c r="B41">
        <v>39</v>
      </c>
      <c r="C41" t="s">
        <v>56</v>
      </c>
      <c r="D41">
        <v>2</v>
      </c>
      <c r="F41">
        <v>3</v>
      </c>
      <c r="G41" t="s">
        <v>120</v>
      </c>
      <c r="H41" t="s">
        <v>69</v>
      </c>
      <c r="I41" t="s">
        <v>87</v>
      </c>
      <c r="K41" t="s">
        <v>48</v>
      </c>
      <c r="L41">
        <v>3</v>
      </c>
      <c r="N41">
        <v>1</v>
      </c>
      <c r="O41" t="s">
        <v>126</v>
      </c>
      <c r="P41" t="s">
        <v>71</v>
      </c>
      <c r="Q41" t="s">
        <v>127</v>
      </c>
      <c r="R41" t="s">
        <v>128</v>
      </c>
      <c r="S41" t="s">
        <v>43</v>
      </c>
      <c r="T41">
        <v>3</v>
      </c>
      <c r="V41">
        <v>1</v>
      </c>
      <c r="W41" t="s">
        <v>44</v>
      </c>
      <c r="X41" t="s">
        <v>136</v>
      </c>
      <c r="Y41" t="s">
        <v>100</v>
      </c>
      <c r="Z41" t="s">
        <v>138</v>
      </c>
      <c r="AA41" t="s">
        <v>45</v>
      </c>
      <c r="AB41">
        <v>3</v>
      </c>
      <c r="AD41">
        <v>2</v>
      </c>
      <c r="AE41" t="s">
        <v>47</v>
      </c>
      <c r="AF41" t="s">
        <v>141</v>
      </c>
      <c r="AG41" t="s">
        <v>142</v>
      </c>
      <c r="AH41" t="s">
        <v>144</v>
      </c>
      <c r="AI41">
        <v>0</v>
      </c>
      <c r="AJ41">
        <v>26</v>
      </c>
    </row>
    <row r="42" spans="1:36" x14ac:dyDescent="0.25">
      <c r="A42" t="s">
        <v>785</v>
      </c>
      <c r="B42">
        <v>40</v>
      </c>
      <c r="C42" t="s">
        <v>63</v>
      </c>
      <c r="D42">
        <v>3</v>
      </c>
      <c r="F42">
        <v>3</v>
      </c>
      <c r="G42" t="s">
        <v>72</v>
      </c>
      <c r="H42" t="s">
        <v>146</v>
      </c>
      <c r="I42" t="s">
        <v>148</v>
      </c>
      <c r="J42" t="s">
        <v>149</v>
      </c>
      <c r="K42" t="s">
        <v>56</v>
      </c>
      <c r="L42">
        <v>3</v>
      </c>
      <c r="N42">
        <v>3</v>
      </c>
      <c r="O42" t="s">
        <v>120</v>
      </c>
      <c r="P42" t="s">
        <v>69</v>
      </c>
      <c r="Q42" t="s">
        <v>123</v>
      </c>
      <c r="R42" t="s">
        <v>88</v>
      </c>
      <c r="S42" t="s">
        <v>48</v>
      </c>
      <c r="T42">
        <v>3</v>
      </c>
      <c r="V42">
        <v>3</v>
      </c>
      <c r="W42" t="s">
        <v>126</v>
      </c>
      <c r="X42" t="s">
        <v>71</v>
      </c>
      <c r="Y42" t="s">
        <v>127</v>
      </c>
      <c r="Z42" t="s">
        <v>52</v>
      </c>
      <c r="AA42" t="s">
        <v>43</v>
      </c>
      <c r="AB42">
        <v>1</v>
      </c>
      <c r="AD42">
        <v>1</v>
      </c>
      <c r="AE42" t="s">
        <v>44</v>
      </c>
      <c r="AF42" t="s">
        <v>136</v>
      </c>
      <c r="AG42" t="s">
        <v>137</v>
      </c>
      <c r="AH42" t="s">
        <v>138</v>
      </c>
      <c r="AI42">
        <v>0</v>
      </c>
      <c r="AJ42">
        <v>33</v>
      </c>
    </row>
    <row r="43" spans="1:36" x14ac:dyDescent="0.25">
      <c r="A43" t="s">
        <v>786</v>
      </c>
      <c r="B43">
        <v>41</v>
      </c>
      <c r="C43" t="s">
        <v>38</v>
      </c>
      <c r="D43">
        <v>3</v>
      </c>
      <c r="E43">
        <v>3</v>
      </c>
      <c r="F43">
        <v>3</v>
      </c>
      <c r="G43" t="s">
        <v>39</v>
      </c>
      <c r="H43" t="s">
        <v>40</v>
      </c>
      <c r="I43" t="s">
        <v>153</v>
      </c>
      <c r="J43" t="s">
        <v>156</v>
      </c>
      <c r="K43" t="s">
        <v>56</v>
      </c>
      <c r="L43">
        <v>3</v>
      </c>
      <c r="N43">
        <v>3</v>
      </c>
      <c r="O43" t="s">
        <v>120</v>
      </c>
      <c r="P43" t="s">
        <v>69</v>
      </c>
      <c r="Q43" t="s">
        <v>87</v>
      </c>
      <c r="R43" t="s">
        <v>88</v>
      </c>
      <c r="S43" t="s">
        <v>48</v>
      </c>
      <c r="T43">
        <v>1</v>
      </c>
      <c r="V43">
        <v>1</v>
      </c>
      <c r="W43" t="s">
        <v>126</v>
      </c>
      <c r="X43" t="s">
        <v>84</v>
      </c>
      <c r="Y43" t="s">
        <v>127</v>
      </c>
      <c r="Z43" t="s">
        <v>128</v>
      </c>
      <c r="AA43" t="s">
        <v>43</v>
      </c>
      <c r="AB43">
        <v>3</v>
      </c>
      <c r="AD43">
        <v>2</v>
      </c>
      <c r="AE43" t="s">
        <v>44</v>
      </c>
      <c r="AF43" t="s">
        <v>74</v>
      </c>
      <c r="AG43" t="s">
        <v>100</v>
      </c>
      <c r="AI43">
        <v>0</v>
      </c>
      <c r="AJ43">
        <v>35</v>
      </c>
    </row>
    <row r="44" spans="1:36" x14ac:dyDescent="0.25">
      <c r="A44" t="s">
        <v>787</v>
      </c>
      <c r="B44">
        <v>42</v>
      </c>
      <c r="C44" t="s">
        <v>45</v>
      </c>
      <c r="D44">
        <v>3</v>
      </c>
      <c r="F44">
        <v>2</v>
      </c>
      <c r="G44" t="s">
        <v>86</v>
      </c>
      <c r="H44" t="s">
        <v>141</v>
      </c>
      <c r="I44" t="s">
        <v>142</v>
      </c>
      <c r="J44" t="s">
        <v>143</v>
      </c>
      <c r="K44" t="s">
        <v>56</v>
      </c>
      <c r="L44">
        <v>3</v>
      </c>
      <c r="N44">
        <v>3</v>
      </c>
      <c r="O44" t="s">
        <v>120</v>
      </c>
      <c r="P44" t="s">
        <v>69</v>
      </c>
      <c r="Q44" t="s">
        <v>87</v>
      </c>
      <c r="R44" t="s">
        <v>88</v>
      </c>
      <c r="S44" t="s">
        <v>48</v>
      </c>
      <c r="T44">
        <v>3</v>
      </c>
      <c r="V44">
        <v>1</v>
      </c>
      <c r="W44" t="s">
        <v>126</v>
      </c>
      <c r="X44" t="s">
        <v>71</v>
      </c>
      <c r="Y44" t="s">
        <v>127</v>
      </c>
      <c r="Z44" t="s">
        <v>52</v>
      </c>
      <c r="AA44" t="s">
        <v>63</v>
      </c>
      <c r="AB44">
        <v>2</v>
      </c>
      <c r="AD44">
        <v>1</v>
      </c>
      <c r="AE44" t="s">
        <v>72</v>
      </c>
      <c r="AF44" t="s">
        <v>146</v>
      </c>
      <c r="AG44" t="s">
        <v>148</v>
      </c>
      <c r="AH44" t="s">
        <v>151</v>
      </c>
      <c r="AI44">
        <v>0</v>
      </c>
      <c r="AJ44">
        <v>28</v>
      </c>
    </row>
    <row r="45" spans="1:36" x14ac:dyDescent="0.25">
      <c r="A45" t="s">
        <v>788</v>
      </c>
      <c r="B45">
        <v>43</v>
      </c>
      <c r="C45" t="s">
        <v>56</v>
      </c>
      <c r="D45">
        <v>3</v>
      </c>
      <c r="F45">
        <v>3</v>
      </c>
      <c r="G45" t="s">
        <v>120</v>
      </c>
      <c r="H45" t="s">
        <v>121</v>
      </c>
      <c r="I45" t="s">
        <v>123</v>
      </c>
      <c r="J45" t="s">
        <v>124</v>
      </c>
      <c r="K45" t="s">
        <v>48</v>
      </c>
      <c r="L45">
        <v>2</v>
      </c>
      <c r="N45">
        <v>3</v>
      </c>
      <c r="O45" t="s">
        <v>126</v>
      </c>
      <c r="P45" t="s">
        <v>84</v>
      </c>
      <c r="Q45" t="s">
        <v>127</v>
      </c>
      <c r="R45" t="s">
        <v>128</v>
      </c>
      <c r="S45" t="s">
        <v>45</v>
      </c>
      <c r="T45">
        <v>3</v>
      </c>
      <c r="V45">
        <v>3</v>
      </c>
      <c r="W45" t="s">
        <v>47</v>
      </c>
      <c r="X45" t="s">
        <v>92</v>
      </c>
      <c r="Y45" t="s">
        <v>142</v>
      </c>
      <c r="Z45" t="s">
        <v>144</v>
      </c>
      <c r="AA45" t="s">
        <v>38</v>
      </c>
      <c r="AB45">
        <v>3</v>
      </c>
      <c r="AC45">
        <v>3</v>
      </c>
      <c r="AD45">
        <v>3</v>
      </c>
      <c r="AE45" t="s">
        <v>39</v>
      </c>
      <c r="AF45" t="s">
        <v>40</v>
      </c>
      <c r="AG45" t="s">
        <v>41</v>
      </c>
      <c r="AH45" t="s">
        <v>156</v>
      </c>
      <c r="AI45">
        <v>0</v>
      </c>
      <c r="AJ45">
        <v>36</v>
      </c>
    </row>
    <row r="46" spans="1:36" x14ac:dyDescent="0.25">
      <c r="A46" t="s">
        <v>789</v>
      </c>
      <c r="B46">
        <v>44</v>
      </c>
      <c r="C46" t="s">
        <v>48</v>
      </c>
      <c r="D46">
        <v>3</v>
      </c>
      <c r="F46">
        <v>3</v>
      </c>
      <c r="G46" t="s">
        <v>126</v>
      </c>
      <c r="H46" t="s">
        <v>71</v>
      </c>
      <c r="I46" t="s">
        <v>51</v>
      </c>
      <c r="J46" t="s">
        <v>128</v>
      </c>
      <c r="K46" t="s">
        <v>56</v>
      </c>
      <c r="L46">
        <v>3</v>
      </c>
      <c r="N46">
        <v>3</v>
      </c>
      <c r="O46" t="s">
        <v>120</v>
      </c>
      <c r="P46" t="s">
        <v>69</v>
      </c>
      <c r="Q46" t="s">
        <v>87</v>
      </c>
      <c r="R46" t="s">
        <v>88</v>
      </c>
      <c r="S46" t="s">
        <v>63</v>
      </c>
      <c r="T46">
        <v>3</v>
      </c>
      <c r="V46">
        <v>2</v>
      </c>
      <c r="W46" t="s">
        <v>72</v>
      </c>
      <c r="X46" t="s">
        <v>146</v>
      </c>
      <c r="Y46" t="s">
        <v>148</v>
      </c>
      <c r="Z46" t="s">
        <v>151</v>
      </c>
      <c r="AA46" t="s">
        <v>38</v>
      </c>
      <c r="AB46">
        <v>3</v>
      </c>
      <c r="AC46">
        <v>3</v>
      </c>
      <c r="AD46">
        <v>3</v>
      </c>
      <c r="AE46" t="s">
        <v>39</v>
      </c>
      <c r="AF46" t="s">
        <v>40</v>
      </c>
      <c r="AG46" t="s">
        <v>41</v>
      </c>
      <c r="AH46" t="s">
        <v>156</v>
      </c>
      <c r="AI46">
        <v>0</v>
      </c>
      <c r="AJ46">
        <v>47</v>
      </c>
    </row>
    <row r="47" spans="1:36" x14ac:dyDescent="0.25">
      <c r="A47" t="s">
        <v>790</v>
      </c>
      <c r="B47">
        <v>45</v>
      </c>
      <c r="C47" t="s">
        <v>56</v>
      </c>
      <c r="D47">
        <v>3</v>
      </c>
      <c r="F47">
        <v>3</v>
      </c>
      <c r="G47" t="s">
        <v>120</v>
      </c>
      <c r="H47" t="s">
        <v>69</v>
      </c>
      <c r="I47" t="s">
        <v>87</v>
      </c>
      <c r="J47" t="s">
        <v>88</v>
      </c>
      <c r="K47" t="s">
        <v>33</v>
      </c>
      <c r="L47">
        <v>1</v>
      </c>
      <c r="N47">
        <v>3</v>
      </c>
      <c r="O47" t="s">
        <v>65</v>
      </c>
      <c r="P47" t="s">
        <v>130</v>
      </c>
      <c r="Q47" t="s">
        <v>131</v>
      </c>
      <c r="R47" t="s">
        <v>133</v>
      </c>
      <c r="S47" t="s">
        <v>43</v>
      </c>
      <c r="T47">
        <v>1</v>
      </c>
      <c r="V47">
        <v>1</v>
      </c>
      <c r="W47" t="s">
        <v>44</v>
      </c>
      <c r="X47" t="s">
        <v>136</v>
      </c>
      <c r="Y47" t="s">
        <v>100</v>
      </c>
      <c r="AA47" t="s">
        <v>45</v>
      </c>
      <c r="AB47">
        <v>3</v>
      </c>
      <c r="AD47">
        <v>3</v>
      </c>
      <c r="AE47" t="s">
        <v>86</v>
      </c>
      <c r="AF47" t="s">
        <v>76</v>
      </c>
      <c r="AG47" t="s">
        <v>142</v>
      </c>
      <c r="AH47" t="s">
        <v>144</v>
      </c>
      <c r="AI47">
        <v>0</v>
      </c>
      <c r="AJ47">
        <v>27</v>
      </c>
    </row>
    <row r="48" spans="1:36" x14ac:dyDescent="0.25">
      <c r="A48" t="s">
        <v>791</v>
      </c>
      <c r="B48">
        <v>46</v>
      </c>
      <c r="C48" t="s">
        <v>33</v>
      </c>
      <c r="D48">
        <v>3</v>
      </c>
      <c r="F48">
        <v>3</v>
      </c>
      <c r="G48" t="s">
        <v>34</v>
      </c>
      <c r="H48" t="s">
        <v>66</v>
      </c>
      <c r="I48" t="s">
        <v>132</v>
      </c>
      <c r="J48" t="s">
        <v>133</v>
      </c>
      <c r="K48" t="s">
        <v>56</v>
      </c>
      <c r="L48">
        <v>3</v>
      </c>
      <c r="N48">
        <v>3</v>
      </c>
      <c r="O48" t="s">
        <v>120</v>
      </c>
      <c r="P48" t="s">
        <v>69</v>
      </c>
      <c r="Q48" t="s">
        <v>87</v>
      </c>
      <c r="R48" t="s">
        <v>125</v>
      </c>
      <c r="S48" t="s">
        <v>43</v>
      </c>
      <c r="T48">
        <v>1</v>
      </c>
      <c r="V48">
        <v>1</v>
      </c>
      <c r="W48" t="s">
        <v>44</v>
      </c>
      <c r="X48" t="s">
        <v>136</v>
      </c>
      <c r="Y48" t="s">
        <v>137</v>
      </c>
      <c r="Z48" t="s">
        <v>139</v>
      </c>
      <c r="AA48" t="s">
        <v>63</v>
      </c>
      <c r="AB48">
        <v>2</v>
      </c>
      <c r="AD48">
        <v>3</v>
      </c>
      <c r="AE48" t="s">
        <v>145</v>
      </c>
      <c r="AF48" t="s">
        <v>146</v>
      </c>
      <c r="AG48" t="s">
        <v>104</v>
      </c>
      <c r="AI48">
        <v>0</v>
      </c>
      <c r="AJ48">
        <v>29</v>
      </c>
    </row>
    <row r="49" spans="1:36" x14ac:dyDescent="0.25">
      <c r="A49" t="s">
        <v>792</v>
      </c>
      <c r="B49">
        <v>47</v>
      </c>
      <c r="C49" t="s">
        <v>38</v>
      </c>
      <c r="D49">
        <v>3</v>
      </c>
      <c r="E49">
        <v>2</v>
      </c>
      <c r="F49">
        <v>3</v>
      </c>
      <c r="G49" t="s">
        <v>39</v>
      </c>
      <c r="H49" t="s">
        <v>40</v>
      </c>
      <c r="I49" t="s">
        <v>153</v>
      </c>
      <c r="J49" t="s">
        <v>156</v>
      </c>
      <c r="K49" t="s">
        <v>56</v>
      </c>
      <c r="L49">
        <v>3</v>
      </c>
      <c r="N49">
        <v>3</v>
      </c>
      <c r="O49" t="s">
        <v>120</v>
      </c>
      <c r="P49" t="s">
        <v>69</v>
      </c>
      <c r="Q49" t="s">
        <v>87</v>
      </c>
      <c r="R49" t="s">
        <v>125</v>
      </c>
      <c r="S49" t="s">
        <v>33</v>
      </c>
      <c r="T49">
        <v>2</v>
      </c>
      <c r="V49">
        <v>3</v>
      </c>
      <c r="W49" t="s">
        <v>65</v>
      </c>
      <c r="X49" t="s">
        <v>66</v>
      </c>
      <c r="Y49" t="s">
        <v>131</v>
      </c>
      <c r="Z49" t="s">
        <v>133</v>
      </c>
      <c r="AA49" t="s">
        <v>43</v>
      </c>
      <c r="AB49">
        <v>1</v>
      </c>
      <c r="AD49">
        <v>2</v>
      </c>
      <c r="AE49" t="s">
        <v>44</v>
      </c>
      <c r="AF49" t="s">
        <v>136</v>
      </c>
      <c r="AG49" t="s">
        <v>100</v>
      </c>
      <c r="AH49" t="s">
        <v>138</v>
      </c>
      <c r="AI49">
        <v>0</v>
      </c>
      <c r="AJ49">
        <v>31</v>
      </c>
    </row>
    <row r="50" spans="1:36" x14ac:dyDescent="0.25">
      <c r="A50" t="s">
        <v>793</v>
      </c>
      <c r="B50">
        <v>48</v>
      </c>
      <c r="C50" t="s">
        <v>45</v>
      </c>
      <c r="D50">
        <v>3</v>
      </c>
      <c r="F50">
        <v>2</v>
      </c>
      <c r="G50" t="s">
        <v>86</v>
      </c>
      <c r="H50" t="s">
        <v>76</v>
      </c>
      <c r="I50" t="s">
        <v>102</v>
      </c>
      <c r="J50" t="s">
        <v>144</v>
      </c>
      <c r="K50" t="s">
        <v>56</v>
      </c>
      <c r="L50">
        <v>2</v>
      </c>
      <c r="N50">
        <v>3</v>
      </c>
      <c r="O50" t="s">
        <v>120</v>
      </c>
      <c r="P50" t="s">
        <v>69</v>
      </c>
      <c r="Q50" t="s">
        <v>87</v>
      </c>
      <c r="R50" t="s">
        <v>125</v>
      </c>
      <c r="S50" t="s">
        <v>33</v>
      </c>
      <c r="T50">
        <v>2</v>
      </c>
      <c r="V50">
        <v>3</v>
      </c>
      <c r="W50" t="s">
        <v>65</v>
      </c>
      <c r="X50" t="s">
        <v>35</v>
      </c>
      <c r="Y50" t="s">
        <v>131</v>
      </c>
      <c r="Z50" t="s">
        <v>37</v>
      </c>
      <c r="AA50" t="s">
        <v>63</v>
      </c>
      <c r="AB50">
        <v>1</v>
      </c>
      <c r="AD50">
        <v>1</v>
      </c>
      <c r="AE50" t="s">
        <v>145</v>
      </c>
      <c r="AF50" t="s">
        <v>146</v>
      </c>
      <c r="AG50" t="s">
        <v>148</v>
      </c>
      <c r="AH50" t="s">
        <v>150</v>
      </c>
      <c r="AI50">
        <v>0</v>
      </c>
      <c r="AJ50">
        <v>26</v>
      </c>
    </row>
    <row r="51" spans="1:36" x14ac:dyDescent="0.25">
      <c r="A51" t="s">
        <v>794</v>
      </c>
      <c r="B51">
        <v>49</v>
      </c>
      <c r="C51" t="s">
        <v>56</v>
      </c>
      <c r="D51">
        <v>3</v>
      </c>
      <c r="F51">
        <v>3</v>
      </c>
      <c r="G51" t="s">
        <v>120</v>
      </c>
      <c r="H51" t="s">
        <v>69</v>
      </c>
      <c r="I51" t="s">
        <v>87</v>
      </c>
      <c r="J51" t="s">
        <v>125</v>
      </c>
      <c r="K51" t="s">
        <v>33</v>
      </c>
      <c r="L51">
        <v>1</v>
      </c>
      <c r="N51">
        <v>3</v>
      </c>
      <c r="O51" t="s">
        <v>65</v>
      </c>
      <c r="P51" t="s">
        <v>35</v>
      </c>
      <c r="Q51" t="s">
        <v>131</v>
      </c>
      <c r="R51" t="s">
        <v>133</v>
      </c>
      <c r="S51" t="s">
        <v>45</v>
      </c>
      <c r="T51">
        <v>3</v>
      </c>
      <c r="V51">
        <v>3</v>
      </c>
      <c r="W51" t="s">
        <v>86</v>
      </c>
      <c r="X51" t="s">
        <v>141</v>
      </c>
      <c r="Y51" t="s">
        <v>142</v>
      </c>
      <c r="Z51" t="s">
        <v>144</v>
      </c>
      <c r="AA51" t="s">
        <v>38</v>
      </c>
      <c r="AB51">
        <v>3</v>
      </c>
      <c r="AC51">
        <v>3</v>
      </c>
      <c r="AD51">
        <v>3</v>
      </c>
      <c r="AE51" t="s">
        <v>39</v>
      </c>
      <c r="AF51" t="s">
        <v>96</v>
      </c>
      <c r="AG51" t="s">
        <v>153</v>
      </c>
      <c r="AH51" t="s">
        <v>156</v>
      </c>
      <c r="AI51">
        <v>0</v>
      </c>
      <c r="AJ51">
        <v>34</v>
      </c>
    </row>
    <row r="52" spans="1:36" x14ac:dyDescent="0.25">
      <c r="A52" t="s">
        <v>795</v>
      </c>
      <c r="B52">
        <v>50</v>
      </c>
      <c r="C52" t="s">
        <v>38</v>
      </c>
      <c r="D52">
        <v>3</v>
      </c>
      <c r="E52">
        <v>2</v>
      </c>
      <c r="F52">
        <v>3</v>
      </c>
      <c r="G52" t="s">
        <v>39</v>
      </c>
      <c r="H52" t="s">
        <v>40</v>
      </c>
      <c r="I52" t="s">
        <v>41</v>
      </c>
      <c r="J52" t="s">
        <v>156</v>
      </c>
      <c r="K52" t="s">
        <v>56</v>
      </c>
      <c r="L52">
        <v>3</v>
      </c>
      <c r="N52">
        <v>3</v>
      </c>
      <c r="O52" t="s">
        <v>120</v>
      </c>
      <c r="P52" t="s">
        <v>69</v>
      </c>
      <c r="Q52" t="s">
        <v>87</v>
      </c>
      <c r="R52" t="s">
        <v>88</v>
      </c>
      <c r="S52" t="s">
        <v>33</v>
      </c>
      <c r="T52">
        <v>2</v>
      </c>
      <c r="V52">
        <v>3</v>
      </c>
      <c r="W52" t="s">
        <v>65</v>
      </c>
      <c r="X52" t="s">
        <v>35</v>
      </c>
      <c r="Y52" t="s">
        <v>36</v>
      </c>
      <c r="Z52" t="s">
        <v>133</v>
      </c>
      <c r="AA52" t="s">
        <v>63</v>
      </c>
      <c r="AB52">
        <v>1</v>
      </c>
      <c r="AD52">
        <v>2</v>
      </c>
      <c r="AE52" t="s">
        <v>145</v>
      </c>
      <c r="AF52" t="s">
        <v>146</v>
      </c>
      <c r="AG52" t="s">
        <v>104</v>
      </c>
      <c r="AI52">
        <v>0</v>
      </c>
      <c r="AJ52">
        <v>30</v>
      </c>
    </row>
    <row r="53" spans="1:36" x14ac:dyDescent="0.25">
      <c r="A53" t="s">
        <v>796</v>
      </c>
      <c r="B53">
        <v>51</v>
      </c>
      <c r="C53" t="s">
        <v>63</v>
      </c>
      <c r="D53">
        <v>3</v>
      </c>
      <c r="F53">
        <v>3</v>
      </c>
      <c r="G53" t="s">
        <v>145</v>
      </c>
      <c r="H53" t="s">
        <v>146</v>
      </c>
      <c r="I53" t="s">
        <v>148</v>
      </c>
      <c r="J53" t="s">
        <v>149</v>
      </c>
      <c r="K53" t="s">
        <v>56</v>
      </c>
      <c r="L53">
        <v>3</v>
      </c>
      <c r="N53">
        <v>3</v>
      </c>
      <c r="O53" t="s">
        <v>57</v>
      </c>
      <c r="P53" t="s">
        <v>69</v>
      </c>
      <c r="Q53" t="s">
        <v>87</v>
      </c>
      <c r="R53" t="s">
        <v>124</v>
      </c>
      <c r="S53" t="s">
        <v>43</v>
      </c>
      <c r="T53">
        <v>3</v>
      </c>
      <c r="V53">
        <v>2</v>
      </c>
      <c r="W53" t="s">
        <v>44</v>
      </c>
      <c r="X53" t="s">
        <v>136</v>
      </c>
      <c r="Y53" t="s">
        <v>137</v>
      </c>
      <c r="Z53" t="s">
        <v>139</v>
      </c>
      <c r="AA53" t="s">
        <v>45</v>
      </c>
      <c r="AB53">
        <v>3</v>
      </c>
      <c r="AD53">
        <v>1</v>
      </c>
      <c r="AE53" t="s">
        <v>86</v>
      </c>
      <c r="AF53" t="s">
        <v>141</v>
      </c>
      <c r="AG53" t="s">
        <v>93</v>
      </c>
      <c r="AH53" t="s">
        <v>94</v>
      </c>
      <c r="AI53">
        <v>0</v>
      </c>
      <c r="AJ53">
        <v>35</v>
      </c>
    </row>
    <row r="54" spans="1:36" x14ac:dyDescent="0.25">
      <c r="A54" t="s">
        <v>797</v>
      </c>
      <c r="B54">
        <v>52</v>
      </c>
      <c r="C54" t="s">
        <v>38</v>
      </c>
      <c r="D54">
        <v>3</v>
      </c>
      <c r="E54">
        <v>3</v>
      </c>
      <c r="F54">
        <v>3</v>
      </c>
      <c r="G54" t="s">
        <v>39</v>
      </c>
      <c r="H54" t="s">
        <v>40</v>
      </c>
      <c r="I54" t="s">
        <v>153</v>
      </c>
      <c r="J54" t="s">
        <v>156</v>
      </c>
      <c r="K54" t="s">
        <v>56</v>
      </c>
      <c r="L54">
        <v>3</v>
      </c>
      <c r="N54">
        <v>3</v>
      </c>
      <c r="O54" t="s">
        <v>120</v>
      </c>
      <c r="P54" t="s">
        <v>69</v>
      </c>
      <c r="Q54" t="s">
        <v>87</v>
      </c>
      <c r="R54" t="s">
        <v>88</v>
      </c>
      <c r="S54" t="s">
        <v>43</v>
      </c>
      <c r="T54">
        <v>1</v>
      </c>
      <c r="V54">
        <v>1</v>
      </c>
      <c r="W54" t="s">
        <v>44</v>
      </c>
      <c r="X54" t="s">
        <v>136</v>
      </c>
      <c r="Y54" t="s">
        <v>100</v>
      </c>
      <c r="Z54" t="s">
        <v>138</v>
      </c>
      <c r="AA54" t="s">
        <v>45</v>
      </c>
      <c r="AB54">
        <v>3</v>
      </c>
      <c r="AD54">
        <v>3</v>
      </c>
      <c r="AE54" t="s">
        <v>86</v>
      </c>
      <c r="AF54" t="s">
        <v>141</v>
      </c>
      <c r="AG54" t="s">
        <v>142</v>
      </c>
      <c r="AH54" t="s">
        <v>144</v>
      </c>
      <c r="AI54">
        <v>0</v>
      </c>
      <c r="AJ54">
        <v>47</v>
      </c>
    </row>
    <row r="55" spans="1:36" x14ac:dyDescent="0.25">
      <c r="A55" t="s">
        <v>798</v>
      </c>
      <c r="B55">
        <v>53</v>
      </c>
      <c r="C55" t="s">
        <v>63</v>
      </c>
      <c r="D55">
        <v>3</v>
      </c>
      <c r="F55">
        <v>3</v>
      </c>
      <c r="G55" t="s">
        <v>103</v>
      </c>
      <c r="H55" t="s">
        <v>146</v>
      </c>
      <c r="I55" t="s">
        <v>104</v>
      </c>
      <c r="J55" t="s">
        <v>150</v>
      </c>
      <c r="K55" t="s">
        <v>56</v>
      </c>
      <c r="L55">
        <v>3</v>
      </c>
      <c r="N55">
        <v>3</v>
      </c>
      <c r="O55" t="s">
        <v>120</v>
      </c>
      <c r="P55" t="s">
        <v>69</v>
      </c>
      <c r="Q55" t="s">
        <v>87</v>
      </c>
      <c r="R55" t="s">
        <v>88</v>
      </c>
      <c r="S55" t="s">
        <v>43</v>
      </c>
      <c r="T55">
        <v>2</v>
      </c>
      <c r="V55">
        <v>3</v>
      </c>
      <c r="W55" t="s">
        <v>44</v>
      </c>
      <c r="X55" t="s">
        <v>136</v>
      </c>
      <c r="AA55" t="s">
        <v>38</v>
      </c>
      <c r="AB55">
        <v>3</v>
      </c>
      <c r="AC55">
        <v>3</v>
      </c>
      <c r="AD55">
        <v>3</v>
      </c>
      <c r="AE55" t="s">
        <v>39</v>
      </c>
      <c r="AF55" t="s">
        <v>40</v>
      </c>
      <c r="AG55" t="s">
        <v>41</v>
      </c>
      <c r="AH55" t="s">
        <v>155</v>
      </c>
      <c r="AI55">
        <v>0</v>
      </c>
      <c r="AJ55">
        <v>46</v>
      </c>
    </row>
    <row r="56" spans="1:36" x14ac:dyDescent="0.25">
      <c r="A56" t="s">
        <v>799</v>
      </c>
      <c r="B56">
        <v>54</v>
      </c>
      <c r="C56" t="s">
        <v>56</v>
      </c>
      <c r="D56">
        <v>3</v>
      </c>
      <c r="F56">
        <v>3</v>
      </c>
      <c r="G56" t="s">
        <v>57</v>
      </c>
      <c r="H56" t="s">
        <v>69</v>
      </c>
      <c r="I56" t="s">
        <v>123</v>
      </c>
      <c r="J56" t="s">
        <v>125</v>
      </c>
      <c r="K56" t="s">
        <v>45</v>
      </c>
      <c r="L56">
        <v>3</v>
      </c>
      <c r="N56">
        <v>3</v>
      </c>
      <c r="O56" t="s">
        <v>86</v>
      </c>
      <c r="P56" t="s">
        <v>141</v>
      </c>
      <c r="Q56" t="s">
        <v>142</v>
      </c>
      <c r="R56" t="s">
        <v>94</v>
      </c>
      <c r="S56" t="s">
        <v>63</v>
      </c>
      <c r="T56">
        <v>3</v>
      </c>
      <c r="V56">
        <v>3</v>
      </c>
      <c r="W56" t="s">
        <v>103</v>
      </c>
      <c r="X56" t="s">
        <v>146</v>
      </c>
      <c r="Y56" t="s">
        <v>147</v>
      </c>
      <c r="Z56" t="s">
        <v>151</v>
      </c>
      <c r="AA56" t="s">
        <v>38</v>
      </c>
      <c r="AB56">
        <v>3</v>
      </c>
      <c r="AC56">
        <v>3</v>
      </c>
      <c r="AD56">
        <v>3</v>
      </c>
      <c r="AE56" t="s">
        <v>39</v>
      </c>
      <c r="AF56" t="s">
        <v>40</v>
      </c>
      <c r="AG56" t="s">
        <v>153</v>
      </c>
      <c r="AH56" t="s">
        <v>156</v>
      </c>
      <c r="AI56">
        <v>0</v>
      </c>
      <c r="AJ56">
        <v>64</v>
      </c>
    </row>
    <row r="57" spans="1:36" x14ac:dyDescent="0.25">
      <c r="A57" t="s">
        <v>800</v>
      </c>
      <c r="B57">
        <v>55</v>
      </c>
      <c r="C57" t="s">
        <v>33</v>
      </c>
      <c r="D57">
        <v>3</v>
      </c>
      <c r="F57">
        <v>3</v>
      </c>
      <c r="G57" t="s">
        <v>65</v>
      </c>
      <c r="H57" t="s">
        <v>130</v>
      </c>
      <c r="I57" t="s">
        <v>131</v>
      </c>
      <c r="J57" t="s">
        <v>133</v>
      </c>
      <c r="K57" t="s">
        <v>48</v>
      </c>
      <c r="L57">
        <v>2</v>
      </c>
      <c r="N57">
        <v>3</v>
      </c>
      <c r="O57" t="s">
        <v>126</v>
      </c>
      <c r="P57" t="s">
        <v>71</v>
      </c>
      <c r="S57" t="s">
        <v>43</v>
      </c>
      <c r="T57">
        <v>2</v>
      </c>
      <c r="V57">
        <v>3</v>
      </c>
      <c r="W57" t="s">
        <v>44</v>
      </c>
      <c r="X57" t="s">
        <v>136</v>
      </c>
      <c r="Y57" t="s">
        <v>137</v>
      </c>
      <c r="Z57" t="s">
        <v>138</v>
      </c>
      <c r="AA57" t="s">
        <v>45</v>
      </c>
      <c r="AB57">
        <v>3</v>
      </c>
      <c r="AD57">
        <v>3</v>
      </c>
      <c r="AE57" t="s">
        <v>86</v>
      </c>
      <c r="AF57" t="s">
        <v>141</v>
      </c>
      <c r="AG57" t="s">
        <v>142</v>
      </c>
      <c r="AH57" t="s">
        <v>143</v>
      </c>
      <c r="AI57">
        <v>0</v>
      </c>
      <c r="AJ57">
        <v>40</v>
      </c>
    </row>
    <row r="58" spans="1:36" x14ac:dyDescent="0.25">
      <c r="A58" t="s">
        <v>801</v>
      </c>
      <c r="B58">
        <v>56</v>
      </c>
      <c r="C58" t="s">
        <v>43</v>
      </c>
      <c r="D58">
        <v>3</v>
      </c>
      <c r="F58">
        <v>3</v>
      </c>
      <c r="G58" t="s">
        <v>44</v>
      </c>
      <c r="H58" t="s">
        <v>136</v>
      </c>
      <c r="I58" t="s">
        <v>137</v>
      </c>
      <c r="J58" t="s">
        <v>139</v>
      </c>
      <c r="K58" t="s">
        <v>48</v>
      </c>
      <c r="L58">
        <v>1</v>
      </c>
      <c r="N58">
        <v>1</v>
      </c>
      <c r="O58" t="s">
        <v>126</v>
      </c>
      <c r="P58" t="s">
        <v>84</v>
      </c>
      <c r="Q58" t="s">
        <v>51</v>
      </c>
      <c r="R58" t="s">
        <v>128</v>
      </c>
      <c r="S58" t="s">
        <v>33</v>
      </c>
      <c r="T58">
        <v>3</v>
      </c>
      <c r="V58">
        <v>3</v>
      </c>
      <c r="W58" t="s">
        <v>34</v>
      </c>
      <c r="X58" t="s">
        <v>130</v>
      </c>
      <c r="Y58" t="s">
        <v>132</v>
      </c>
      <c r="AA58" t="s">
        <v>63</v>
      </c>
      <c r="AB58">
        <v>3</v>
      </c>
      <c r="AD58">
        <v>3</v>
      </c>
      <c r="AE58" t="s">
        <v>72</v>
      </c>
      <c r="AF58" t="s">
        <v>146</v>
      </c>
      <c r="AG58" t="s">
        <v>104</v>
      </c>
      <c r="AH58" t="s">
        <v>150</v>
      </c>
      <c r="AI58">
        <v>0</v>
      </c>
      <c r="AJ58">
        <v>28</v>
      </c>
    </row>
    <row r="59" spans="1:36" x14ac:dyDescent="0.25">
      <c r="A59" t="s">
        <v>802</v>
      </c>
      <c r="B59">
        <v>57</v>
      </c>
      <c r="C59" t="s">
        <v>38</v>
      </c>
      <c r="D59">
        <v>3</v>
      </c>
      <c r="E59">
        <v>3</v>
      </c>
      <c r="F59">
        <v>3</v>
      </c>
      <c r="G59" t="s">
        <v>39</v>
      </c>
      <c r="H59" t="s">
        <v>40</v>
      </c>
      <c r="I59" t="s">
        <v>153</v>
      </c>
      <c r="J59" t="s">
        <v>156</v>
      </c>
      <c r="K59" t="s">
        <v>48</v>
      </c>
      <c r="L59">
        <v>1</v>
      </c>
      <c r="N59">
        <v>2</v>
      </c>
      <c r="O59" t="s">
        <v>126</v>
      </c>
      <c r="P59" t="s">
        <v>71</v>
      </c>
      <c r="Q59" t="s">
        <v>51</v>
      </c>
      <c r="R59" t="s">
        <v>128</v>
      </c>
      <c r="S59" t="s">
        <v>33</v>
      </c>
      <c r="T59">
        <v>3</v>
      </c>
      <c r="V59">
        <v>3</v>
      </c>
      <c r="W59" t="s">
        <v>65</v>
      </c>
      <c r="X59" t="s">
        <v>130</v>
      </c>
      <c r="Y59" t="s">
        <v>36</v>
      </c>
      <c r="Z59" t="s">
        <v>133</v>
      </c>
      <c r="AA59" t="s">
        <v>43</v>
      </c>
      <c r="AB59">
        <v>3</v>
      </c>
      <c r="AD59">
        <v>3</v>
      </c>
      <c r="AE59" t="s">
        <v>44</v>
      </c>
      <c r="AF59" t="s">
        <v>136</v>
      </c>
      <c r="AG59" t="s">
        <v>75</v>
      </c>
      <c r="AH59" t="s">
        <v>139</v>
      </c>
      <c r="AI59">
        <v>0</v>
      </c>
      <c r="AJ59">
        <v>40</v>
      </c>
    </row>
    <row r="60" spans="1:36" x14ac:dyDescent="0.25">
      <c r="A60" t="s">
        <v>803</v>
      </c>
      <c r="B60">
        <v>58</v>
      </c>
      <c r="C60" t="s">
        <v>33</v>
      </c>
      <c r="D60">
        <v>3</v>
      </c>
      <c r="F60">
        <v>3</v>
      </c>
      <c r="G60" t="s">
        <v>65</v>
      </c>
      <c r="H60" t="s">
        <v>130</v>
      </c>
      <c r="I60" t="s">
        <v>36</v>
      </c>
      <c r="J60" t="s">
        <v>133</v>
      </c>
      <c r="K60" t="s">
        <v>48</v>
      </c>
      <c r="L60">
        <v>3</v>
      </c>
      <c r="N60">
        <v>3</v>
      </c>
      <c r="O60" t="s">
        <v>126</v>
      </c>
      <c r="P60" t="s">
        <v>84</v>
      </c>
      <c r="Q60" t="s">
        <v>51</v>
      </c>
      <c r="R60" t="s">
        <v>128</v>
      </c>
      <c r="S60" t="s">
        <v>45</v>
      </c>
      <c r="T60">
        <v>3</v>
      </c>
      <c r="V60">
        <v>2</v>
      </c>
      <c r="W60" t="s">
        <v>86</v>
      </c>
      <c r="X60" t="s">
        <v>92</v>
      </c>
      <c r="Y60" t="s">
        <v>102</v>
      </c>
      <c r="AA60" t="s">
        <v>63</v>
      </c>
      <c r="AB60">
        <v>1</v>
      </c>
      <c r="AD60">
        <v>2</v>
      </c>
      <c r="AE60" t="s">
        <v>145</v>
      </c>
      <c r="AF60" t="s">
        <v>146</v>
      </c>
      <c r="AG60" t="s">
        <v>148</v>
      </c>
      <c r="AH60" t="s">
        <v>150</v>
      </c>
      <c r="AI60">
        <v>0</v>
      </c>
      <c r="AJ60">
        <v>30</v>
      </c>
    </row>
    <row r="61" spans="1:36" x14ac:dyDescent="0.25">
      <c r="A61" t="s">
        <v>804</v>
      </c>
      <c r="B61">
        <v>59</v>
      </c>
      <c r="C61" t="s">
        <v>45</v>
      </c>
      <c r="D61">
        <v>3</v>
      </c>
      <c r="F61">
        <v>1</v>
      </c>
      <c r="G61" t="s">
        <v>86</v>
      </c>
      <c r="H61" t="s">
        <v>141</v>
      </c>
      <c r="I61" t="s">
        <v>102</v>
      </c>
      <c r="K61" t="s">
        <v>48</v>
      </c>
      <c r="L61">
        <v>2</v>
      </c>
      <c r="N61">
        <v>2</v>
      </c>
      <c r="O61" t="s">
        <v>126</v>
      </c>
      <c r="P61" t="s">
        <v>71</v>
      </c>
      <c r="S61" t="s">
        <v>33</v>
      </c>
      <c r="T61">
        <v>1</v>
      </c>
      <c r="V61">
        <v>3</v>
      </c>
      <c r="W61" t="s">
        <v>65</v>
      </c>
      <c r="X61" t="s">
        <v>130</v>
      </c>
      <c r="Y61" t="s">
        <v>131</v>
      </c>
      <c r="Z61" t="s">
        <v>133</v>
      </c>
      <c r="AA61" t="s">
        <v>38</v>
      </c>
      <c r="AB61">
        <v>1</v>
      </c>
      <c r="AC61">
        <v>1</v>
      </c>
      <c r="AD61">
        <v>1</v>
      </c>
      <c r="AE61" t="s">
        <v>39</v>
      </c>
      <c r="AF61" t="s">
        <v>40</v>
      </c>
      <c r="AG61" t="s">
        <v>41</v>
      </c>
      <c r="AI61">
        <v>0</v>
      </c>
      <c r="AJ61">
        <v>19</v>
      </c>
    </row>
    <row r="62" spans="1:36" x14ac:dyDescent="0.25">
      <c r="A62" t="s">
        <v>805</v>
      </c>
      <c r="B62">
        <v>60</v>
      </c>
      <c r="C62" t="s">
        <v>38</v>
      </c>
      <c r="D62">
        <v>3</v>
      </c>
      <c r="E62">
        <v>3</v>
      </c>
      <c r="F62">
        <v>3</v>
      </c>
      <c r="G62" t="s">
        <v>39</v>
      </c>
      <c r="H62" t="s">
        <v>40</v>
      </c>
      <c r="I62" t="s">
        <v>41</v>
      </c>
      <c r="J62" t="s">
        <v>156</v>
      </c>
      <c r="K62" t="s">
        <v>48</v>
      </c>
      <c r="L62">
        <v>3</v>
      </c>
      <c r="N62">
        <v>2</v>
      </c>
      <c r="O62" t="s">
        <v>126</v>
      </c>
      <c r="P62" t="s">
        <v>84</v>
      </c>
      <c r="Q62" t="s">
        <v>127</v>
      </c>
      <c r="R62" t="s">
        <v>128</v>
      </c>
      <c r="S62" t="s">
        <v>33</v>
      </c>
      <c r="T62">
        <v>3</v>
      </c>
      <c r="V62">
        <v>3</v>
      </c>
      <c r="W62" t="s">
        <v>34</v>
      </c>
      <c r="X62" t="s">
        <v>130</v>
      </c>
      <c r="Y62" t="s">
        <v>131</v>
      </c>
      <c r="Z62" t="s">
        <v>133</v>
      </c>
      <c r="AA62" t="s">
        <v>63</v>
      </c>
      <c r="AB62">
        <v>3</v>
      </c>
      <c r="AD62">
        <v>3</v>
      </c>
      <c r="AE62" t="s">
        <v>72</v>
      </c>
      <c r="AF62" t="s">
        <v>146</v>
      </c>
      <c r="AG62" t="s">
        <v>147</v>
      </c>
      <c r="AH62" t="s">
        <v>151</v>
      </c>
      <c r="AI62">
        <v>0</v>
      </c>
      <c r="AJ62">
        <v>40</v>
      </c>
    </row>
    <row r="63" spans="1:36" x14ac:dyDescent="0.25">
      <c r="A63" t="s">
        <v>806</v>
      </c>
      <c r="B63">
        <v>61</v>
      </c>
      <c r="C63" t="s">
        <v>43</v>
      </c>
      <c r="D63">
        <v>3</v>
      </c>
      <c r="F63">
        <v>3</v>
      </c>
      <c r="G63" t="s">
        <v>44</v>
      </c>
      <c r="H63" t="s">
        <v>136</v>
      </c>
      <c r="I63" t="s">
        <v>137</v>
      </c>
      <c r="J63" t="s">
        <v>139</v>
      </c>
      <c r="K63" t="s">
        <v>48</v>
      </c>
      <c r="L63">
        <v>2</v>
      </c>
      <c r="N63">
        <v>3</v>
      </c>
      <c r="O63" t="s">
        <v>126</v>
      </c>
      <c r="P63" t="s">
        <v>71</v>
      </c>
      <c r="Q63" t="s">
        <v>127</v>
      </c>
      <c r="R63" t="s">
        <v>52</v>
      </c>
      <c r="S63" t="s">
        <v>45</v>
      </c>
      <c r="T63">
        <v>3</v>
      </c>
      <c r="V63">
        <v>3</v>
      </c>
      <c r="W63" t="s">
        <v>47</v>
      </c>
      <c r="X63" t="s">
        <v>141</v>
      </c>
      <c r="Y63" t="s">
        <v>142</v>
      </c>
      <c r="Z63" t="s">
        <v>143</v>
      </c>
      <c r="AA63" t="s">
        <v>63</v>
      </c>
      <c r="AB63">
        <v>3</v>
      </c>
      <c r="AD63">
        <v>3</v>
      </c>
      <c r="AE63" t="s">
        <v>72</v>
      </c>
      <c r="AF63" t="s">
        <v>146</v>
      </c>
      <c r="AG63" t="s">
        <v>148</v>
      </c>
      <c r="AH63" t="s">
        <v>150</v>
      </c>
      <c r="AI63">
        <v>0</v>
      </c>
      <c r="AJ63">
        <v>50</v>
      </c>
    </row>
    <row r="64" spans="1:36" x14ac:dyDescent="0.25">
      <c r="A64" t="s">
        <v>807</v>
      </c>
      <c r="B64">
        <v>62</v>
      </c>
      <c r="C64" t="s">
        <v>48</v>
      </c>
      <c r="D64">
        <v>3</v>
      </c>
      <c r="F64">
        <v>3</v>
      </c>
      <c r="G64" t="s">
        <v>126</v>
      </c>
      <c r="H64" t="s">
        <v>71</v>
      </c>
      <c r="I64" t="s">
        <v>127</v>
      </c>
      <c r="J64" t="s">
        <v>128</v>
      </c>
      <c r="K64" t="s">
        <v>43</v>
      </c>
      <c r="L64">
        <v>1</v>
      </c>
      <c r="N64">
        <v>1</v>
      </c>
      <c r="O64" t="s">
        <v>44</v>
      </c>
      <c r="P64" t="s">
        <v>136</v>
      </c>
      <c r="Q64" t="s">
        <v>100</v>
      </c>
      <c r="R64" t="s">
        <v>138</v>
      </c>
      <c r="S64" t="s">
        <v>45</v>
      </c>
      <c r="T64">
        <v>3</v>
      </c>
      <c r="V64">
        <v>3</v>
      </c>
      <c r="W64" t="s">
        <v>86</v>
      </c>
      <c r="X64" t="s">
        <v>141</v>
      </c>
      <c r="Y64" t="s">
        <v>142</v>
      </c>
      <c r="Z64" t="s">
        <v>143</v>
      </c>
      <c r="AA64" t="s">
        <v>38</v>
      </c>
      <c r="AB64">
        <v>3</v>
      </c>
      <c r="AC64">
        <v>3</v>
      </c>
      <c r="AD64">
        <v>2</v>
      </c>
      <c r="AE64" t="s">
        <v>39</v>
      </c>
      <c r="AF64" t="s">
        <v>40</v>
      </c>
      <c r="AG64" t="s">
        <v>41</v>
      </c>
      <c r="AH64" t="s">
        <v>155</v>
      </c>
      <c r="AI64">
        <v>0</v>
      </c>
      <c r="AJ64">
        <v>30</v>
      </c>
    </row>
    <row r="65" spans="1:36" x14ac:dyDescent="0.25">
      <c r="A65" t="s">
        <v>808</v>
      </c>
      <c r="B65">
        <v>63</v>
      </c>
      <c r="C65" t="s">
        <v>43</v>
      </c>
      <c r="D65">
        <v>3</v>
      </c>
      <c r="F65">
        <v>3</v>
      </c>
      <c r="G65" t="s">
        <v>44</v>
      </c>
      <c r="H65" t="s">
        <v>136</v>
      </c>
      <c r="I65" t="s">
        <v>100</v>
      </c>
      <c r="J65" t="s">
        <v>139</v>
      </c>
      <c r="K65" t="s">
        <v>48</v>
      </c>
      <c r="L65">
        <v>3</v>
      </c>
      <c r="N65">
        <v>3</v>
      </c>
      <c r="O65" t="s">
        <v>126</v>
      </c>
      <c r="P65" t="s">
        <v>71</v>
      </c>
      <c r="Q65" t="s">
        <v>51</v>
      </c>
      <c r="R65" t="s">
        <v>128</v>
      </c>
      <c r="S65" t="s">
        <v>63</v>
      </c>
      <c r="T65">
        <v>3</v>
      </c>
      <c r="V65">
        <v>3</v>
      </c>
      <c r="W65" t="s">
        <v>72</v>
      </c>
      <c r="X65" t="s">
        <v>146</v>
      </c>
      <c r="Y65" t="s">
        <v>148</v>
      </c>
      <c r="Z65" t="s">
        <v>149</v>
      </c>
      <c r="AA65" t="s">
        <v>38</v>
      </c>
      <c r="AB65">
        <v>1</v>
      </c>
      <c r="AC65">
        <v>3</v>
      </c>
      <c r="AD65">
        <v>3</v>
      </c>
      <c r="AE65" t="s">
        <v>39</v>
      </c>
      <c r="AF65" t="s">
        <v>40</v>
      </c>
      <c r="AG65" t="s">
        <v>41</v>
      </c>
      <c r="AH65" t="s">
        <v>156</v>
      </c>
      <c r="AI65">
        <v>0</v>
      </c>
      <c r="AJ65">
        <v>46</v>
      </c>
    </row>
    <row r="66" spans="1:36" x14ac:dyDescent="0.25">
      <c r="A66" t="s">
        <v>809</v>
      </c>
      <c r="B66">
        <v>64</v>
      </c>
      <c r="C66" t="s">
        <v>38</v>
      </c>
      <c r="D66">
        <v>3</v>
      </c>
      <c r="E66">
        <v>3</v>
      </c>
      <c r="F66">
        <v>3</v>
      </c>
      <c r="G66" t="s">
        <v>39</v>
      </c>
      <c r="H66" t="s">
        <v>96</v>
      </c>
      <c r="I66" t="s">
        <v>41</v>
      </c>
      <c r="J66" t="s">
        <v>156</v>
      </c>
      <c r="K66" t="s">
        <v>48</v>
      </c>
      <c r="L66">
        <v>3</v>
      </c>
      <c r="N66">
        <v>3</v>
      </c>
      <c r="O66" t="s">
        <v>126</v>
      </c>
      <c r="P66" t="s">
        <v>71</v>
      </c>
      <c r="Q66" t="s">
        <v>127</v>
      </c>
      <c r="R66" t="s">
        <v>52</v>
      </c>
      <c r="S66" t="s">
        <v>45</v>
      </c>
      <c r="T66">
        <v>3</v>
      </c>
      <c r="V66">
        <v>3</v>
      </c>
      <c r="W66" t="s">
        <v>86</v>
      </c>
      <c r="X66" t="s">
        <v>141</v>
      </c>
      <c r="Y66" t="s">
        <v>142</v>
      </c>
      <c r="Z66" t="s">
        <v>94</v>
      </c>
      <c r="AA66" t="s">
        <v>63</v>
      </c>
      <c r="AB66">
        <v>3</v>
      </c>
      <c r="AD66">
        <v>3</v>
      </c>
      <c r="AE66" t="s">
        <v>72</v>
      </c>
      <c r="AF66" t="s">
        <v>146</v>
      </c>
      <c r="AG66" t="s">
        <v>148</v>
      </c>
      <c r="AH66" t="s">
        <v>150</v>
      </c>
      <c r="AI66">
        <v>0</v>
      </c>
      <c r="AJ66">
        <v>56</v>
      </c>
    </row>
    <row r="67" spans="1:36" x14ac:dyDescent="0.25">
      <c r="A67" t="s">
        <v>810</v>
      </c>
      <c r="B67">
        <v>65</v>
      </c>
      <c r="C67" t="s">
        <v>63</v>
      </c>
      <c r="D67">
        <v>3</v>
      </c>
      <c r="F67">
        <v>3</v>
      </c>
      <c r="G67" t="s">
        <v>145</v>
      </c>
      <c r="H67" t="s">
        <v>146</v>
      </c>
      <c r="I67" t="s">
        <v>148</v>
      </c>
      <c r="J67" t="s">
        <v>149</v>
      </c>
      <c r="K67" t="s">
        <v>33</v>
      </c>
      <c r="L67">
        <v>1</v>
      </c>
      <c r="N67">
        <v>3</v>
      </c>
      <c r="O67" t="s">
        <v>65</v>
      </c>
      <c r="P67" t="s">
        <v>35</v>
      </c>
      <c r="Q67" t="s">
        <v>131</v>
      </c>
      <c r="R67" t="s">
        <v>133</v>
      </c>
      <c r="S67" t="s">
        <v>43</v>
      </c>
      <c r="T67">
        <v>3</v>
      </c>
      <c r="V67">
        <v>2</v>
      </c>
      <c r="W67" t="s">
        <v>44</v>
      </c>
      <c r="X67" t="s">
        <v>136</v>
      </c>
      <c r="Y67" t="s">
        <v>100</v>
      </c>
      <c r="Z67" t="s">
        <v>139</v>
      </c>
      <c r="AA67" t="s">
        <v>45</v>
      </c>
      <c r="AB67">
        <v>3</v>
      </c>
      <c r="AD67">
        <v>3</v>
      </c>
      <c r="AE67" t="s">
        <v>86</v>
      </c>
      <c r="AF67" t="s">
        <v>141</v>
      </c>
      <c r="AG67" t="s">
        <v>102</v>
      </c>
      <c r="AH67" t="s">
        <v>143</v>
      </c>
      <c r="AI67">
        <v>0</v>
      </c>
      <c r="AJ67">
        <v>33</v>
      </c>
    </row>
    <row r="68" spans="1:36" x14ac:dyDescent="0.25">
      <c r="A68" t="s">
        <v>811</v>
      </c>
      <c r="B68">
        <v>66</v>
      </c>
      <c r="C68" t="s">
        <v>45</v>
      </c>
      <c r="D68">
        <v>3</v>
      </c>
      <c r="F68">
        <v>3</v>
      </c>
      <c r="G68" t="s">
        <v>86</v>
      </c>
      <c r="H68" t="s">
        <v>141</v>
      </c>
      <c r="I68" t="s">
        <v>102</v>
      </c>
      <c r="J68" t="s">
        <v>144</v>
      </c>
      <c r="K68" t="s">
        <v>33</v>
      </c>
      <c r="L68">
        <v>3</v>
      </c>
      <c r="N68">
        <v>3</v>
      </c>
      <c r="O68" t="s">
        <v>65</v>
      </c>
      <c r="P68" t="s">
        <v>130</v>
      </c>
      <c r="Q68" t="s">
        <v>131</v>
      </c>
      <c r="R68" t="s">
        <v>133</v>
      </c>
      <c r="S68" t="s">
        <v>43</v>
      </c>
      <c r="T68">
        <v>1</v>
      </c>
      <c r="V68">
        <v>3</v>
      </c>
      <c r="W68" t="s">
        <v>44</v>
      </c>
      <c r="X68" t="s">
        <v>136</v>
      </c>
      <c r="Y68" t="s">
        <v>100</v>
      </c>
      <c r="Z68" t="s">
        <v>138</v>
      </c>
      <c r="AA68" t="s">
        <v>38</v>
      </c>
      <c r="AB68">
        <v>2</v>
      </c>
      <c r="AC68">
        <v>3</v>
      </c>
      <c r="AD68">
        <v>3</v>
      </c>
      <c r="AE68" t="s">
        <v>39</v>
      </c>
      <c r="AF68" t="s">
        <v>40</v>
      </c>
      <c r="AG68" t="s">
        <v>153</v>
      </c>
      <c r="AH68" t="s">
        <v>156</v>
      </c>
      <c r="AI68">
        <v>0</v>
      </c>
      <c r="AJ68">
        <v>32</v>
      </c>
    </row>
    <row r="69" spans="1:36" x14ac:dyDescent="0.25">
      <c r="A69" t="s">
        <v>812</v>
      </c>
      <c r="B69">
        <v>67</v>
      </c>
      <c r="C69" t="s">
        <v>33</v>
      </c>
      <c r="D69">
        <v>3</v>
      </c>
      <c r="F69">
        <v>3</v>
      </c>
      <c r="G69" t="s">
        <v>65</v>
      </c>
      <c r="H69" t="s">
        <v>35</v>
      </c>
      <c r="I69" t="s">
        <v>36</v>
      </c>
      <c r="J69" t="s">
        <v>133</v>
      </c>
      <c r="K69" t="s">
        <v>43</v>
      </c>
      <c r="L69">
        <v>2</v>
      </c>
      <c r="N69">
        <v>2</v>
      </c>
      <c r="O69" t="s">
        <v>44</v>
      </c>
      <c r="P69" t="s">
        <v>136</v>
      </c>
      <c r="Q69" t="s">
        <v>100</v>
      </c>
      <c r="R69" t="s">
        <v>139</v>
      </c>
      <c r="S69" t="s">
        <v>63</v>
      </c>
      <c r="T69">
        <v>3</v>
      </c>
      <c r="V69">
        <v>3</v>
      </c>
      <c r="W69" t="s">
        <v>145</v>
      </c>
      <c r="X69" t="s">
        <v>146</v>
      </c>
      <c r="Y69" t="s">
        <v>147</v>
      </c>
      <c r="Z69" t="s">
        <v>150</v>
      </c>
      <c r="AA69" t="s">
        <v>38</v>
      </c>
      <c r="AB69">
        <v>3</v>
      </c>
      <c r="AC69">
        <v>3</v>
      </c>
      <c r="AD69">
        <v>3</v>
      </c>
      <c r="AE69" t="s">
        <v>39</v>
      </c>
      <c r="AF69" t="s">
        <v>40</v>
      </c>
      <c r="AG69" t="s">
        <v>153</v>
      </c>
      <c r="AH69" t="s">
        <v>156</v>
      </c>
      <c r="AI69">
        <v>0</v>
      </c>
      <c r="AJ69">
        <v>51</v>
      </c>
    </row>
    <row r="70" spans="1:36" x14ac:dyDescent="0.25">
      <c r="A70" t="s">
        <v>813</v>
      </c>
      <c r="B70">
        <v>68</v>
      </c>
      <c r="C70" t="s">
        <v>63</v>
      </c>
      <c r="D70">
        <v>2</v>
      </c>
      <c r="F70">
        <v>3</v>
      </c>
      <c r="G70" t="s">
        <v>145</v>
      </c>
      <c r="H70" t="s">
        <v>146</v>
      </c>
      <c r="I70" t="s">
        <v>148</v>
      </c>
      <c r="J70" t="s">
        <v>150</v>
      </c>
      <c r="K70" t="s">
        <v>33</v>
      </c>
      <c r="L70">
        <v>3</v>
      </c>
      <c r="N70">
        <v>3</v>
      </c>
      <c r="O70" t="s">
        <v>65</v>
      </c>
      <c r="P70" t="s">
        <v>35</v>
      </c>
      <c r="Q70" t="s">
        <v>131</v>
      </c>
      <c r="R70" t="s">
        <v>133</v>
      </c>
      <c r="S70" t="s">
        <v>45</v>
      </c>
      <c r="T70">
        <v>3</v>
      </c>
      <c r="V70">
        <v>2</v>
      </c>
      <c r="W70" t="s">
        <v>86</v>
      </c>
      <c r="X70" t="s">
        <v>141</v>
      </c>
      <c r="Y70" t="s">
        <v>102</v>
      </c>
      <c r="Z70" t="s">
        <v>94</v>
      </c>
      <c r="AA70" t="s">
        <v>38</v>
      </c>
      <c r="AB70">
        <v>2</v>
      </c>
      <c r="AC70">
        <v>1</v>
      </c>
      <c r="AD70">
        <v>2</v>
      </c>
      <c r="AE70" t="s">
        <v>39</v>
      </c>
      <c r="AF70" t="s">
        <v>40</v>
      </c>
      <c r="AI70">
        <v>0</v>
      </c>
      <c r="AJ70">
        <v>27</v>
      </c>
    </row>
    <row r="71" spans="1:36" x14ac:dyDescent="0.25">
      <c r="A71" t="s">
        <v>814</v>
      </c>
      <c r="B71">
        <v>69</v>
      </c>
      <c r="C71" t="s">
        <v>63</v>
      </c>
      <c r="D71">
        <v>3</v>
      </c>
      <c r="F71">
        <v>3</v>
      </c>
      <c r="G71" t="s">
        <v>72</v>
      </c>
      <c r="H71" t="s">
        <v>146</v>
      </c>
      <c r="I71" t="s">
        <v>104</v>
      </c>
      <c r="J71" t="s">
        <v>151</v>
      </c>
      <c r="K71" t="s">
        <v>43</v>
      </c>
      <c r="L71">
        <v>2</v>
      </c>
      <c r="N71">
        <v>1</v>
      </c>
      <c r="O71" t="s">
        <v>44</v>
      </c>
      <c r="P71" t="s">
        <v>74</v>
      </c>
      <c r="Q71" t="s">
        <v>137</v>
      </c>
      <c r="R71" t="s">
        <v>139</v>
      </c>
      <c r="S71" t="s">
        <v>45</v>
      </c>
      <c r="T71">
        <v>3</v>
      </c>
      <c r="V71">
        <v>3</v>
      </c>
      <c r="W71" t="s">
        <v>86</v>
      </c>
      <c r="X71" t="s">
        <v>141</v>
      </c>
      <c r="Y71" t="s">
        <v>142</v>
      </c>
      <c r="Z71" t="s">
        <v>94</v>
      </c>
      <c r="AA71" t="s">
        <v>38</v>
      </c>
      <c r="AB71">
        <v>1</v>
      </c>
      <c r="AC71">
        <v>1</v>
      </c>
      <c r="AD71">
        <v>3</v>
      </c>
      <c r="AE71" t="s">
        <v>39</v>
      </c>
      <c r="AI71">
        <v>0</v>
      </c>
      <c r="AJ71">
        <v>31</v>
      </c>
    </row>
  </sheetData>
  <phoneticPr fontId="3" type="noConversion"/>
  <conditionalFormatting sqref="B138:B1048576 B1:B110">
    <cfRule type="duplicateValues" dxfId="4" priority="2"/>
  </conditionalFormatting>
  <conditionalFormatting sqref="B1:B1048576">
    <cfRule type="duplicateValues" dxfId="3" priority="1"/>
  </conditionalFormatting>
  <conditionalFormatting sqref="A2:B71">
    <cfRule type="duplicateValues" dxfId="2" priority="639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2023-01-08T05:49:14Z</dcterms:modified>
</cp:coreProperties>
</file>