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tables/table244.xml" ContentType="application/vnd.openxmlformats-officedocument.spreadsheetml.table+xml"/>
  <Override PartName="/xl/tables/table245.xml" ContentType="application/vnd.openxmlformats-officedocument.spreadsheetml.table+xml"/>
  <Override PartName="/xl/tables/table246.xml" ContentType="application/vnd.openxmlformats-officedocument.spreadsheetml.table+xml"/>
  <Override PartName="/xl/tables/table247.xml" ContentType="application/vnd.openxmlformats-officedocument.spreadsheetml.table+xml"/>
  <Override PartName="/xl/tables/table248.xml" ContentType="application/vnd.openxmlformats-officedocument.spreadsheetml.table+xml"/>
  <Override PartName="/xl/tables/table249.xml" ContentType="application/vnd.openxmlformats-officedocument.spreadsheetml.table+xml"/>
  <Override PartName="/xl/tables/table250.xml" ContentType="application/vnd.openxmlformats-officedocument.spreadsheetml.table+xml"/>
  <Override PartName="/xl/tables/table251.xml" ContentType="application/vnd.openxmlformats-officedocument.spreadsheetml.table+xml"/>
  <Override PartName="/xl/tables/table252.xml" ContentType="application/vnd.openxmlformats-officedocument.spreadsheetml.table+xml"/>
  <Override PartName="/xl/tables/table253.xml" ContentType="application/vnd.openxmlformats-officedocument.spreadsheetml.table+xml"/>
  <Override PartName="/xl/tables/table254.xml" ContentType="application/vnd.openxmlformats-officedocument.spreadsheetml.table+xml"/>
  <Override PartName="/xl/tables/table255.xml" ContentType="application/vnd.openxmlformats-officedocument.spreadsheetml.table+xml"/>
  <Override PartName="/xl/tables/table256.xml" ContentType="application/vnd.openxmlformats-officedocument.spreadsheetml.table+xml"/>
  <Override PartName="/xl/tables/table257.xml" ContentType="application/vnd.openxmlformats-officedocument.spreadsheetml.table+xml"/>
  <Override PartName="/xl/tables/table258.xml" ContentType="application/vnd.openxmlformats-officedocument.spreadsheetml.table+xml"/>
  <Override PartName="/xl/tables/table259.xml" ContentType="application/vnd.openxmlformats-officedocument.spreadsheetml.table+xml"/>
  <Override PartName="/xl/tables/table260.xml" ContentType="application/vnd.openxmlformats-officedocument.spreadsheetml.table+xml"/>
  <Override PartName="/xl/tables/table261.xml" ContentType="application/vnd.openxmlformats-officedocument.spreadsheetml.table+xml"/>
  <Override PartName="/xl/tables/table262.xml" ContentType="application/vnd.openxmlformats-officedocument.spreadsheetml.table+xml"/>
  <Override PartName="/xl/tables/table263.xml" ContentType="application/vnd.openxmlformats-officedocument.spreadsheetml.table+xml"/>
  <Override PartName="/xl/tables/table264.xml" ContentType="application/vnd.openxmlformats-officedocument.spreadsheetml.table+xml"/>
  <Override PartName="/xl/tables/table265.xml" ContentType="application/vnd.openxmlformats-officedocument.spreadsheetml.table+xml"/>
  <Override PartName="/xl/tables/table266.xml" ContentType="application/vnd.openxmlformats-officedocument.spreadsheetml.table+xml"/>
  <Override PartName="/xl/tables/table267.xml" ContentType="application/vnd.openxmlformats-officedocument.spreadsheetml.table+xml"/>
  <Override PartName="/xl/tables/table268.xml" ContentType="application/vnd.openxmlformats-officedocument.spreadsheetml.table+xml"/>
  <Override PartName="/xl/tables/table269.xml" ContentType="application/vnd.openxmlformats-officedocument.spreadsheetml.table+xml"/>
  <Override PartName="/xl/tables/table270.xml" ContentType="application/vnd.openxmlformats-officedocument.spreadsheetml.table+xml"/>
  <Override PartName="/xl/tables/table271.xml" ContentType="application/vnd.openxmlformats-officedocument.spreadsheetml.table+xml"/>
  <Override PartName="/xl/tables/table272.xml" ContentType="application/vnd.openxmlformats-officedocument.spreadsheetml.table+xml"/>
  <Override PartName="/xl/tables/table273.xml" ContentType="application/vnd.openxmlformats-officedocument.spreadsheetml.table+xml"/>
  <Override PartName="/xl/tables/table274.xml" ContentType="application/vnd.openxmlformats-officedocument.spreadsheetml.table+xml"/>
  <Override PartName="/xl/tables/table275.xml" ContentType="application/vnd.openxmlformats-officedocument.spreadsheetml.table+xml"/>
  <Override PartName="/xl/tables/table276.xml" ContentType="application/vnd.openxmlformats-officedocument.spreadsheetml.table+xml"/>
  <Override PartName="/xl/tables/table277.xml" ContentType="application/vnd.openxmlformats-officedocument.spreadsheetml.table+xml"/>
  <Override PartName="/xl/tables/table278.xml" ContentType="application/vnd.openxmlformats-officedocument.spreadsheetml.table+xml"/>
  <Override PartName="/xl/tables/table279.xml" ContentType="application/vnd.openxmlformats-officedocument.spreadsheetml.table+xml"/>
  <Override PartName="/xl/tables/table280.xml" ContentType="application/vnd.openxmlformats-officedocument.spreadsheetml.table+xml"/>
  <Override PartName="/xl/tables/table281.xml" ContentType="application/vnd.openxmlformats-officedocument.spreadsheetml.table+xml"/>
  <Override PartName="/xl/tables/table282.xml" ContentType="application/vnd.openxmlformats-officedocument.spreadsheetml.table+xml"/>
  <Override PartName="/xl/tables/table283.xml" ContentType="application/vnd.openxmlformats-officedocument.spreadsheetml.table+xml"/>
  <Override PartName="/xl/tables/table284.xml" ContentType="application/vnd.openxmlformats-officedocument.spreadsheetml.table+xml"/>
  <Override PartName="/xl/tables/table285.xml" ContentType="application/vnd.openxmlformats-officedocument.spreadsheetml.table+xml"/>
  <Override PartName="/xl/tables/table286.xml" ContentType="application/vnd.openxmlformats-officedocument.spreadsheetml.table+xml"/>
  <Override PartName="/xl/tables/table287.xml" ContentType="application/vnd.openxmlformats-officedocument.spreadsheetml.table+xml"/>
  <Override PartName="/xl/tables/table288.xml" ContentType="application/vnd.openxmlformats-officedocument.spreadsheetml.table+xml"/>
  <Override PartName="/xl/tables/table289.xml" ContentType="application/vnd.openxmlformats-officedocument.spreadsheetml.table+xml"/>
  <Override PartName="/xl/tables/table290.xml" ContentType="application/vnd.openxmlformats-officedocument.spreadsheetml.table+xml"/>
  <Override PartName="/xl/tables/table291.xml" ContentType="application/vnd.openxmlformats-officedocument.spreadsheetml.table+xml"/>
  <Override PartName="/xl/tables/table292.xml" ContentType="application/vnd.openxmlformats-officedocument.spreadsheetml.table+xml"/>
  <Override PartName="/xl/tables/table293.xml" ContentType="application/vnd.openxmlformats-officedocument.spreadsheetml.table+xml"/>
  <Override PartName="/xl/tables/table294.xml" ContentType="application/vnd.openxmlformats-officedocument.spreadsheetml.table+xml"/>
  <Override PartName="/xl/tables/table295.xml" ContentType="application/vnd.openxmlformats-officedocument.spreadsheetml.table+xml"/>
  <Override PartName="/xl/tables/table296.xml" ContentType="application/vnd.openxmlformats-officedocument.spreadsheetml.table+xml"/>
  <Override PartName="/xl/tables/table297.xml" ContentType="application/vnd.openxmlformats-officedocument.spreadsheetml.table+xml"/>
  <Override PartName="/xl/tables/table298.xml" ContentType="application/vnd.openxmlformats-officedocument.spreadsheetml.table+xml"/>
  <Override PartName="/xl/tables/table299.xml" ContentType="application/vnd.openxmlformats-officedocument.spreadsheetml.table+xml"/>
  <Override PartName="/xl/tables/table300.xml" ContentType="application/vnd.openxmlformats-officedocument.spreadsheetml.table+xml"/>
  <Override PartName="/xl/tables/table301.xml" ContentType="application/vnd.openxmlformats-officedocument.spreadsheetml.table+xml"/>
  <Override PartName="/xl/tables/table302.xml" ContentType="application/vnd.openxmlformats-officedocument.spreadsheetml.table+xml"/>
  <Override PartName="/xl/tables/table303.xml" ContentType="application/vnd.openxmlformats-officedocument.spreadsheetml.table+xml"/>
  <Override PartName="/xl/tables/table304.xml" ContentType="application/vnd.openxmlformats-officedocument.spreadsheetml.table+xml"/>
  <Override PartName="/xl/tables/table305.xml" ContentType="application/vnd.openxmlformats-officedocument.spreadsheetml.table+xml"/>
  <Override PartName="/xl/tables/table306.xml" ContentType="application/vnd.openxmlformats-officedocument.spreadsheetml.table+xml"/>
  <Override PartName="/xl/tables/table30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863D4EB6-FE00-4A54-AA82-93CEE43D378C}" xr6:coauthVersionLast="47" xr6:coauthVersionMax="47" xr10:uidLastSave="{00000000-0000-0000-0000-000000000000}"/>
  <bookViews>
    <workbookView xWindow="-120" yWindow="-120" windowWidth="29040" windowHeight="15840" tabRatio="770" activeTab="12" xr2:uid="{00000000-000D-0000-FFFF-FFFF00000000}"/>
  </bookViews>
  <sheets>
    <sheet name="0" sheetId="1" r:id="rId1"/>
    <sheet name="0-stat" sheetId="2" r:id="rId2"/>
    <sheet name="1" sheetId="13" r:id="rId3"/>
    <sheet name="1-stat" sheetId="12" r:id="rId4"/>
    <sheet name="2" sheetId="14" r:id="rId5"/>
    <sheet name="2-stat" sheetId="15" r:id="rId6"/>
    <sheet name="3" sheetId="23" r:id="rId7"/>
    <sheet name="3-stat" sheetId="24" r:id="rId8"/>
    <sheet name="4" sheetId="25" r:id="rId9"/>
    <sheet name="4-stat" sheetId="26" r:id="rId10"/>
    <sheet name="5" sheetId="27" r:id="rId11"/>
    <sheet name="5-stat" sheetId="28" r:id="rId12"/>
    <sheet name="statistics" sheetId="3" r:id="rId13"/>
    <sheet name="paragon" sheetId="4" r:id="rId14"/>
    <sheet name="highlander" sheetId="16" r:id="rId15"/>
    <sheet name="druid" sheetId="18" r:id="rId16"/>
    <sheet name="oracle" sheetId="17" r:id="rId17"/>
    <sheet name="avatar" sheetId="19" r:id="rId18"/>
    <sheet name="shadow" sheetId="20" r:id="rId19"/>
    <sheet name="lightbringer" sheetId="21" r:id="rId20"/>
    <sheet name="avenger" sheetId="22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G3" i="3"/>
  <c r="G4" i="3"/>
  <c r="G5" i="3"/>
  <c r="G6" i="3"/>
  <c r="G7" i="3"/>
  <c r="G8" i="3"/>
  <c r="G9" i="3"/>
  <c r="F3" i="3"/>
  <c r="F4" i="3"/>
  <c r="F5" i="3"/>
  <c r="F6" i="3"/>
  <c r="F7" i="3"/>
  <c r="F8" i="3"/>
  <c r="F9" i="3"/>
  <c r="E3" i="3"/>
  <c r="E4" i="3"/>
  <c r="E5" i="3"/>
  <c r="E6" i="3"/>
  <c r="E7" i="3"/>
  <c r="E8" i="3"/>
  <c r="E9" i="3"/>
  <c r="D3" i="3"/>
  <c r="D4" i="3"/>
  <c r="D5" i="3"/>
  <c r="D6" i="3"/>
  <c r="D7" i="3"/>
  <c r="D8" i="3"/>
  <c r="D9" i="3"/>
  <c r="H2" i="3"/>
  <c r="G2" i="3"/>
  <c r="F2" i="3"/>
  <c r="E2" i="3"/>
  <c r="D2" i="3"/>
  <c r="C3" i="3"/>
  <c r="C4" i="3"/>
  <c r="C5" i="3"/>
  <c r="C6" i="3"/>
  <c r="C7" i="3"/>
  <c r="C8" i="3"/>
  <c r="C9" i="3"/>
  <c r="C2" i="3"/>
  <c r="U108" i="22"/>
  <c r="U109" i="22"/>
  <c r="U110" i="22"/>
  <c r="T108" i="22"/>
  <c r="T109" i="22"/>
  <c r="T110" i="22"/>
  <c r="S108" i="22"/>
  <c r="S109" i="22"/>
  <c r="S110" i="22"/>
  <c r="N123" i="22"/>
  <c r="N124" i="22"/>
  <c r="N125" i="22"/>
  <c r="M123" i="22"/>
  <c r="M124" i="22"/>
  <c r="M125" i="22"/>
  <c r="N118" i="22"/>
  <c r="N119" i="22"/>
  <c r="N120" i="22"/>
  <c r="M118" i="22"/>
  <c r="M119" i="22"/>
  <c r="M120" i="22"/>
  <c r="N113" i="22"/>
  <c r="N114" i="22"/>
  <c r="N115" i="22"/>
  <c r="M113" i="22"/>
  <c r="M114" i="22"/>
  <c r="M115" i="22"/>
  <c r="N108" i="22"/>
  <c r="N109" i="22"/>
  <c r="N110" i="22"/>
  <c r="M108" i="22"/>
  <c r="M109" i="22"/>
  <c r="M110" i="22"/>
  <c r="S108" i="21"/>
  <c r="S109" i="21"/>
  <c r="S110" i="21"/>
  <c r="R108" i="21"/>
  <c r="R109" i="21"/>
  <c r="R110" i="21"/>
  <c r="M123" i="21"/>
  <c r="M124" i="21"/>
  <c r="M125" i="21"/>
  <c r="L123" i="21"/>
  <c r="L124" i="21"/>
  <c r="L125" i="21"/>
  <c r="M118" i="21"/>
  <c r="M119" i="21"/>
  <c r="M120" i="21"/>
  <c r="L118" i="21"/>
  <c r="L119" i="21"/>
  <c r="L120" i="21"/>
  <c r="M113" i="21"/>
  <c r="M114" i="21"/>
  <c r="M115" i="21"/>
  <c r="L113" i="21"/>
  <c r="L114" i="21"/>
  <c r="L115" i="21"/>
  <c r="M108" i="21"/>
  <c r="M109" i="21"/>
  <c r="M110" i="21"/>
  <c r="L108" i="21"/>
  <c r="L109" i="21"/>
  <c r="L110" i="21"/>
  <c r="S108" i="20"/>
  <c r="S109" i="20"/>
  <c r="S110" i="20"/>
  <c r="R108" i="20"/>
  <c r="R109" i="20"/>
  <c r="R110" i="20"/>
  <c r="M123" i="20"/>
  <c r="M124" i="20"/>
  <c r="M125" i="20"/>
  <c r="L123" i="20"/>
  <c r="L124" i="20"/>
  <c r="L125" i="20"/>
  <c r="M118" i="20"/>
  <c r="M119" i="20"/>
  <c r="M120" i="20"/>
  <c r="L118" i="20"/>
  <c r="L119" i="20"/>
  <c r="L120" i="20"/>
  <c r="M113" i="20"/>
  <c r="M114" i="20"/>
  <c r="M115" i="20"/>
  <c r="L113" i="20"/>
  <c r="L114" i="20"/>
  <c r="L115" i="20"/>
  <c r="M108" i="20"/>
  <c r="M109" i="20"/>
  <c r="M110" i="20"/>
  <c r="L108" i="20"/>
  <c r="L109" i="20"/>
  <c r="L110" i="20"/>
  <c r="S108" i="19"/>
  <c r="S109" i="19"/>
  <c r="S110" i="19"/>
  <c r="R108" i="19"/>
  <c r="R109" i="19"/>
  <c r="R110" i="19"/>
  <c r="M123" i="19"/>
  <c r="M124" i="19"/>
  <c r="M125" i="19"/>
  <c r="L123" i="19"/>
  <c r="L124" i="19"/>
  <c r="L125" i="19"/>
  <c r="M118" i="19"/>
  <c r="M119" i="19"/>
  <c r="M120" i="19"/>
  <c r="L118" i="19"/>
  <c r="L119" i="19"/>
  <c r="L120" i="19"/>
  <c r="M113" i="19"/>
  <c r="M114" i="19"/>
  <c r="M115" i="19"/>
  <c r="L113" i="19"/>
  <c r="L114" i="19"/>
  <c r="L115" i="19"/>
  <c r="M108" i="19"/>
  <c r="M109" i="19"/>
  <c r="M110" i="19"/>
  <c r="L108" i="19"/>
  <c r="L109" i="19"/>
  <c r="L110" i="19"/>
  <c r="S108" i="17"/>
  <c r="S109" i="17"/>
  <c r="S110" i="17"/>
  <c r="R108" i="17"/>
  <c r="R109" i="17"/>
  <c r="R110" i="17"/>
  <c r="M123" i="17"/>
  <c r="M124" i="17"/>
  <c r="M125" i="17"/>
  <c r="L123" i="17"/>
  <c r="L124" i="17"/>
  <c r="L125" i="17"/>
  <c r="M118" i="17"/>
  <c r="M119" i="17"/>
  <c r="M120" i="17"/>
  <c r="L118" i="17"/>
  <c r="L119" i="17"/>
  <c r="L120" i="17"/>
  <c r="M113" i="17"/>
  <c r="M114" i="17"/>
  <c r="M115" i="17"/>
  <c r="L113" i="17"/>
  <c r="L114" i="17"/>
  <c r="L115" i="17"/>
  <c r="M108" i="17"/>
  <c r="M109" i="17"/>
  <c r="M110" i="17"/>
  <c r="L108" i="17"/>
  <c r="L109" i="17"/>
  <c r="L110" i="17"/>
  <c r="S108" i="18"/>
  <c r="S109" i="18"/>
  <c r="S110" i="18"/>
  <c r="R108" i="18"/>
  <c r="R109" i="18"/>
  <c r="R110" i="18"/>
  <c r="M123" i="18"/>
  <c r="M124" i="18"/>
  <c r="M125" i="18"/>
  <c r="L123" i="18"/>
  <c r="L124" i="18"/>
  <c r="L125" i="18"/>
  <c r="M118" i="18"/>
  <c r="M119" i="18"/>
  <c r="M120" i="18"/>
  <c r="L118" i="18"/>
  <c r="L119" i="18"/>
  <c r="L120" i="18"/>
  <c r="M113" i="18"/>
  <c r="M114" i="18"/>
  <c r="M115" i="18"/>
  <c r="L113" i="18"/>
  <c r="L114" i="18"/>
  <c r="L115" i="18"/>
  <c r="M108" i="18"/>
  <c r="M109" i="18"/>
  <c r="M110" i="18"/>
  <c r="L108" i="18"/>
  <c r="L109" i="18"/>
  <c r="L110" i="18"/>
  <c r="S108" i="16"/>
  <c r="S109" i="16"/>
  <c r="S110" i="16"/>
  <c r="R108" i="16"/>
  <c r="R109" i="16"/>
  <c r="R110" i="16"/>
  <c r="M123" i="16"/>
  <c r="M124" i="16"/>
  <c r="M125" i="16"/>
  <c r="L123" i="16"/>
  <c r="L124" i="16"/>
  <c r="L125" i="16"/>
  <c r="M119" i="16"/>
  <c r="M120" i="16"/>
  <c r="M118" i="16"/>
  <c r="L118" i="16"/>
  <c r="L119" i="16"/>
  <c r="L120" i="16"/>
  <c r="M113" i="16"/>
  <c r="M114" i="16"/>
  <c r="M115" i="16"/>
  <c r="L113" i="16"/>
  <c r="L114" i="16"/>
  <c r="L115" i="16"/>
  <c r="M108" i="16"/>
  <c r="M109" i="16"/>
  <c r="M110" i="16"/>
  <c r="L108" i="16"/>
  <c r="L109" i="16"/>
  <c r="L110" i="16"/>
  <c r="U108" i="4"/>
  <c r="U109" i="4"/>
  <c r="U110" i="4"/>
  <c r="T108" i="4"/>
  <c r="T109" i="4"/>
  <c r="T110" i="4"/>
  <c r="S108" i="4"/>
  <c r="S109" i="4"/>
  <c r="S110" i="4"/>
  <c r="N123" i="4"/>
  <c r="N124" i="4"/>
  <c r="N125" i="4"/>
  <c r="M123" i="4"/>
  <c r="M124" i="4"/>
  <c r="M125" i="4"/>
  <c r="N118" i="4"/>
  <c r="N119" i="4"/>
  <c r="N120" i="4"/>
  <c r="M118" i="4"/>
  <c r="M119" i="4"/>
  <c r="M120" i="4"/>
  <c r="N113" i="4"/>
  <c r="N114" i="4"/>
  <c r="N115" i="4"/>
  <c r="M113" i="4"/>
  <c r="M114" i="4"/>
  <c r="M115" i="4"/>
  <c r="N108" i="4"/>
  <c r="N109" i="4"/>
  <c r="N110" i="4"/>
  <c r="M108" i="4"/>
  <c r="M109" i="4"/>
  <c r="M110" i="4"/>
  <c r="B2" i="3"/>
  <c r="B3" i="3"/>
  <c r="B4" i="3"/>
  <c r="B5" i="3"/>
  <c r="B6" i="3"/>
  <c r="B7" i="3"/>
  <c r="B8" i="3"/>
  <c r="B9" i="3"/>
  <c r="P7" i="28"/>
  <c r="P6" i="28"/>
  <c r="P9" i="28" s="1"/>
  <c r="P10" i="28" s="1"/>
  <c r="P5" i="28"/>
  <c r="P3" i="28"/>
  <c r="P2" i="28"/>
  <c r="P1" i="28"/>
  <c r="C4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3" i="28"/>
  <c r="F4" i="28"/>
  <c r="F5" i="28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58" i="28"/>
  <c r="F59" i="28"/>
  <c r="F60" i="28"/>
  <c r="F61" i="28"/>
  <c r="F62" i="28"/>
  <c r="F63" i="28"/>
  <c r="F64" i="28"/>
  <c r="F65" i="28"/>
  <c r="F66" i="28"/>
  <c r="F67" i="28"/>
  <c r="F68" i="28"/>
  <c r="F69" i="28"/>
  <c r="F70" i="28"/>
  <c r="F71" i="28"/>
  <c r="F72" i="28"/>
  <c r="F73" i="28"/>
  <c r="F74" i="28"/>
  <c r="F75" i="28"/>
  <c r="F76" i="28"/>
  <c r="F77" i="28"/>
  <c r="F78" i="28"/>
  <c r="F79" i="28"/>
  <c r="F80" i="28"/>
  <c r="F81" i="28"/>
  <c r="F82" i="28"/>
  <c r="F83" i="28"/>
  <c r="F84" i="28"/>
  <c r="F85" i="28"/>
  <c r="F86" i="28"/>
  <c r="F87" i="28"/>
  <c r="F88" i="28"/>
  <c r="F89" i="28"/>
  <c r="F90" i="28"/>
  <c r="F91" i="28"/>
  <c r="F92" i="28"/>
  <c r="F93" i="28"/>
  <c r="F94" i="28"/>
  <c r="F95" i="28"/>
  <c r="F96" i="28"/>
  <c r="F97" i="28"/>
  <c r="F98" i="28"/>
  <c r="F99" i="28"/>
  <c r="F100" i="28"/>
  <c r="F101" i="28"/>
  <c r="F102" i="28"/>
  <c r="F103" i="28"/>
  <c r="F104" i="28"/>
  <c r="F105" i="28"/>
  <c r="F106" i="28"/>
  <c r="F107" i="28"/>
  <c r="F108" i="28"/>
  <c r="F109" i="28"/>
  <c r="F110" i="28"/>
  <c r="F111" i="28"/>
  <c r="F112" i="28"/>
  <c r="F113" i="28"/>
  <c r="F114" i="28"/>
  <c r="F115" i="28"/>
  <c r="F116" i="28"/>
  <c r="F117" i="28"/>
  <c r="F118" i="28"/>
  <c r="F119" i="28"/>
  <c r="F120" i="28"/>
  <c r="F121" i="28"/>
  <c r="F122" i="28"/>
  <c r="F123" i="28"/>
  <c r="F124" i="28"/>
  <c r="F125" i="28"/>
  <c r="F126" i="28"/>
  <c r="F127" i="28"/>
  <c r="F128" i="28"/>
  <c r="F129" i="28"/>
  <c r="F130" i="28"/>
  <c r="F131" i="28"/>
  <c r="F132" i="28"/>
  <c r="F133" i="28"/>
  <c r="F134" i="28"/>
  <c r="F135" i="28"/>
  <c r="F136" i="28"/>
  <c r="F137" i="28"/>
  <c r="F138" i="28"/>
  <c r="F139" i="28"/>
  <c r="F140" i="28"/>
  <c r="F141" i="28"/>
  <c r="F142" i="28"/>
  <c r="F143" i="28"/>
  <c r="F144" i="28"/>
  <c r="F145" i="28"/>
  <c r="F146" i="28"/>
  <c r="F147" i="28"/>
  <c r="F148" i="28"/>
  <c r="F149" i="28"/>
  <c r="F150" i="28"/>
  <c r="F151" i="28"/>
  <c r="F152" i="28"/>
  <c r="F153" i="28"/>
  <c r="F154" i="28"/>
  <c r="F155" i="28"/>
  <c r="F156" i="28"/>
  <c r="F157" i="28"/>
  <c r="F158" i="28"/>
  <c r="F159" i="28"/>
  <c r="F160" i="28"/>
  <c r="F161" i="28"/>
  <c r="F162" i="28"/>
  <c r="F163" i="28"/>
  <c r="F164" i="28"/>
  <c r="F165" i="28"/>
  <c r="F166" i="28"/>
  <c r="F167" i="28"/>
  <c r="F168" i="28"/>
  <c r="F169" i="28"/>
  <c r="F170" i="28"/>
  <c r="F171" i="28"/>
  <c r="F172" i="28"/>
  <c r="F173" i="28"/>
  <c r="F174" i="28"/>
  <c r="F175" i="28"/>
  <c r="F176" i="28"/>
  <c r="F177" i="28"/>
  <c r="F178" i="28"/>
  <c r="F179" i="28"/>
  <c r="F180" i="28"/>
  <c r="F181" i="28"/>
  <c r="F182" i="28"/>
  <c r="F183" i="28"/>
  <c r="F184" i="28"/>
  <c r="F185" i="28"/>
  <c r="F186" i="28"/>
  <c r="F187" i="28"/>
  <c r="F188" i="28"/>
  <c r="F189" i="28"/>
  <c r="F190" i="28"/>
  <c r="F191" i="28"/>
  <c r="F192" i="28"/>
  <c r="F193" i="28"/>
  <c r="F194" i="28"/>
  <c r="F195" i="28"/>
  <c r="F196" i="28"/>
  <c r="F197" i="28"/>
  <c r="F198" i="28"/>
  <c r="F199" i="28"/>
  <c r="F200" i="28"/>
  <c r="F201" i="28"/>
  <c r="F202" i="28"/>
  <c r="F203" i="28"/>
  <c r="F204" i="28"/>
  <c r="F205" i="28"/>
  <c r="F206" i="28"/>
  <c r="F207" i="28"/>
  <c r="F208" i="28"/>
  <c r="F209" i="28"/>
  <c r="F210" i="28"/>
  <c r="F211" i="28"/>
  <c r="F212" i="28"/>
  <c r="F3" i="28"/>
  <c r="U87" i="22"/>
  <c r="U88" i="22"/>
  <c r="U89" i="22"/>
  <c r="T87" i="22"/>
  <c r="T88" i="22"/>
  <c r="T89" i="22"/>
  <c r="S87" i="22"/>
  <c r="S88" i="22"/>
  <c r="S89" i="22"/>
  <c r="N102" i="22"/>
  <c r="N103" i="22"/>
  <c r="N104" i="22"/>
  <c r="M102" i="22"/>
  <c r="M103" i="22"/>
  <c r="M104" i="22"/>
  <c r="P104" i="22" s="1"/>
  <c r="N97" i="22"/>
  <c r="N98" i="22"/>
  <c r="N99" i="22"/>
  <c r="M97" i="22"/>
  <c r="M98" i="22"/>
  <c r="M99" i="22"/>
  <c r="N92" i="22"/>
  <c r="N93" i="22"/>
  <c r="N94" i="22"/>
  <c r="M92" i="22"/>
  <c r="M93" i="22"/>
  <c r="P93" i="22" s="1"/>
  <c r="M94" i="22"/>
  <c r="N87" i="22"/>
  <c r="N88" i="22"/>
  <c r="N89" i="22"/>
  <c r="M87" i="22"/>
  <c r="M88" i="22"/>
  <c r="M89" i="22"/>
  <c r="S87" i="21"/>
  <c r="S88" i="21"/>
  <c r="S89" i="21"/>
  <c r="R87" i="21"/>
  <c r="R88" i="21"/>
  <c r="R89" i="21"/>
  <c r="M102" i="21"/>
  <c r="M103" i="21"/>
  <c r="M104" i="21"/>
  <c r="L102" i="21"/>
  <c r="L103" i="21"/>
  <c r="L104" i="21"/>
  <c r="M97" i="21"/>
  <c r="M98" i="21"/>
  <c r="M99" i="21"/>
  <c r="L97" i="21"/>
  <c r="L98" i="21"/>
  <c r="L99" i="21"/>
  <c r="M92" i="21"/>
  <c r="M93" i="21"/>
  <c r="M94" i="21"/>
  <c r="L92" i="21"/>
  <c r="L93" i="21"/>
  <c r="L94" i="21"/>
  <c r="O94" i="21" s="1"/>
  <c r="M87" i="21"/>
  <c r="M88" i="21"/>
  <c r="M89" i="21"/>
  <c r="L87" i="21"/>
  <c r="L88" i="21"/>
  <c r="L89" i="21"/>
  <c r="S87" i="20"/>
  <c r="S88" i="20"/>
  <c r="S89" i="20"/>
  <c r="R87" i="20"/>
  <c r="R88" i="20"/>
  <c r="R89" i="20"/>
  <c r="M102" i="20"/>
  <c r="M103" i="20"/>
  <c r="M104" i="20"/>
  <c r="L102" i="20"/>
  <c r="L103" i="20"/>
  <c r="L104" i="20"/>
  <c r="M97" i="20"/>
  <c r="M98" i="20"/>
  <c r="M99" i="20"/>
  <c r="L97" i="20"/>
  <c r="L98" i="20"/>
  <c r="L99" i="20"/>
  <c r="M92" i="20"/>
  <c r="M93" i="20"/>
  <c r="M94" i="20"/>
  <c r="L92" i="20"/>
  <c r="L93" i="20"/>
  <c r="L94" i="20"/>
  <c r="M87" i="20"/>
  <c r="M88" i="20"/>
  <c r="M89" i="20"/>
  <c r="L87" i="20"/>
  <c r="L88" i="20"/>
  <c r="L89" i="20"/>
  <c r="O89" i="20" s="1"/>
  <c r="S87" i="19"/>
  <c r="S88" i="19"/>
  <c r="S89" i="19"/>
  <c r="R87" i="19"/>
  <c r="R88" i="19"/>
  <c r="R89" i="19"/>
  <c r="M102" i="19"/>
  <c r="M103" i="19"/>
  <c r="M104" i="19"/>
  <c r="L102" i="19"/>
  <c r="L103" i="19"/>
  <c r="L104" i="19"/>
  <c r="M97" i="19"/>
  <c r="M98" i="19"/>
  <c r="M99" i="19"/>
  <c r="M92" i="19"/>
  <c r="M93" i="19"/>
  <c r="M94" i="19"/>
  <c r="L97" i="19"/>
  <c r="L98" i="19"/>
  <c r="L99" i="19"/>
  <c r="L92" i="19"/>
  <c r="L93" i="19"/>
  <c r="L94" i="19"/>
  <c r="M87" i="19"/>
  <c r="M88" i="19"/>
  <c r="M89" i="19"/>
  <c r="L87" i="19"/>
  <c r="L88" i="19"/>
  <c r="L89" i="19"/>
  <c r="S87" i="17"/>
  <c r="S88" i="17"/>
  <c r="S89" i="17"/>
  <c r="R87" i="17"/>
  <c r="R88" i="17"/>
  <c r="R89" i="17"/>
  <c r="M102" i="17"/>
  <c r="M103" i="17"/>
  <c r="M104" i="17"/>
  <c r="L102" i="17"/>
  <c r="L103" i="17"/>
  <c r="L104" i="17"/>
  <c r="M97" i="17"/>
  <c r="L97" i="17"/>
  <c r="M98" i="17"/>
  <c r="M99" i="17"/>
  <c r="L98" i="17"/>
  <c r="L99" i="17"/>
  <c r="M92" i="17"/>
  <c r="M93" i="17"/>
  <c r="M94" i="17"/>
  <c r="L92" i="17"/>
  <c r="L93" i="17"/>
  <c r="L94" i="17"/>
  <c r="M87" i="17"/>
  <c r="M88" i="17"/>
  <c r="M89" i="17"/>
  <c r="L87" i="17"/>
  <c r="L88" i="17"/>
  <c r="L89" i="17"/>
  <c r="S87" i="18"/>
  <c r="S88" i="18"/>
  <c r="S89" i="18"/>
  <c r="R87" i="18"/>
  <c r="R88" i="18"/>
  <c r="R89" i="18"/>
  <c r="M102" i="18"/>
  <c r="M103" i="18"/>
  <c r="M104" i="18"/>
  <c r="L102" i="18"/>
  <c r="L103" i="18"/>
  <c r="L104" i="18"/>
  <c r="O104" i="18" s="1"/>
  <c r="M97" i="18"/>
  <c r="M98" i="18"/>
  <c r="M99" i="18"/>
  <c r="L97" i="18"/>
  <c r="L98" i="18"/>
  <c r="L99" i="18"/>
  <c r="M92" i="18"/>
  <c r="M93" i="18"/>
  <c r="M94" i="18"/>
  <c r="L92" i="18"/>
  <c r="L93" i="18"/>
  <c r="L94" i="18"/>
  <c r="M87" i="18"/>
  <c r="M88" i="18"/>
  <c r="M89" i="18"/>
  <c r="L87" i="18"/>
  <c r="O87" i="18" s="1"/>
  <c r="L88" i="18"/>
  <c r="L89" i="18"/>
  <c r="S87" i="16"/>
  <c r="S88" i="16"/>
  <c r="S89" i="16"/>
  <c r="R87" i="16"/>
  <c r="R88" i="16"/>
  <c r="R89" i="16"/>
  <c r="M102" i="16"/>
  <c r="M103" i="16"/>
  <c r="M104" i="16"/>
  <c r="L102" i="16"/>
  <c r="L103" i="16"/>
  <c r="L104" i="16"/>
  <c r="M97" i="16"/>
  <c r="M98" i="16"/>
  <c r="M99" i="16"/>
  <c r="L97" i="16"/>
  <c r="L98" i="16"/>
  <c r="L99" i="16"/>
  <c r="M92" i="16"/>
  <c r="M93" i="16"/>
  <c r="M94" i="16"/>
  <c r="L92" i="16"/>
  <c r="L93" i="16"/>
  <c r="L94" i="16"/>
  <c r="M87" i="16"/>
  <c r="M88" i="16"/>
  <c r="M89" i="16"/>
  <c r="L87" i="16"/>
  <c r="L88" i="16"/>
  <c r="L89" i="16"/>
  <c r="U87" i="4"/>
  <c r="U88" i="4"/>
  <c r="U89" i="4"/>
  <c r="T87" i="4"/>
  <c r="T88" i="4"/>
  <c r="T89" i="4"/>
  <c r="S87" i="4"/>
  <c r="S88" i="4"/>
  <c r="S89" i="4"/>
  <c r="N102" i="4"/>
  <c r="N103" i="4"/>
  <c r="N104" i="4"/>
  <c r="M102" i="4"/>
  <c r="M103" i="4"/>
  <c r="M104" i="4"/>
  <c r="N97" i="4"/>
  <c r="N98" i="4"/>
  <c r="N99" i="4"/>
  <c r="M97" i="4"/>
  <c r="M98" i="4"/>
  <c r="M99" i="4"/>
  <c r="N92" i="4"/>
  <c r="N93" i="4"/>
  <c r="N94" i="4"/>
  <c r="M92" i="4"/>
  <c r="M93" i="4"/>
  <c r="M94" i="4"/>
  <c r="N87" i="4"/>
  <c r="N88" i="4"/>
  <c r="N89" i="4"/>
  <c r="M87" i="4"/>
  <c r="M88" i="4"/>
  <c r="M89" i="4"/>
  <c r="Q3" i="26"/>
  <c r="Q2" i="26"/>
  <c r="Q1" i="26"/>
  <c r="Q7" i="26"/>
  <c r="Q6" i="26"/>
  <c r="Q9" i="26" s="1"/>
  <c r="Q10" i="26" s="1"/>
  <c r="Q5" i="26"/>
  <c r="B72" i="26"/>
  <c r="D72" i="26"/>
  <c r="F72" i="26"/>
  <c r="H72" i="26"/>
  <c r="B71" i="26"/>
  <c r="D71" i="26"/>
  <c r="F71" i="26"/>
  <c r="H71" i="26"/>
  <c r="B70" i="26"/>
  <c r="D70" i="26"/>
  <c r="F70" i="26"/>
  <c r="H70" i="26"/>
  <c r="B69" i="26"/>
  <c r="D69" i="26"/>
  <c r="F69" i="26"/>
  <c r="H69" i="26"/>
  <c r="B68" i="26"/>
  <c r="D68" i="26"/>
  <c r="F68" i="26"/>
  <c r="H68" i="26"/>
  <c r="B67" i="26"/>
  <c r="D67" i="26"/>
  <c r="F67" i="26"/>
  <c r="H67" i="26"/>
  <c r="B66" i="26"/>
  <c r="D66" i="26"/>
  <c r="F66" i="26"/>
  <c r="H66" i="26"/>
  <c r="B65" i="26"/>
  <c r="D65" i="26"/>
  <c r="F65" i="26"/>
  <c r="H65" i="26"/>
  <c r="B64" i="26"/>
  <c r="D64" i="26"/>
  <c r="F64" i="26"/>
  <c r="H64" i="26"/>
  <c r="B63" i="26"/>
  <c r="D63" i="26"/>
  <c r="F63" i="26"/>
  <c r="H63" i="26"/>
  <c r="B62" i="26"/>
  <c r="D62" i="26"/>
  <c r="F62" i="26"/>
  <c r="H62" i="26"/>
  <c r="B61" i="26"/>
  <c r="D61" i="26"/>
  <c r="F61" i="26"/>
  <c r="H61" i="26"/>
  <c r="B60" i="26"/>
  <c r="D60" i="26"/>
  <c r="F60" i="26"/>
  <c r="H60" i="26"/>
  <c r="B59" i="26"/>
  <c r="D59" i="26"/>
  <c r="F59" i="26"/>
  <c r="H59" i="26"/>
  <c r="B58" i="26"/>
  <c r="D58" i="26"/>
  <c r="F58" i="26"/>
  <c r="H58" i="26"/>
  <c r="B57" i="26"/>
  <c r="D57" i="26"/>
  <c r="F57" i="26"/>
  <c r="H57" i="26"/>
  <c r="B56" i="26"/>
  <c r="D56" i="26"/>
  <c r="F56" i="26"/>
  <c r="H56" i="26"/>
  <c r="B55" i="26"/>
  <c r="D55" i="26"/>
  <c r="F55" i="26"/>
  <c r="H55" i="26"/>
  <c r="B54" i="26"/>
  <c r="D54" i="26"/>
  <c r="F54" i="26"/>
  <c r="H54" i="26"/>
  <c r="B53" i="26"/>
  <c r="D53" i="26"/>
  <c r="F53" i="26"/>
  <c r="H53" i="26"/>
  <c r="B52" i="26"/>
  <c r="D52" i="26"/>
  <c r="F52" i="26"/>
  <c r="H52" i="26"/>
  <c r="B51" i="26"/>
  <c r="D51" i="26"/>
  <c r="F51" i="26"/>
  <c r="H51" i="26"/>
  <c r="B50" i="26"/>
  <c r="D50" i="26"/>
  <c r="F50" i="26"/>
  <c r="H50" i="26"/>
  <c r="B49" i="26"/>
  <c r="D49" i="26"/>
  <c r="F49" i="26"/>
  <c r="H49" i="26"/>
  <c r="B48" i="26"/>
  <c r="D48" i="26"/>
  <c r="F48" i="26"/>
  <c r="H48" i="26"/>
  <c r="B47" i="26"/>
  <c r="D47" i="26"/>
  <c r="F47" i="26"/>
  <c r="H47" i="26"/>
  <c r="B46" i="26"/>
  <c r="D46" i="26"/>
  <c r="F46" i="26"/>
  <c r="H46" i="26"/>
  <c r="B45" i="26"/>
  <c r="D45" i="26"/>
  <c r="F45" i="26"/>
  <c r="H45" i="26"/>
  <c r="B44" i="26"/>
  <c r="D44" i="26"/>
  <c r="F44" i="26"/>
  <c r="H44" i="26"/>
  <c r="B43" i="26"/>
  <c r="D43" i="26"/>
  <c r="F43" i="26"/>
  <c r="H43" i="26"/>
  <c r="B42" i="26"/>
  <c r="D42" i="26"/>
  <c r="F42" i="26"/>
  <c r="H42" i="26"/>
  <c r="B41" i="26"/>
  <c r="D41" i="26"/>
  <c r="F41" i="26"/>
  <c r="H41" i="26"/>
  <c r="B40" i="26"/>
  <c r="D40" i="26"/>
  <c r="F40" i="26"/>
  <c r="H40" i="26"/>
  <c r="B39" i="26"/>
  <c r="D39" i="26"/>
  <c r="F39" i="26"/>
  <c r="H39" i="26"/>
  <c r="B38" i="26"/>
  <c r="D38" i="26"/>
  <c r="F38" i="26"/>
  <c r="H38" i="26"/>
  <c r="B37" i="26"/>
  <c r="D37" i="26"/>
  <c r="F37" i="26"/>
  <c r="H37" i="26"/>
  <c r="B36" i="26"/>
  <c r="D36" i="26"/>
  <c r="F36" i="26"/>
  <c r="H36" i="26"/>
  <c r="B35" i="26"/>
  <c r="D35" i="26"/>
  <c r="F35" i="26"/>
  <c r="H35" i="26"/>
  <c r="B34" i="26"/>
  <c r="D34" i="26"/>
  <c r="F34" i="26"/>
  <c r="H34" i="26"/>
  <c r="D33" i="26"/>
  <c r="F33" i="26"/>
  <c r="H33" i="26"/>
  <c r="B33" i="26"/>
  <c r="D31" i="26"/>
  <c r="D32" i="26"/>
  <c r="F31" i="26"/>
  <c r="F32" i="26"/>
  <c r="H31" i="26"/>
  <c r="H32" i="26"/>
  <c r="B32" i="26"/>
  <c r="B31" i="26"/>
  <c r="F30" i="26"/>
  <c r="H30" i="26"/>
  <c r="D30" i="26"/>
  <c r="B30" i="26"/>
  <c r="F29" i="26"/>
  <c r="H29" i="26"/>
  <c r="D29" i="26"/>
  <c r="B29" i="26"/>
  <c r="B28" i="26"/>
  <c r="D28" i="26"/>
  <c r="F28" i="26"/>
  <c r="H28" i="26"/>
  <c r="D27" i="26"/>
  <c r="F27" i="26"/>
  <c r="H27" i="26"/>
  <c r="B27" i="26"/>
  <c r="D25" i="26"/>
  <c r="D26" i="26"/>
  <c r="F25" i="26"/>
  <c r="F26" i="26"/>
  <c r="H25" i="26"/>
  <c r="H26" i="26"/>
  <c r="B26" i="26"/>
  <c r="B25" i="26"/>
  <c r="D22" i="26"/>
  <c r="D23" i="26"/>
  <c r="D24" i="26"/>
  <c r="F22" i="26"/>
  <c r="F23" i="26"/>
  <c r="F24" i="26"/>
  <c r="H22" i="26"/>
  <c r="H23" i="26"/>
  <c r="H24" i="26"/>
  <c r="B24" i="26"/>
  <c r="B23" i="26"/>
  <c r="B22" i="26"/>
  <c r="F21" i="26"/>
  <c r="H21" i="26"/>
  <c r="D21" i="26"/>
  <c r="B21" i="26"/>
  <c r="F20" i="26"/>
  <c r="H20" i="26"/>
  <c r="D20" i="26"/>
  <c r="B20" i="26"/>
  <c r="F19" i="26"/>
  <c r="H19" i="26"/>
  <c r="D19" i="26"/>
  <c r="B19" i="26"/>
  <c r="B18" i="26"/>
  <c r="D18" i="26"/>
  <c r="F18" i="26"/>
  <c r="H18" i="26"/>
  <c r="D17" i="26"/>
  <c r="F17" i="26"/>
  <c r="H17" i="26"/>
  <c r="B17" i="26"/>
  <c r="D16" i="26"/>
  <c r="F16" i="26"/>
  <c r="H16" i="26"/>
  <c r="B16" i="26"/>
  <c r="D15" i="26"/>
  <c r="F15" i="26"/>
  <c r="H15" i="26"/>
  <c r="B15" i="26"/>
  <c r="F13" i="26"/>
  <c r="F14" i="26"/>
  <c r="H13" i="26"/>
  <c r="H14" i="26"/>
  <c r="B13" i="26"/>
  <c r="D13" i="26"/>
  <c r="B14" i="26"/>
  <c r="D14" i="26"/>
  <c r="B12" i="26"/>
  <c r="D12" i="26"/>
  <c r="F12" i="26"/>
  <c r="H12" i="26"/>
  <c r="B11" i="26"/>
  <c r="D11" i="26"/>
  <c r="F11" i="26"/>
  <c r="H11" i="26"/>
  <c r="B10" i="26"/>
  <c r="D10" i="26"/>
  <c r="F10" i="26"/>
  <c r="H10" i="26"/>
  <c r="B9" i="26"/>
  <c r="D9" i="26"/>
  <c r="F9" i="26"/>
  <c r="H9" i="26"/>
  <c r="B8" i="26"/>
  <c r="D8" i="26"/>
  <c r="F8" i="26"/>
  <c r="H8" i="26"/>
  <c r="B7" i="26"/>
  <c r="D7" i="26"/>
  <c r="F7" i="26"/>
  <c r="H7" i="26"/>
  <c r="B6" i="26"/>
  <c r="D6" i="26"/>
  <c r="F6" i="26"/>
  <c r="H6" i="26"/>
  <c r="B5" i="26"/>
  <c r="D5" i="26"/>
  <c r="F5" i="26"/>
  <c r="H5" i="26"/>
  <c r="B4" i="26"/>
  <c r="D4" i="26"/>
  <c r="F4" i="26"/>
  <c r="H4" i="26"/>
  <c r="H3" i="26"/>
  <c r="F3" i="26"/>
  <c r="D3" i="26"/>
  <c r="B3" i="26"/>
  <c r="U66" i="22"/>
  <c r="U67" i="22"/>
  <c r="U68" i="22"/>
  <c r="T66" i="22"/>
  <c r="T67" i="22"/>
  <c r="T68" i="22"/>
  <c r="S66" i="22"/>
  <c r="S67" i="22"/>
  <c r="S68" i="22"/>
  <c r="N81" i="22"/>
  <c r="N82" i="22"/>
  <c r="N83" i="22"/>
  <c r="M81" i="22"/>
  <c r="M82" i="22"/>
  <c r="M83" i="22"/>
  <c r="N76" i="22"/>
  <c r="N77" i="22"/>
  <c r="N78" i="22"/>
  <c r="M76" i="22"/>
  <c r="M77" i="22"/>
  <c r="M78" i="22"/>
  <c r="N71" i="22"/>
  <c r="N72" i="22"/>
  <c r="N73" i="22"/>
  <c r="M71" i="22"/>
  <c r="M72" i="22"/>
  <c r="P72" i="22" s="1"/>
  <c r="M73" i="22"/>
  <c r="N66" i="22"/>
  <c r="N67" i="22"/>
  <c r="N68" i="22"/>
  <c r="M66" i="22"/>
  <c r="O66" i="22" s="1"/>
  <c r="M67" i="22"/>
  <c r="M68" i="22"/>
  <c r="S66" i="21"/>
  <c r="S67" i="21"/>
  <c r="S68" i="21"/>
  <c r="R66" i="21"/>
  <c r="R67" i="21"/>
  <c r="R68" i="21"/>
  <c r="M81" i="21"/>
  <c r="M82" i="21"/>
  <c r="M83" i="21"/>
  <c r="L81" i="21"/>
  <c r="L82" i="21"/>
  <c r="L83" i="21"/>
  <c r="M76" i="21"/>
  <c r="M77" i="21"/>
  <c r="M78" i="21"/>
  <c r="L76" i="21"/>
  <c r="L77" i="21"/>
  <c r="L78" i="21"/>
  <c r="M71" i="21"/>
  <c r="M72" i="21"/>
  <c r="M73" i="21"/>
  <c r="L71" i="21"/>
  <c r="L72" i="21"/>
  <c r="L73" i="21"/>
  <c r="M66" i="21"/>
  <c r="M67" i="21"/>
  <c r="M68" i="21"/>
  <c r="L66" i="21"/>
  <c r="L67" i="21"/>
  <c r="L68" i="21"/>
  <c r="M76" i="20"/>
  <c r="S66" i="20"/>
  <c r="S67" i="20"/>
  <c r="S68" i="20"/>
  <c r="R66" i="20"/>
  <c r="R67" i="20"/>
  <c r="R68" i="20"/>
  <c r="M81" i="20"/>
  <c r="M82" i="20"/>
  <c r="M83" i="20"/>
  <c r="L81" i="20"/>
  <c r="L82" i="20"/>
  <c r="L83" i="20"/>
  <c r="M77" i="20"/>
  <c r="M78" i="20"/>
  <c r="L76" i="20"/>
  <c r="L77" i="20"/>
  <c r="L78" i="20"/>
  <c r="M71" i="20"/>
  <c r="M72" i="20"/>
  <c r="M73" i="20"/>
  <c r="L71" i="20"/>
  <c r="L72" i="20"/>
  <c r="L73" i="20"/>
  <c r="M66" i="20"/>
  <c r="M67" i="20"/>
  <c r="M68" i="20"/>
  <c r="L66" i="20"/>
  <c r="L67" i="20"/>
  <c r="L68" i="20"/>
  <c r="S66" i="19"/>
  <c r="S67" i="19"/>
  <c r="S68" i="19"/>
  <c r="R66" i="19"/>
  <c r="R67" i="19"/>
  <c r="R68" i="19"/>
  <c r="M81" i="19"/>
  <c r="M82" i="19"/>
  <c r="M83" i="19"/>
  <c r="L81" i="19"/>
  <c r="L82" i="19"/>
  <c r="L83" i="19"/>
  <c r="M76" i="19"/>
  <c r="M77" i="19"/>
  <c r="M78" i="19"/>
  <c r="L76" i="19"/>
  <c r="L77" i="19"/>
  <c r="L78" i="19"/>
  <c r="M71" i="19"/>
  <c r="M72" i="19"/>
  <c r="M73" i="19"/>
  <c r="L71" i="19"/>
  <c r="L72" i="19"/>
  <c r="L73" i="19"/>
  <c r="M66" i="19"/>
  <c r="M67" i="19"/>
  <c r="M68" i="19"/>
  <c r="L66" i="19"/>
  <c r="L67" i="19"/>
  <c r="L68" i="19"/>
  <c r="S66" i="17"/>
  <c r="S67" i="17"/>
  <c r="S68" i="17"/>
  <c r="R66" i="17"/>
  <c r="R67" i="17"/>
  <c r="R68" i="17"/>
  <c r="M81" i="17"/>
  <c r="M82" i="17"/>
  <c r="M83" i="17"/>
  <c r="L81" i="17"/>
  <c r="L82" i="17"/>
  <c r="L83" i="17"/>
  <c r="M76" i="17"/>
  <c r="M77" i="17"/>
  <c r="M78" i="17"/>
  <c r="L76" i="17"/>
  <c r="L77" i="17"/>
  <c r="L78" i="17"/>
  <c r="M71" i="17"/>
  <c r="M72" i="17"/>
  <c r="M73" i="17"/>
  <c r="L71" i="17"/>
  <c r="L72" i="17"/>
  <c r="L73" i="17"/>
  <c r="O73" i="17" s="1"/>
  <c r="M66" i="17"/>
  <c r="M67" i="17"/>
  <c r="M68" i="17"/>
  <c r="L66" i="17"/>
  <c r="L67" i="17"/>
  <c r="L68" i="17"/>
  <c r="S66" i="18"/>
  <c r="S67" i="18"/>
  <c r="S68" i="18"/>
  <c r="R66" i="18"/>
  <c r="R67" i="18"/>
  <c r="R68" i="18"/>
  <c r="M81" i="18"/>
  <c r="M82" i="18"/>
  <c r="M83" i="18"/>
  <c r="L81" i="18"/>
  <c r="L82" i="18"/>
  <c r="L83" i="18"/>
  <c r="M76" i="18"/>
  <c r="M77" i="18"/>
  <c r="M78" i="18"/>
  <c r="L76" i="18"/>
  <c r="L77" i="18"/>
  <c r="L78" i="18"/>
  <c r="M71" i="18"/>
  <c r="M72" i="18"/>
  <c r="M73" i="18"/>
  <c r="L71" i="18"/>
  <c r="L72" i="18"/>
  <c r="L73" i="18"/>
  <c r="M66" i="18"/>
  <c r="M67" i="18"/>
  <c r="M68" i="18"/>
  <c r="L66" i="18"/>
  <c r="L67" i="18"/>
  <c r="L68" i="18"/>
  <c r="S66" i="16"/>
  <c r="S67" i="16"/>
  <c r="S68" i="16"/>
  <c r="R66" i="16"/>
  <c r="R67" i="16"/>
  <c r="R68" i="16"/>
  <c r="M81" i="16"/>
  <c r="M82" i="16"/>
  <c r="M83" i="16"/>
  <c r="L81" i="16"/>
  <c r="L82" i="16"/>
  <c r="L83" i="16"/>
  <c r="M76" i="16"/>
  <c r="M77" i="16"/>
  <c r="M78" i="16"/>
  <c r="L76" i="16"/>
  <c r="L77" i="16"/>
  <c r="L78" i="16"/>
  <c r="M71" i="16"/>
  <c r="M72" i="16"/>
  <c r="M73" i="16"/>
  <c r="L71" i="16"/>
  <c r="L72" i="16"/>
  <c r="L73" i="16"/>
  <c r="M66" i="16"/>
  <c r="M67" i="16"/>
  <c r="M68" i="16"/>
  <c r="L66" i="16"/>
  <c r="L67" i="16"/>
  <c r="L68" i="16"/>
  <c r="U66" i="4"/>
  <c r="U67" i="4"/>
  <c r="U68" i="4"/>
  <c r="T66" i="4"/>
  <c r="T67" i="4"/>
  <c r="T68" i="4"/>
  <c r="S66" i="4"/>
  <c r="S67" i="4"/>
  <c r="S68" i="4"/>
  <c r="N81" i="4"/>
  <c r="N82" i="4"/>
  <c r="N83" i="4"/>
  <c r="M81" i="4"/>
  <c r="M82" i="4"/>
  <c r="M83" i="4"/>
  <c r="N76" i="4"/>
  <c r="N77" i="4"/>
  <c r="N78" i="4"/>
  <c r="M76" i="4"/>
  <c r="M77" i="4"/>
  <c r="M78" i="4"/>
  <c r="N71" i="4"/>
  <c r="N72" i="4"/>
  <c r="N73" i="4"/>
  <c r="M71" i="4"/>
  <c r="M72" i="4"/>
  <c r="M73" i="4"/>
  <c r="P73" i="4" s="1"/>
  <c r="N66" i="4"/>
  <c r="M66" i="4"/>
  <c r="N67" i="4"/>
  <c r="N68" i="4"/>
  <c r="M67" i="4"/>
  <c r="M68" i="4"/>
  <c r="O7" i="24"/>
  <c r="O6" i="24"/>
  <c r="O5" i="24"/>
  <c r="O3" i="24"/>
  <c r="O2" i="24"/>
  <c r="O1" i="24"/>
  <c r="B53" i="24"/>
  <c r="B54" i="24"/>
  <c r="B55" i="24"/>
  <c r="B56" i="24"/>
  <c r="B57" i="24"/>
  <c r="B58" i="24"/>
  <c r="D53" i="24"/>
  <c r="D54" i="24"/>
  <c r="D55" i="24"/>
  <c r="D56" i="24"/>
  <c r="D57" i="24"/>
  <c r="D58" i="24"/>
  <c r="F53" i="24"/>
  <c r="F54" i="24"/>
  <c r="F55" i="24"/>
  <c r="F56" i="24"/>
  <c r="F57" i="24"/>
  <c r="F58" i="24"/>
  <c r="B45" i="24"/>
  <c r="B46" i="24"/>
  <c r="B47" i="24"/>
  <c r="B48" i="24"/>
  <c r="B49" i="24"/>
  <c r="B50" i="24"/>
  <c r="B51" i="24"/>
  <c r="B52" i="24"/>
  <c r="D45" i="24"/>
  <c r="D46" i="24"/>
  <c r="D47" i="24"/>
  <c r="D48" i="24"/>
  <c r="D49" i="24"/>
  <c r="D50" i="24"/>
  <c r="D51" i="24"/>
  <c r="D52" i="24"/>
  <c r="F45" i="24"/>
  <c r="F46" i="24"/>
  <c r="F47" i="24"/>
  <c r="F48" i="24"/>
  <c r="F49" i="24"/>
  <c r="F50" i="24"/>
  <c r="F51" i="24"/>
  <c r="F52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F26" i="24"/>
  <c r="F27" i="24"/>
  <c r="F28" i="24"/>
  <c r="F29" i="24"/>
  <c r="F30" i="24"/>
  <c r="F31" i="24"/>
  <c r="F32" i="24"/>
  <c r="F33" i="24"/>
  <c r="F34" i="24"/>
  <c r="F35" i="24"/>
  <c r="F36" i="24"/>
  <c r="F37" i="24"/>
  <c r="F38" i="24"/>
  <c r="F39" i="24"/>
  <c r="F40" i="24"/>
  <c r="F41" i="24"/>
  <c r="F42" i="24"/>
  <c r="F43" i="24"/>
  <c r="F44" i="24"/>
  <c r="B25" i="24"/>
  <c r="D25" i="24"/>
  <c r="F25" i="24"/>
  <c r="B24" i="24"/>
  <c r="D24" i="24"/>
  <c r="F24" i="24"/>
  <c r="B23" i="24"/>
  <c r="D23" i="24"/>
  <c r="F23" i="24"/>
  <c r="B22" i="24"/>
  <c r="D22" i="24"/>
  <c r="F22" i="24"/>
  <c r="B21" i="24"/>
  <c r="D21" i="24"/>
  <c r="F21" i="24"/>
  <c r="B20" i="24"/>
  <c r="D20" i="24"/>
  <c r="F20" i="24"/>
  <c r="B19" i="24"/>
  <c r="D19" i="24"/>
  <c r="F19" i="24"/>
  <c r="B18" i="24"/>
  <c r="D18" i="24"/>
  <c r="F18" i="24"/>
  <c r="B17" i="24"/>
  <c r="D17" i="24"/>
  <c r="F17" i="24"/>
  <c r="B16" i="24"/>
  <c r="D16" i="24"/>
  <c r="F16" i="24"/>
  <c r="B15" i="24"/>
  <c r="D15" i="24"/>
  <c r="F15" i="24"/>
  <c r="B14" i="24"/>
  <c r="D14" i="24"/>
  <c r="F14" i="24"/>
  <c r="B13" i="24"/>
  <c r="D13" i="24"/>
  <c r="F13" i="24"/>
  <c r="B12" i="24"/>
  <c r="D12" i="24"/>
  <c r="F12" i="24"/>
  <c r="B11" i="24"/>
  <c r="D11" i="24"/>
  <c r="F11" i="24"/>
  <c r="B10" i="24"/>
  <c r="D10" i="24"/>
  <c r="F10" i="24"/>
  <c r="F4" i="24"/>
  <c r="F5" i="24"/>
  <c r="F6" i="24"/>
  <c r="F7" i="24"/>
  <c r="F8" i="24"/>
  <c r="F9" i="24"/>
  <c r="F3" i="24"/>
  <c r="D3" i="24"/>
  <c r="D4" i="24"/>
  <c r="D5" i="24"/>
  <c r="D6" i="24"/>
  <c r="D7" i="24"/>
  <c r="D8" i="24"/>
  <c r="D9" i="24"/>
  <c r="B3" i="24"/>
  <c r="B4" i="24"/>
  <c r="B5" i="24"/>
  <c r="B6" i="24"/>
  <c r="B7" i="24"/>
  <c r="B8" i="24"/>
  <c r="B9" i="24"/>
  <c r="O73" i="16" l="1"/>
  <c r="O68" i="22"/>
  <c r="O94" i="19"/>
  <c r="P83" i="4"/>
  <c r="O82" i="18"/>
  <c r="O87" i="16"/>
  <c r="P76" i="4"/>
  <c r="O67" i="17"/>
  <c r="O82" i="19"/>
  <c r="O77" i="20"/>
  <c r="O78" i="19"/>
  <c r="O81" i="19"/>
  <c r="O73" i="20"/>
  <c r="O68" i="21"/>
  <c r="P78" i="22"/>
  <c r="P81" i="22"/>
  <c r="P82" i="22"/>
  <c r="O76" i="16"/>
  <c r="O123" i="16"/>
  <c r="O110" i="17"/>
  <c r="O113" i="17"/>
  <c r="O125" i="19"/>
  <c r="P102" i="22"/>
  <c r="O94" i="16"/>
  <c r="O97" i="16"/>
  <c r="O87" i="17"/>
  <c r="P94" i="4"/>
  <c r="P97" i="4"/>
  <c r="O93" i="18"/>
  <c r="O103" i="19"/>
  <c r="O93" i="21"/>
  <c r="O88" i="18"/>
  <c r="P104" i="4"/>
  <c r="O104" i="16"/>
  <c r="O94" i="18"/>
  <c r="O92" i="17"/>
  <c r="O76" i="20"/>
  <c r="O71" i="21"/>
  <c r="G32" i="24"/>
  <c r="O66" i="16"/>
  <c r="O83" i="16"/>
  <c r="O76" i="17"/>
  <c r="O71" i="19"/>
  <c r="O78" i="21"/>
  <c r="O81" i="21"/>
  <c r="P77" i="22"/>
  <c r="P108" i="4"/>
  <c r="O114" i="21"/>
  <c r="P119" i="22"/>
  <c r="G18" i="28"/>
  <c r="O123" i="21"/>
  <c r="P118" i="22"/>
  <c r="P114" i="22"/>
  <c r="P92" i="4"/>
  <c r="O93" i="16"/>
  <c r="O94" i="17"/>
  <c r="O104" i="20"/>
  <c r="O89" i="16"/>
  <c r="O99" i="16"/>
  <c r="O97" i="17"/>
  <c r="O89" i="22"/>
  <c r="O68" i="16"/>
  <c r="O78" i="16"/>
  <c r="O66" i="18"/>
  <c r="O83" i="18"/>
  <c r="O68" i="17"/>
  <c r="O71" i="17"/>
  <c r="O78" i="17"/>
  <c r="O81" i="17"/>
  <c r="O66" i="19"/>
  <c r="O83" i="19"/>
  <c r="O73" i="21"/>
  <c r="P73" i="22"/>
  <c r="P76" i="22"/>
  <c r="P83" i="22"/>
  <c r="P71" i="4"/>
  <c r="O77" i="19"/>
  <c r="O72" i="20"/>
  <c r="O81" i="20"/>
  <c r="G204" i="28"/>
  <c r="G196" i="28"/>
  <c r="G188" i="28"/>
  <c r="G180" i="28"/>
  <c r="G172" i="28"/>
  <c r="G164" i="28"/>
  <c r="G156" i="28"/>
  <c r="G148" i="28"/>
  <c r="G140" i="28"/>
  <c r="G132" i="28"/>
  <c r="G108" i="28"/>
  <c r="G100" i="28"/>
  <c r="G92" i="28"/>
  <c r="G84" i="28"/>
  <c r="G76" i="28"/>
  <c r="G68" i="28"/>
  <c r="G60" i="28"/>
  <c r="G52" i="28"/>
  <c r="G44" i="28"/>
  <c r="G36" i="28"/>
  <c r="G28" i="28"/>
  <c r="G20" i="28"/>
  <c r="G12" i="28"/>
  <c r="G4" i="28"/>
  <c r="P124" i="22"/>
  <c r="N108" i="19"/>
  <c r="O115" i="21"/>
  <c r="G61" i="28"/>
  <c r="O119" i="21"/>
  <c r="O120" i="17"/>
  <c r="O123" i="17"/>
  <c r="O115" i="19"/>
  <c r="O118" i="19"/>
  <c r="P125" i="22"/>
  <c r="O108" i="21"/>
  <c r="O125" i="21"/>
  <c r="G146" i="28"/>
  <c r="G74" i="28"/>
  <c r="G66" i="28"/>
  <c r="O123" i="18"/>
  <c r="O115" i="17"/>
  <c r="P113" i="22"/>
  <c r="G210" i="28"/>
  <c r="G194" i="28"/>
  <c r="G170" i="28"/>
  <c r="G130" i="28"/>
  <c r="G114" i="28"/>
  <c r="G106" i="28"/>
  <c r="G90" i="28"/>
  <c r="G58" i="28"/>
  <c r="G50" i="28"/>
  <c r="G42" i="28"/>
  <c r="G34" i="28"/>
  <c r="G26" i="28"/>
  <c r="G10" i="28"/>
  <c r="G124" i="28"/>
  <c r="G116" i="28"/>
  <c r="G29" i="28"/>
  <c r="P124" i="4"/>
  <c r="O108" i="16"/>
  <c r="O120" i="18"/>
  <c r="G198" i="28"/>
  <c r="G158" i="28"/>
  <c r="G126" i="28"/>
  <c r="G62" i="28"/>
  <c r="G38" i="28"/>
  <c r="G30" i="28"/>
  <c r="O120" i="16"/>
  <c r="O120" i="21"/>
  <c r="O114" i="18"/>
  <c r="P120" i="22"/>
  <c r="P123" i="22"/>
  <c r="G89" i="28"/>
  <c r="G41" i="28"/>
  <c r="G33" i="28"/>
  <c r="O110" i="22"/>
  <c r="G123" i="28"/>
  <c r="G59" i="28"/>
  <c r="P110" i="22"/>
  <c r="P68" i="22"/>
  <c r="I9" i="3"/>
  <c r="J9" i="3" s="1"/>
  <c r="I8" i="3"/>
  <c r="J8" i="3" s="1"/>
  <c r="I7" i="3"/>
  <c r="J7" i="3" s="1"/>
  <c r="I6" i="3"/>
  <c r="J6" i="3" s="1"/>
  <c r="I5" i="3"/>
  <c r="J5" i="3" s="1"/>
  <c r="I4" i="3"/>
  <c r="J4" i="3" s="1"/>
  <c r="I3" i="3"/>
  <c r="J3" i="3" s="1"/>
  <c r="G205" i="28"/>
  <c r="G197" i="28"/>
  <c r="G189" i="28"/>
  <c r="G181" i="28"/>
  <c r="G173" i="28"/>
  <c r="G165" i="28"/>
  <c r="G157" i="28"/>
  <c r="G149" i="28"/>
  <c r="G141" i="28"/>
  <c r="G133" i="28"/>
  <c r="G125" i="28"/>
  <c r="G117" i="28"/>
  <c r="G109" i="28"/>
  <c r="G101" i="28"/>
  <c r="G93" i="28"/>
  <c r="G85" i="28"/>
  <c r="G77" i="28"/>
  <c r="G69" i="28"/>
  <c r="G53" i="28"/>
  <c r="G45" i="28"/>
  <c r="G37" i="28"/>
  <c r="G21" i="28"/>
  <c r="G13" i="28"/>
  <c r="G5" i="28"/>
  <c r="G199" i="28"/>
  <c r="G191" i="28"/>
  <c r="G183" i="28"/>
  <c r="G175" i="28"/>
  <c r="G167" i="28"/>
  <c r="G159" i="28"/>
  <c r="G151" i="28"/>
  <c r="G143" i="28"/>
  <c r="G135" i="28"/>
  <c r="G127" i="28"/>
  <c r="G119" i="28"/>
  <c r="G111" i="28"/>
  <c r="G103" i="28"/>
  <c r="G95" i="28"/>
  <c r="G87" i="28"/>
  <c r="G79" i="28"/>
  <c r="G71" i="28"/>
  <c r="G63" i="28"/>
  <c r="G55" i="28"/>
  <c r="G47" i="28"/>
  <c r="G39" i="28"/>
  <c r="G31" i="28"/>
  <c r="G23" i="28"/>
  <c r="G15" i="28"/>
  <c r="G7" i="28"/>
  <c r="O119" i="18"/>
  <c r="O118" i="4"/>
  <c r="O120" i="20"/>
  <c r="O123" i="20"/>
  <c r="O110" i="21"/>
  <c r="P113" i="4"/>
  <c r="O125" i="18"/>
  <c r="O114" i="19"/>
  <c r="N110" i="20"/>
  <c r="O113" i="20"/>
  <c r="O124" i="21"/>
  <c r="G208" i="28"/>
  <c r="G200" i="28"/>
  <c r="G192" i="28"/>
  <c r="G184" i="28"/>
  <c r="G176" i="28"/>
  <c r="G168" i="28"/>
  <c r="G160" i="28"/>
  <c r="G152" i="28"/>
  <c r="G144" i="28"/>
  <c r="G136" i="28"/>
  <c r="G128" i="28"/>
  <c r="G120" i="28"/>
  <c r="G104" i="28"/>
  <c r="G96" i="28"/>
  <c r="G88" i="28"/>
  <c r="L8" i="28"/>
  <c r="G72" i="28"/>
  <c r="G64" i="28"/>
  <c r="G56" i="28"/>
  <c r="G48" i="28"/>
  <c r="G40" i="28"/>
  <c r="G32" i="28"/>
  <c r="G24" i="28"/>
  <c r="G16" i="28"/>
  <c r="G8" i="28"/>
  <c r="P120" i="4"/>
  <c r="P123" i="4"/>
  <c r="O118" i="18"/>
  <c r="O119" i="17"/>
  <c r="O124" i="19"/>
  <c r="O108" i="20"/>
  <c r="O125" i="20"/>
  <c r="I2" i="3"/>
  <c r="J2" i="3" s="1"/>
  <c r="P115" i="22"/>
  <c r="P109" i="22"/>
  <c r="O109" i="22"/>
  <c r="P108" i="22"/>
  <c r="O108" i="22"/>
  <c r="O114" i="22"/>
  <c r="O118" i="22"/>
  <c r="O120" i="22"/>
  <c r="O124" i="22"/>
  <c r="O113" i="22"/>
  <c r="O115" i="22"/>
  <c r="O119" i="22"/>
  <c r="O123" i="22"/>
  <c r="O125" i="22"/>
  <c r="O118" i="21"/>
  <c r="O113" i="21"/>
  <c r="O99" i="21"/>
  <c r="N108" i="21"/>
  <c r="O76" i="21"/>
  <c r="O72" i="21"/>
  <c r="N110" i="21"/>
  <c r="N109" i="21"/>
  <c r="N114" i="21"/>
  <c r="N118" i="21"/>
  <c r="N120" i="21"/>
  <c r="N124" i="21"/>
  <c r="O109" i="21"/>
  <c r="N113" i="21"/>
  <c r="N115" i="21"/>
  <c r="N119" i="21"/>
  <c r="N123" i="21"/>
  <c r="N125" i="21"/>
  <c r="O110" i="16"/>
  <c r="O114" i="20"/>
  <c r="G70" i="28"/>
  <c r="O119" i="20"/>
  <c r="P119" i="4"/>
  <c r="O124" i="20"/>
  <c r="G102" i="28"/>
  <c r="P109" i="4"/>
  <c r="O120" i="19"/>
  <c r="G134" i="28"/>
  <c r="P125" i="4"/>
  <c r="O124" i="16"/>
  <c r="O118" i="17"/>
  <c r="G182" i="28"/>
  <c r="O118" i="20"/>
  <c r="O115" i="20"/>
  <c r="O110" i="20"/>
  <c r="N109" i="20"/>
  <c r="N114" i="20"/>
  <c r="N118" i="20"/>
  <c r="N120" i="20"/>
  <c r="N124" i="20"/>
  <c r="O109" i="20"/>
  <c r="N108" i="20"/>
  <c r="N113" i="20"/>
  <c r="N115" i="20"/>
  <c r="N119" i="20"/>
  <c r="N123" i="20"/>
  <c r="N125" i="20"/>
  <c r="L3" i="28"/>
  <c r="L10" i="28"/>
  <c r="O108" i="4"/>
  <c r="O114" i="16"/>
  <c r="N110" i="18"/>
  <c r="O119" i="19"/>
  <c r="G190" i="28"/>
  <c r="G166" i="28"/>
  <c r="G142" i="28"/>
  <c r="G118" i="28"/>
  <c r="G94" i="28"/>
  <c r="G54" i="28"/>
  <c r="G14" i="28"/>
  <c r="O119" i="16"/>
  <c r="L26" i="28"/>
  <c r="P115" i="4"/>
  <c r="O115" i="16"/>
  <c r="O118" i="16"/>
  <c r="O124" i="18"/>
  <c r="O124" i="17"/>
  <c r="L21" i="28"/>
  <c r="G110" i="28"/>
  <c r="G86" i="28"/>
  <c r="G46" i="28"/>
  <c r="G6" i="28"/>
  <c r="O114" i="17"/>
  <c r="G80" i="28"/>
  <c r="G112" i="28"/>
  <c r="O125" i="16"/>
  <c r="O110" i="18"/>
  <c r="G206" i="28"/>
  <c r="G174" i="28"/>
  <c r="G150" i="28"/>
  <c r="G78" i="28"/>
  <c r="G22" i="28"/>
  <c r="O110" i="19"/>
  <c r="O123" i="19"/>
  <c r="O113" i="19"/>
  <c r="N110" i="19"/>
  <c r="N109" i="19"/>
  <c r="N114" i="19"/>
  <c r="N118" i="19"/>
  <c r="N120" i="19"/>
  <c r="N124" i="19"/>
  <c r="O109" i="19"/>
  <c r="O108" i="19"/>
  <c r="N113" i="19"/>
  <c r="N115" i="19"/>
  <c r="N119" i="19"/>
  <c r="N123" i="19"/>
  <c r="N125" i="19"/>
  <c r="O125" i="17"/>
  <c r="O108" i="17"/>
  <c r="N108" i="17"/>
  <c r="N110" i="17"/>
  <c r="N109" i="17"/>
  <c r="N114" i="17"/>
  <c r="N118" i="17"/>
  <c r="N120" i="17"/>
  <c r="N124" i="17"/>
  <c r="O109" i="17"/>
  <c r="N113" i="17"/>
  <c r="N115" i="17"/>
  <c r="N119" i="17"/>
  <c r="N123" i="17"/>
  <c r="N125" i="17"/>
  <c r="O115" i="18"/>
  <c r="O113" i="18"/>
  <c r="O108" i="18"/>
  <c r="N109" i="18"/>
  <c r="N114" i="18"/>
  <c r="N118" i="18"/>
  <c r="N120" i="18"/>
  <c r="N124" i="18"/>
  <c r="O109" i="18"/>
  <c r="N108" i="18"/>
  <c r="N113" i="18"/>
  <c r="N115" i="18"/>
  <c r="N119" i="18"/>
  <c r="N123" i="18"/>
  <c r="N125" i="18"/>
  <c r="O113" i="16"/>
  <c r="N108" i="16"/>
  <c r="N109" i="16"/>
  <c r="N114" i="16"/>
  <c r="N118" i="16"/>
  <c r="N120" i="16"/>
  <c r="N124" i="16"/>
  <c r="O109" i="16"/>
  <c r="N110" i="16"/>
  <c r="N113" i="16"/>
  <c r="N115" i="16"/>
  <c r="N119" i="16"/>
  <c r="N123" i="16"/>
  <c r="N125" i="16"/>
  <c r="O124" i="4"/>
  <c r="O120" i="4"/>
  <c r="P118" i="4"/>
  <c r="O114" i="4"/>
  <c r="P114" i="4"/>
  <c r="P110" i="4"/>
  <c r="O110" i="4"/>
  <c r="O109" i="4"/>
  <c r="O113" i="4"/>
  <c r="O115" i="4"/>
  <c r="O119" i="4"/>
  <c r="O123" i="4"/>
  <c r="O125" i="4"/>
  <c r="L29" i="28"/>
  <c r="L28" i="28"/>
  <c r="L27" i="28"/>
  <c r="L25" i="28"/>
  <c r="L23" i="28"/>
  <c r="L30" i="28"/>
  <c r="G185" i="28"/>
  <c r="G153" i="28"/>
  <c r="G137" i="28"/>
  <c r="L9" i="28"/>
  <c r="G73" i="28"/>
  <c r="L7" i="28"/>
  <c r="L4" i="28"/>
  <c r="G17" i="28"/>
  <c r="G201" i="28"/>
  <c r="G193" i="28"/>
  <c r="G177" i="28"/>
  <c r="G169" i="28"/>
  <c r="G145" i="28"/>
  <c r="G129" i="28"/>
  <c r="G121" i="28"/>
  <c r="G113" i="28"/>
  <c r="G105" i="28"/>
  <c r="G97" i="28"/>
  <c r="G81" i="28"/>
  <c r="G65" i="28"/>
  <c r="G57" i="28"/>
  <c r="G49" i="28"/>
  <c r="G9" i="28"/>
  <c r="G209" i="28"/>
  <c r="G212" i="28"/>
  <c r="L22" i="28"/>
  <c r="L24" i="28"/>
  <c r="G35" i="28"/>
  <c r="G99" i="28"/>
  <c r="L13" i="28"/>
  <c r="G195" i="28"/>
  <c r="G75" i="28"/>
  <c r="L18" i="28"/>
  <c r="G11" i="28"/>
  <c r="G25" i="28"/>
  <c r="G51" i="28"/>
  <c r="G115" i="28"/>
  <c r="L14" i="28"/>
  <c r="G171" i="28"/>
  <c r="L19" i="28"/>
  <c r="G211" i="28"/>
  <c r="G19" i="28"/>
  <c r="G91" i="28"/>
  <c r="G155" i="28"/>
  <c r="G187" i="28"/>
  <c r="G139" i="28"/>
  <c r="G67" i="28"/>
  <c r="G131" i="28"/>
  <c r="G161" i="28"/>
  <c r="G202" i="28"/>
  <c r="G207" i="28"/>
  <c r="G107" i="28"/>
  <c r="L15" i="28"/>
  <c r="L17" i="28"/>
  <c r="G203" i="28"/>
  <c r="G27" i="28"/>
  <c r="G43" i="28"/>
  <c r="G83" i="28"/>
  <c r="L11" i="28"/>
  <c r="G147" i="28"/>
  <c r="G163" i="28"/>
  <c r="G179" i="28"/>
  <c r="L6" i="28"/>
  <c r="L12" i="28"/>
  <c r="L16" i="28"/>
  <c r="L20" i="28"/>
  <c r="L5" i="28"/>
  <c r="G82" i="28"/>
  <c r="G98" i="28"/>
  <c r="G122" i="28"/>
  <c r="G138" i="28"/>
  <c r="G154" i="28"/>
  <c r="G162" i="28"/>
  <c r="G178" i="28"/>
  <c r="G186" i="28"/>
  <c r="G3" i="28"/>
  <c r="P98" i="4"/>
  <c r="O103" i="16"/>
  <c r="O98" i="18"/>
  <c r="O104" i="17"/>
  <c r="O88" i="19"/>
  <c r="O98" i="21"/>
  <c r="M4" i="26"/>
  <c r="P93" i="4"/>
  <c r="M6" i="26"/>
  <c r="M7" i="26"/>
  <c r="M3" i="26"/>
  <c r="M10" i="26"/>
  <c r="O89" i="21"/>
  <c r="M5" i="26"/>
  <c r="M9" i="26"/>
  <c r="M8" i="26"/>
  <c r="O103" i="18"/>
  <c r="O93" i="19"/>
  <c r="P103" i="22"/>
  <c r="P99" i="22"/>
  <c r="P98" i="22"/>
  <c r="P97" i="22"/>
  <c r="P92" i="22"/>
  <c r="P94" i="22"/>
  <c r="P88" i="22"/>
  <c r="P89" i="22"/>
  <c r="O87" i="22"/>
  <c r="O88" i="22"/>
  <c r="P87" i="22"/>
  <c r="O93" i="22"/>
  <c r="O97" i="22"/>
  <c r="O99" i="22"/>
  <c r="O103" i="22"/>
  <c r="O92" i="22"/>
  <c r="O94" i="22"/>
  <c r="O98" i="22"/>
  <c r="O102" i="22"/>
  <c r="O104" i="22"/>
  <c r="O104" i="21"/>
  <c r="O103" i="21"/>
  <c r="O102" i="21"/>
  <c r="O97" i="21"/>
  <c r="O92" i="21"/>
  <c r="O87" i="21"/>
  <c r="N89" i="21"/>
  <c r="N88" i="21"/>
  <c r="N93" i="21"/>
  <c r="N97" i="21"/>
  <c r="N99" i="21"/>
  <c r="N103" i="21"/>
  <c r="O88" i="21"/>
  <c r="N87" i="21"/>
  <c r="N92" i="21"/>
  <c r="N94" i="21"/>
  <c r="N98" i="21"/>
  <c r="N102" i="21"/>
  <c r="N104" i="21"/>
  <c r="O103" i="20"/>
  <c r="O102" i="20"/>
  <c r="O99" i="20"/>
  <c r="O98" i="20"/>
  <c r="O97" i="20"/>
  <c r="O94" i="20"/>
  <c r="O93" i="20"/>
  <c r="O92" i="20"/>
  <c r="O87" i="20"/>
  <c r="N87" i="20"/>
  <c r="N88" i="20"/>
  <c r="N93" i="20"/>
  <c r="N97" i="20"/>
  <c r="N99" i="20"/>
  <c r="N103" i="20"/>
  <c r="N89" i="20"/>
  <c r="O88" i="20"/>
  <c r="N92" i="20"/>
  <c r="N94" i="20"/>
  <c r="N98" i="20"/>
  <c r="N102" i="20"/>
  <c r="N104" i="20"/>
  <c r="O102" i="19"/>
  <c r="O104" i="19"/>
  <c r="O99" i="19"/>
  <c r="O98" i="19"/>
  <c r="O97" i="19"/>
  <c r="O92" i="19"/>
  <c r="O87" i="19"/>
  <c r="O89" i="19"/>
  <c r="N87" i="19"/>
  <c r="N89" i="19"/>
  <c r="N88" i="19"/>
  <c r="N93" i="19"/>
  <c r="N97" i="19"/>
  <c r="N99" i="19"/>
  <c r="N103" i="19"/>
  <c r="N92" i="19"/>
  <c r="N94" i="19"/>
  <c r="N98" i="19"/>
  <c r="N102" i="19"/>
  <c r="N104" i="19"/>
  <c r="P87" i="4"/>
  <c r="O89" i="18"/>
  <c r="O98" i="17"/>
  <c r="P99" i="4"/>
  <c r="P102" i="4"/>
  <c r="O99" i="18"/>
  <c r="O103" i="17"/>
  <c r="P89" i="4"/>
  <c r="P88" i="4"/>
  <c r="O102" i="17"/>
  <c r="O99" i="17"/>
  <c r="O93" i="17"/>
  <c r="O89" i="17"/>
  <c r="N89" i="17"/>
  <c r="N93" i="17"/>
  <c r="N97" i="17"/>
  <c r="N99" i="17"/>
  <c r="N103" i="17"/>
  <c r="N88" i="17"/>
  <c r="O88" i="17"/>
  <c r="N87" i="17"/>
  <c r="N92" i="17"/>
  <c r="N94" i="17"/>
  <c r="N98" i="17"/>
  <c r="N102" i="17"/>
  <c r="N104" i="17"/>
  <c r="O102" i="18"/>
  <c r="N103" i="18"/>
  <c r="O97" i="18"/>
  <c r="N99" i="18"/>
  <c r="N97" i="18"/>
  <c r="O92" i="18"/>
  <c r="N93" i="18"/>
  <c r="N89" i="18"/>
  <c r="N88" i="18"/>
  <c r="N87" i="18"/>
  <c r="N92" i="18"/>
  <c r="N94" i="18"/>
  <c r="N98" i="18"/>
  <c r="N102" i="18"/>
  <c r="N104" i="18"/>
  <c r="O102" i="16"/>
  <c r="O98" i="16"/>
  <c r="O92" i="16"/>
  <c r="N89" i="16"/>
  <c r="N93" i="16"/>
  <c r="N97" i="16"/>
  <c r="N99" i="16"/>
  <c r="N103" i="16"/>
  <c r="O88" i="16"/>
  <c r="N88" i="16"/>
  <c r="N87" i="16"/>
  <c r="N92" i="16"/>
  <c r="N94" i="16"/>
  <c r="N98" i="16"/>
  <c r="N102" i="16"/>
  <c r="N104" i="16"/>
  <c r="P103" i="4"/>
  <c r="O103" i="4"/>
  <c r="O88" i="4"/>
  <c r="O87" i="4"/>
  <c r="O89" i="4"/>
  <c r="O93" i="4"/>
  <c r="O97" i="4"/>
  <c r="O99" i="4"/>
  <c r="O92" i="4"/>
  <c r="O94" i="4"/>
  <c r="O98" i="4"/>
  <c r="O102" i="4"/>
  <c r="O104" i="4"/>
  <c r="I72" i="26"/>
  <c r="I71" i="26"/>
  <c r="I70" i="26"/>
  <c r="I69" i="26"/>
  <c r="I68" i="26"/>
  <c r="I67" i="26"/>
  <c r="I66" i="26"/>
  <c r="I65" i="26"/>
  <c r="I64" i="26"/>
  <c r="I63" i="26"/>
  <c r="I60" i="26"/>
  <c r="I62" i="26"/>
  <c r="I61" i="26"/>
  <c r="I59" i="26"/>
  <c r="I57" i="26"/>
  <c r="I58" i="26"/>
  <c r="I56" i="26"/>
  <c r="I55" i="26"/>
  <c r="I54" i="26"/>
  <c r="I53" i="26"/>
  <c r="I52" i="26"/>
  <c r="I51" i="26"/>
  <c r="I50" i="26"/>
  <c r="I49" i="26"/>
  <c r="I48" i="26"/>
  <c r="I45" i="26"/>
  <c r="I47" i="26"/>
  <c r="I46" i="26"/>
  <c r="I44" i="26"/>
  <c r="I43" i="26"/>
  <c r="I42" i="26"/>
  <c r="I41" i="26"/>
  <c r="I40" i="26"/>
  <c r="I39" i="26"/>
  <c r="I38" i="26"/>
  <c r="I37" i="26"/>
  <c r="I36" i="26"/>
  <c r="I35" i="26"/>
  <c r="I32" i="26"/>
  <c r="I34" i="26"/>
  <c r="I33" i="26"/>
  <c r="I31" i="26"/>
  <c r="I30" i="26"/>
  <c r="I29" i="26"/>
  <c r="I28" i="26"/>
  <c r="I27" i="26"/>
  <c r="I25" i="26"/>
  <c r="I22" i="26"/>
  <c r="I26" i="26"/>
  <c r="I24" i="26"/>
  <c r="I23" i="26"/>
  <c r="I21" i="26"/>
  <c r="I20" i="26"/>
  <c r="I19" i="26"/>
  <c r="I18" i="26"/>
  <c r="I17" i="26"/>
  <c r="I16" i="26"/>
  <c r="I15" i="26"/>
  <c r="I14" i="26"/>
  <c r="I13" i="26"/>
  <c r="I12" i="26"/>
  <c r="I11" i="26"/>
  <c r="I10" i="26"/>
  <c r="I9" i="26"/>
  <c r="I8" i="26"/>
  <c r="I7" i="26"/>
  <c r="I6" i="26"/>
  <c r="I5" i="26"/>
  <c r="I4" i="26"/>
  <c r="I3" i="26"/>
  <c r="O82" i="16"/>
  <c r="O72" i="18"/>
  <c r="O82" i="17"/>
  <c r="O72" i="19"/>
  <c r="O66" i="20"/>
  <c r="O82" i="20"/>
  <c r="O82" i="21"/>
  <c r="N68" i="19"/>
  <c r="P67" i="22"/>
  <c r="K10" i="24"/>
  <c r="O77" i="17"/>
  <c r="O78" i="20"/>
  <c r="O77" i="21"/>
  <c r="P67" i="4"/>
  <c r="O72" i="16"/>
  <c r="O72" i="17"/>
  <c r="O77" i="18"/>
  <c r="O68" i="20"/>
  <c r="O71" i="20"/>
  <c r="P71" i="22"/>
  <c r="P78" i="4"/>
  <c r="P81" i="4"/>
  <c r="O73" i="18"/>
  <c r="O76" i="18"/>
  <c r="N66" i="17"/>
  <c r="O83" i="17"/>
  <c r="O73" i="19"/>
  <c r="O76" i="19"/>
  <c r="O83" i="20"/>
  <c r="O66" i="21"/>
  <c r="O83" i="21"/>
  <c r="O67" i="22"/>
  <c r="P66" i="22"/>
  <c r="O72" i="22"/>
  <c r="O76" i="22"/>
  <c r="O78" i="22"/>
  <c r="O82" i="22"/>
  <c r="O71" i="22"/>
  <c r="O73" i="22"/>
  <c r="O77" i="22"/>
  <c r="O81" i="22"/>
  <c r="O83" i="22"/>
  <c r="N66" i="21"/>
  <c r="N68" i="21"/>
  <c r="N67" i="21"/>
  <c r="N72" i="21"/>
  <c r="N76" i="21"/>
  <c r="N78" i="21"/>
  <c r="N82" i="21"/>
  <c r="O67" i="21"/>
  <c r="N71" i="21"/>
  <c r="N73" i="21"/>
  <c r="N77" i="21"/>
  <c r="N81" i="21"/>
  <c r="N83" i="21"/>
  <c r="N66" i="20"/>
  <c r="N68" i="20"/>
  <c r="N67" i="20"/>
  <c r="N72" i="20"/>
  <c r="N76" i="20"/>
  <c r="N78" i="20"/>
  <c r="N82" i="20"/>
  <c r="O67" i="20"/>
  <c r="N71" i="20"/>
  <c r="N73" i="20"/>
  <c r="N77" i="20"/>
  <c r="N81" i="20"/>
  <c r="N83" i="20"/>
  <c r="O68" i="19"/>
  <c r="N66" i="19"/>
  <c r="N67" i="19"/>
  <c r="N72" i="19"/>
  <c r="N76" i="19"/>
  <c r="N78" i="19"/>
  <c r="N82" i="19"/>
  <c r="O67" i="19"/>
  <c r="N71" i="19"/>
  <c r="N73" i="19"/>
  <c r="N77" i="19"/>
  <c r="N81" i="19"/>
  <c r="N83" i="19"/>
  <c r="N82" i="17"/>
  <c r="N68" i="17"/>
  <c r="N67" i="17"/>
  <c r="N72" i="17"/>
  <c r="N76" i="17"/>
  <c r="N78" i="17"/>
  <c r="O66" i="17"/>
  <c r="N71" i="17"/>
  <c r="N73" i="17"/>
  <c r="N77" i="17"/>
  <c r="N81" i="17"/>
  <c r="N83" i="17"/>
  <c r="O81" i="18"/>
  <c r="O78" i="18"/>
  <c r="O71" i="18"/>
  <c r="O68" i="18"/>
  <c r="N66" i="18"/>
  <c r="N68" i="18"/>
  <c r="N67" i="18"/>
  <c r="N72" i="18"/>
  <c r="N76" i="18"/>
  <c r="N78" i="18"/>
  <c r="N82" i="18"/>
  <c r="O67" i="18"/>
  <c r="N71" i="18"/>
  <c r="N73" i="18"/>
  <c r="N77" i="18"/>
  <c r="N81" i="18"/>
  <c r="N83" i="18"/>
  <c r="O81" i="16"/>
  <c r="O77" i="16"/>
  <c r="O71" i="16"/>
  <c r="N66" i="16"/>
  <c r="N68" i="16"/>
  <c r="N67" i="16"/>
  <c r="N72" i="16"/>
  <c r="N76" i="16"/>
  <c r="N78" i="16"/>
  <c r="N82" i="16"/>
  <c r="O67" i="16"/>
  <c r="N71" i="16"/>
  <c r="N73" i="16"/>
  <c r="N77" i="16"/>
  <c r="N81" i="16"/>
  <c r="N83" i="16"/>
  <c r="P82" i="4"/>
  <c r="P77" i="4"/>
  <c r="P72" i="4"/>
  <c r="P68" i="4"/>
  <c r="O67" i="4"/>
  <c r="O68" i="4"/>
  <c r="P66" i="4"/>
  <c r="O66" i="4"/>
  <c r="O72" i="4"/>
  <c r="O76" i="4"/>
  <c r="O78" i="4"/>
  <c r="O82" i="4"/>
  <c r="O71" i="4"/>
  <c r="O73" i="4"/>
  <c r="O77" i="4"/>
  <c r="O81" i="4"/>
  <c r="O83" i="4"/>
  <c r="K3" i="24"/>
  <c r="K4" i="24"/>
  <c r="K5" i="24"/>
  <c r="K6" i="24"/>
  <c r="K8" i="24"/>
  <c r="K9" i="24"/>
  <c r="K7" i="24"/>
  <c r="G42" i="24"/>
  <c r="G34" i="24"/>
  <c r="G26" i="24"/>
  <c r="G57" i="24"/>
  <c r="G55" i="24"/>
  <c r="G53" i="24"/>
  <c r="G56" i="24"/>
  <c r="G54" i="24"/>
  <c r="G58" i="24"/>
  <c r="G30" i="24"/>
  <c r="G41" i="24"/>
  <c r="G50" i="24"/>
  <c r="G37" i="24"/>
  <c r="G29" i="24"/>
  <c r="G51" i="24"/>
  <c r="G49" i="24"/>
  <c r="G31" i="24"/>
  <c r="G48" i="24"/>
  <c r="G47" i="24"/>
  <c r="G46" i="24"/>
  <c r="G45" i="24"/>
  <c r="G52" i="24"/>
  <c r="G40" i="24"/>
  <c r="G36" i="24"/>
  <c r="G28" i="24"/>
  <c r="G39" i="24"/>
  <c r="G27" i="24"/>
  <c r="G44" i="24"/>
  <c r="G43" i="24"/>
  <c r="G38" i="24"/>
  <c r="G35" i="24"/>
  <c r="G33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3" i="24"/>
  <c r="G12" i="24"/>
  <c r="G11" i="24"/>
  <c r="G10" i="24"/>
  <c r="G9" i="24"/>
  <c r="G8" i="24"/>
  <c r="G7" i="24"/>
  <c r="G6" i="24"/>
  <c r="G5" i="24"/>
  <c r="G4" i="24"/>
  <c r="G3" i="24"/>
  <c r="O9" i="24"/>
  <c r="O10" i="24" s="1"/>
  <c r="U45" i="22"/>
  <c r="U46" i="22"/>
  <c r="U47" i="22"/>
  <c r="T45" i="22"/>
  <c r="T46" i="22"/>
  <c r="T47" i="22"/>
  <c r="S45" i="22"/>
  <c r="S46" i="22"/>
  <c r="S47" i="22"/>
  <c r="U24" i="22"/>
  <c r="U25" i="22"/>
  <c r="U26" i="22"/>
  <c r="T24" i="22"/>
  <c r="T25" i="22"/>
  <c r="T26" i="22"/>
  <c r="S24" i="22"/>
  <c r="S25" i="22"/>
  <c r="S26" i="22"/>
  <c r="U3" i="22"/>
  <c r="U4" i="22"/>
  <c r="U5" i="22"/>
  <c r="T3" i="22"/>
  <c r="T4" i="22"/>
  <c r="T5" i="22"/>
  <c r="S3" i="22"/>
  <c r="S4" i="22"/>
  <c r="S5" i="22"/>
  <c r="N62" i="22"/>
  <c r="M62" i="22"/>
  <c r="N61" i="22"/>
  <c r="M61" i="22"/>
  <c r="N60" i="22"/>
  <c r="M60" i="22"/>
  <c r="N57" i="22"/>
  <c r="M57" i="22"/>
  <c r="N56" i="22"/>
  <c r="M56" i="22"/>
  <c r="N55" i="22"/>
  <c r="M55" i="22"/>
  <c r="N52" i="22"/>
  <c r="M52" i="22"/>
  <c r="N51" i="22"/>
  <c r="M51" i="22"/>
  <c r="N50" i="22"/>
  <c r="M50" i="22"/>
  <c r="N47" i="22"/>
  <c r="M47" i="22"/>
  <c r="N46" i="22"/>
  <c r="M46" i="22"/>
  <c r="N45" i="22"/>
  <c r="M45" i="22"/>
  <c r="N41" i="22"/>
  <c r="M41" i="22"/>
  <c r="N40" i="22"/>
  <c r="M40" i="22"/>
  <c r="N39" i="22"/>
  <c r="M39" i="22"/>
  <c r="N36" i="22"/>
  <c r="M36" i="22"/>
  <c r="N35" i="22"/>
  <c r="M35" i="22"/>
  <c r="N34" i="22"/>
  <c r="M34" i="22"/>
  <c r="N31" i="22"/>
  <c r="M31" i="22"/>
  <c r="N30" i="22"/>
  <c r="M30" i="22"/>
  <c r="N29" i="22"/>
  <c r="M29" i="22"/>
  <c r="N26" i="22"/>
  <c r="M26" i="22"/>
  <c r="N25" i="22"/>
  <c r="M25" i="22"/>
  <c r="N24" i="22"/>
  <c r="M24" i="22"/>
  <c r="N20" i="22"/>
  <c r="C20" i="22" s="1"/>
  <c r="M20" i="22"/>
  <c r="B20" i="22" s="1"/>
  <c r="N19" i="22"/>
  <c r="M19" i="22"/>
  <c r="N18" i="22"/>
  <c r="M18" i="22"/>
  <c r="N15" i="22"/>
  <c r="M15" i="22"/>
  <c r="N14" i="22"/>
  <c r="C14" i="22" s="1"/>
  <c r="M14" i="22"/>
  <c r="N13" i="22"/>
  <c r="M13" i="22"/>
  <c r="N10" i="22"/>
  <c r="M10" i="22"/>
  <c r="N9" i="22"/>
  <c r="M9" i="22"/>
  <c r="N8" i="22"/>
  <c r="C8" i="22" s="1"/>
  <c r="M8" i="22"/>
  <c r="N5" i="22"/>
  <c r="M5" i="22"/>
  <c r="N4" i="22"/>
  <c r="M4" i="22"/>
  <c r="N3" i="22"/>
  <c r="M3" i="22"/>
  <c r="S45" i="21"/>
  <c r="R45" i="21"/>
  <c r="S46" i="21"/>
  <c r="S47" i="21"/>
  <c r="R46" i="21"/>
  <c r="R47" i="21"/>
  <c r="S24" i="21"/>
  <c r="R24" i="21"/>
  <c r="S25" i="21"/>
  <c r="S26" i="21"/>
  <c r="R25" i="21"/>
  <c r="R26" i="21"/>
  <c r="S3" i="21"/>
  <c r="R3" i="21"/>
  <c r="S4" i="21"/>
  <c r="S5" i="21"/>
  <c r="R4" i="21"/>
  <c r="R5" i="21"/>
  <c r="M62" i="21"/>
  <c r="L62" i="21"/>
  <c r="M61" i="21"/>
  <c r="L61" i="21"/>
  <c r="M60" i="21"/>
  <c r="L60" i="21"/>
  <c r="M57" i="21"/>
  <c r="L57" i="21"/>
  <c r="M56" i="21"/>
  <c r="L56" i="21"/>
  <c r="M55" i="21"/>
  <c r="L55" i="21"/>
  <c r="M52" i="21"/>
  <c r="L52" i="21"/>
  <c r="O52" i="21" s="1"/>
  <c r="M51" i="21"/>
  <c r="L51" i="21"/>
  <c r="M50" i="21"/>
  <c r="L50" i="21"/>
  <c r="M47" i="21"/>
  <c r="L47" i="21"/>
  <c r="M46" i="21"/>
  <c r="L46" i="21"/>
  <c r="M45" i="21"/>
  <c r="L45" i="21"/>
  <c r="M41" i="21"/>
  <c r="L41" i="21"/>
  <c r="M40" i="21"/>
  <c r="L40" i="21"/>
  <c r="M39" i="21"/>
  <c r="L39" i="21"/>
  <c r="M36" i="21"/>
  <c r="L36" i="21"/>
  <c r="M35" i="21"/>
  <c r="L35" i="21"/>
  <c r="M34" i="21"/>
  <c r="L34" i="21"/>
  <c r="M31" i="21"/>
  <c r="L31" i="21"/>
  <c r="M30" i="21"/>
  <c r="L30" i="21"/>
  <c r="M29" i="21"/>
  <c r="L29" i="21"/>
  <c r="M26" i="21"/>
  <c r="L26" i="21"/>
  <c r="M25" i="21"/>
  <c r="L25" i="21"/>
  <c r="M24" i="21"/>
  <c r="L24" i="21"/>
  <c r="M20" i="21"/>
  <c r="L20" i="21"/>
  <c r="M19" i="21"/>
  <c r="L19" i="21"/>
  <c r="M18" i="21"/>
  <c r="L18" i="21"/>
  <c r="N18" i="21" s="1"/>
  <c r="M15" i="21"/>
  <c r="C15" i="21" s="1"/>
  <c r="L15" i="21"/>
  <c r="M14" i="21"/>
  <c r="L14" i="21"/>
  <c r="M13" i="21"/>
  <c r="L13" i="21"/>
  <c r="M10" i="21"/>
  <c r="L10" i="21"/>
  <c r="M9" i="21"/>
  <c r="C9" i="21" s="1"/>
  <c r="L9" i="21"/>
  <c r="M8" i="21"/>
  <c r="L8" i="21"/>
  <c r="M5" i="21"/>
  <c r="L5" i="21"/>
  <c r="M4" i="21"/>
  <c r="L4" i="21"/>
  <c r="O4" i="21" s="1"/>
  <c r="M3" i="21"/>
  <c r="C3" i="21" s="1"/>
  <c r="L3" i="21"/>
  <c r="S45" i="20"/>
  <c r="S46" i="20"/>
  <c r="S47" i="20"/>
  <c r="R46" i="20"/>
  <c r="R47" i="20"/>
  <c r="R45" i="20"/>
  <c r="S24" i="20"/>
  <c r="S25" i="20"/>
  <c r="S26" i="20"/>
  <c r="R24" i="20"/>
  <c r="R25" i="20"/>
  <c r="R26" i="20"/>
  <c r="S3" i="20"/>
  <c r="S4" i="20"/>
  <c r="S5" i="20"/>
  <c r="R3" i="20"/>
  <c r="R4" i="20"/>
  <c r="R5" i="20"/>
  <c r="M62" i="20"/>
  <c r="L62" i="20"/>
  <c r="M61" i="20"/>
  <c r="L61" i="20"/>
  <c r="M60" i="20"/>
  <c r="L60" i="20"/>
  <c r="M57" i="20"/>
  <c r="L57" i="20"/>
  <c r="M56" i="20"/>
  <c r="L56" i="20"/>
  <c r="M55" i="20"/>
  <c r="L55" i="20"/>
  <c r="M52" i="20"/>
  <c r="L52" i="20"/>
  <c r="M51" i="20"/>
  <c r="L51" i="20"/>
  <c r="M50" i="20"/>
  <c r="L50" i="20"/>
  <c r="M47" i="20"/>
  <c r="L47" i="20"/>
  <c r="M46" i="20"/>
  <c r="L46" i="20"/>
  <c r="M45" i="20"/>
  <c r="L45" i="20"/>
  <c r="O45" i="20" s="1"/>
  <c r="M41" i="20"/>
  <c r="L41" i="20"/>
  <c r="M40" i="20"/>
  <c r="L40" i="20"/>
  <c r="M39" i="20"/>
  <c r="L39" i="20"/>
  <c r="M36" i="20"/>
  <c r="L36" i="20"/>
  <c r="M35" i="20"/>
  <c r="L35" i="20"/>
  <c r="M34" i="20"/>
  <c r="L34" i="20"/>
  <c r="M31" i="20"/>
  <c r="L31" i="20"/>
  <c r="M30" i="20"/>
  <c r="L30" i="20"/>
  <c r="M29" i="20"/>
  <c r="L29" i="20"/>
  <c r="M26" i="20"/>
  <c r="L26" i="20"/>
  <c r="M25" i="20"/>
  <c r="L25" i="20"/>
  <c r="M24" i="20"/>
  <c r="L24" i="20"/>
  <c r="M20" i="20"/>
  <c r="L20" i="20"/>
  <c r="M19" i="20"/>
  <c r="L19" i="20"/>
  <c r="M18" i="20"/>
  <c r="C18" i="20" s="1"/>
  <c r="L18" i="20"/>
  <c r="M15" i="20"/>
  <c r="C15" i="20" s="1"/>
  <c r="L15" i="20"/>
  <c r="M14" i="20"/>
  <c r="L14" i="20"/>
  <c r="M13" i="20"/>
  <c r="L13" i="20"/>
  <c r="M10" i="20"/>
  <c r="C10" i="20" s="1"/>
  <c r="L10" i="20"/>
  <c r="M9" i="20"/>
  <c r="L9" i="20"/>
  <c r="M8" i="20"/>
  <c r="L8" i="20"/>
  <c r="M5" i="20"/>
  <c r="L5" i="20"/>
  <c r="O5" i="20" s="1"/>
  <c r="M4" i="20"/>
  <c r="C4" i="20" s="1"/>
  <c r="L4" i="20"/>
  <c r="M3" i="20"/>
  <c r="L3" i="20"/>
  <c r="S45" i="19"/>
  <c r="R45" i="19"/>
  <c r="S46" i="19"/>
  <c r="S47" i="19"/>
  <c r="R46" i="19"/>
  <c r="R47" i="19"/>
  <c r="S24" i="19"/>
  <c r="S25" i="19"/>
  <c r="S26" i="19"/>
  <c r="R24" i="19"/>
  <c r="R25" i="19"/>
  <c r="R26" i="19"/>
  <c r="S3" i="19"/>
  <c r="S4" i="19"/>
  <c r="S5" i="19"/>
  <c r="R3" i="19"/>
  <c r="R4" i="19"/>
  <c r="R5" i="19"/>
  <c r="M62" i="19"/>
  <c r="L62" i="19"/>
  <c r="M61" i="19"/>
  <c r="L61" i="19"/>
  <c r="M60" i="19"/>
  <c r="L60" i="19"/>
  <c r="M57" i="19"/>
  <c r="L57" i="19"/>
  <c r="M56" i="19"/>
  <c r="L56" i="19"/>
  <c r="O56" i="19" s="1"/>
  <c r="M55" i="19"/>
  <c r="L55" i="19"/>
  <c r="M52" i="19"/>
  <c r="L52" i="19"/>
  <c r="M51" i="19"/>
  <c r="L51" i="19"/>
  <c r="M50" i="19"/>
  <c r="L50" i="19"/>
  <c r="M47" i="19"/>
  <c r="L47" i="19"/>
  <c r="M46" i="19"/>
  <c r="L46" i="19"/>
  <c r="M45" i="19"/>
  <c r="L45" i="19"/>
  <c r="M41" i="19"/>
  <c r="L41" i="19"/>
  <c r="M40" i="19"/>
  <c r="L40" i="19"/>
  <c r="M39" i="19"/>
  <c r="L39" i="19"/>
  <c r="M36" i="19"/>
  <c r="L36" i="19"/>
  <c r="M35" i="19"/>
  <c r="L35" i="19"/>
  <c r="M34" i="19"/>
  <c r="L34" i="19"/>
  <c r="M31" i="19"/>
  <c r="L31" i="19"/>
  <c r="M30" i="19"/>
  <c r="L30" i="19"/>
  <c r="M29" i="19"/>
  <c r="L29" i="19"/>
  <c r="M26" i="19"/>
  <c r="L26" i="19"/>
  <c r="M25" i="19"/>
  <c r="L25" i="19"/>
  <c r="M24" i="19"/>
  <c r="L24" i="19"/>
  <c r="M20" i="19"/>
  <c r="L20" i="19"/>
  <c r="M19" i="19"/>
  <c r="C19" i="19" s="1"/>
  <c r="L19" i="19"/>
  <c r="M18" i="19"/>
  <c r="L18" i="19"/>
  <c r="M15" i="19"/>
  <c r="L15" i="19"/>
  <c r="M14" i="19"/>
  <c r="L14" i="19"/>
  <c r="O14" i="19" s="1"/>
  <c r="M13" i="19"/>
  <c r="C13" i="19" s="1"/>
  <c r="L13" i="19"/>
  <c r="M10" i="19"/>
  <c r="L10" i="19"/>
  <c r="M9" i="19"/>
  <c r="L9" i="19"/>
  <c r="M8" i="19"/>
  <c r="L8" i="19"/>
  <c r="M5" i="19"/>
  <c r="C5" i="19" s="1"/>
  <c r="L5" i="19"/>
  <c r="M4" i="19"/>
  <c r="L4" i="19"/>
  <c r="M3" i="19"/>
  <c r="L3" i="19"/>
  <c r="O3" i="19" s="1"/>
  <c r="S45" i="18"/>
  <c r="S46" i="18"/>
  <c r="S47" i="18"/>
  <c r="R45" i="18"/>
  <c r="R46" i="18"/>
  <c r="R47" i="18"/>
  <c r="S24" i="18"/>
  <c r="S25" i="18"/>
  <c r="S26" i="18"/>
  <c r="R24" i="18"/>
  <c r="R25" i="18"/>
  <c r="R26" i="18"/>
  <c r="S3" i="18"/>
  <c r="S4" i="18"/>
  <c r="S5" i="18"/>
  <c r="R3" i="18"/>
  <c r="R4" i="18"/>
  <c r="R5" i="18"/>
  <c r="M62" i="18"/>
  <c r="L62" i="18"/>
  <c r="O62" i="18" s="1"/>
  <c r="M61" i="18"/>
  <c r="L61" i="18"/>
  <c r="M60" i="18"/>
  <c r="L60" i="18"/>
  <c r="M57" i="18"/>
  <c r="L57" i="18"/>
  <c r="M56" i="18"/>
  <c r="L56" i="18"/>
  <c r="M55" i="18"/>
  <c r="L55" i="18"/>
  <c r="M52" i="18"/>
  <c r="L52" i="18"/>
  <c r="M51" i="18"/>
  <c r="L51" i="18"/>
  <c r="M50" i="18"/>
  <c r="L50" i="18"/>
  <c r="M47" i="18"/>
  <c r="L47" i="18"/>
  <c r="M46" i="18"/>
  <c r="L46" i="18"/>
  <c r="M45" i="18"/>
  <c r="L45" i="18"/>
  <c r="M41" i="18"/>
  <c r="L41" i="18"/>
  <c r="M40" i="18"/>
  <c r="L40" i="18"/>
  <c r="M39" i="18"/>
  <c r="L39" i="18"/>
  <c r="M36" i="18"/>
  <c r="L36" i="18"/>
  <c r="M35" i="18"/>
  <c r="L35" i="18"/>
  <c r="M34" i="18"/>
  <c r="L34" i="18"/>
  <c r="M31" i="18"/>
  <c r="L31" i="18"/>
  <c r="M30" i="18"/>
  <c r="L30" i="18"/>
  <c r="M29" i="18"/>
  <c r="L29" i="18"/>
  <c r="M26" i="18"/>
  <c r="L26" i="18"/>
  <c r="O26" i="18" s="1"/>
  <c r="M25" i="18"/>
  <c r="L25" i="18"/>
  <c r="M24" i="18"/>
  <c r="L24" i="18"/>
  <c r="M20" i="18"/>
  <c r="C20" i="18" s="1"/>
  <c r="L20" i="18"/>
  <c r="M19" i="18"/>
  <c r="L19" i="18"/>
  <c r="M18" i="18"/>
  <c r="L18" i="18"/>
  <c r="M15" i="18"/>
  <c r="L15" i="18"/>
  <c r="M14" i="18"/>
  <c r="C14" i="18" s="1"/>
  <c r="L14" i="18"/>
  <c r="M13" i="18"/>
  <c r="L13" i="18"/>
  <c r="M10" i="18"/>
  <c r="L10" i="18"/>
  <c r="M9" i="18"/>
  <c r="L9" i="18"/>
  <c r="M8" i="18"/>
  <c r="C8" i="18" s="1"/>
  <c r="L8" i="18"/>
  <c r="M5" i="18"/>
  <c r="L5" i="18"/>
  <c r="O5" i="18" s="1"/>
  <c r="M4" i="18"/>
  <c r="L4" i="18"/>
  <c r="M3" i="18"/>
  <c r="L3" i="18"/>
  <c r="S45" i="17"/>
  <c r="R45" i="17"/>
  <c r="S46" i="17"/>
  <c r="S47" i="17"/>
  <c r="R46" i="17"/>
  <c r="R47" i="17"/>
  <c r="S24" i="17"/>
  <c r="S25" i="17"/>
  <c r="S26" i="17"/>
  <c r="R24" i="17"/>
  <c r="R25" i="17"/>
  <c r="R26" i="17"/>
  <c r="S3" i="17"/>
  <c r="S4" i="17"/>
  <c r="S5" i="17"/>
  <c r="R3" i="17"/>
  <c r="R4" i="17"/>
  <c r="R5" i="17"/>
  <c r="M62" i="17"/>
  <c r="L62" i="17"/>
  <c r="O62" i="17" s="1"/>
  <c r="M61" i="17"/>
  <c r="L61" i="17"/>
  <c r="O61" i="17" s="1"/>
  <c r="M60" i="17"/>
  <c r="L60" i="17"/>
  <c r="M57" i="17"/>
  <c r="L57" i="17"/>
  <c r="M56" i="17"/>
  <c r="L56" i="17"/>
  <c r="M55" i="17"/>
  <c r="L55" i="17"/>
  <c r="M52" i="17"/>
  <c r="L52" i="17"/>
  <c r="M51" i="17"/>
  <c r="L51" i="17"/>
  <c r="M50" i="17"/>
  <c r="L50" i="17"/>
  <c r="M47" i="17"/>
  <c r="L47" i="17"/>
  <c r="M46" i="17"/>
  <c r="L46" i="17"/>
  <c r="M45" i="17"/>
  <c r="L45" i="17"/>
  <c r="M41" i="17"/>
  <c r="L41" i="17"/>
  <c r="M40" i="17"/>
  <c r="L40" i="17"/>
  <c r="M39" i="17"/>
  <c r="L39" i="17"/>
  <c r="M36" i="17"/>
  <c r="L36" i="17"/>
  <c r="M35" i="17"/>
  <c r="L35" i="17"/>
  <c r="M34" i="17"/>
  <c r="L34" i="17"/>
  <c r="M31" i="17"/>
  <c r="L31" i="17"/>
  <c r="M30" i="17"/>
  <c r="L30" i="17"/>
  <c r="M29" i="17"/>
  <c r="L29" i="17"/>
  <c r="M26" i="17"/>
  <c r="L26" i="17"/>
  <c r="M25" i="17"/>
  <c r="L25" i="17"/>
  <c r="M24" i="17"/>
  <c r="L24" i="17"/>
  <c r="M20" i="17"/>
  <c r="L20" i="17"/>
  <c r="M19" i="17"/>
  <c r="L19" i="17"/>
  <c r="M18" i="17"/>
  <c r="L18" i="17"/>
  <c r="M15" i="17"/>
  <c r="L15" i="17"/>
  <c r="M14" i="17"/>
  <c r="L14" i="17"/>
  <c r="M13" i="17"/>
  <c r="L13" i="17"/>
  <c r="M10" i="17"/>
  <c r="L10" i="17"/>
  <c r="M9" i="17"/>
  <c r="L9" i="17"/>
  <c r="M8" i="17"/>
  <c r="L8" i="17"/>
  <c r="M5" i="17"/>
  <c r="L5" i="17"/>
  <c r="M4" i="17"/>
  <c r="L4" i="17"/>
  <c r="M3" i="17"/>
  <c r="L3" i="17"/>
  <c r="S45" i="16"/>
  <c r="S46" i="16"/>
  <c r="S47" i="16"/>
  <c r="R45" i="16"/>
  <c r="R46" i="16"/>
  <c r="R47" i="16"/>
  <c r="S24" i="16"/>
  <c r="S25" i="16"/>
  <c r="S26" i="16"/>
  <c r="R24" i="16"/>
  <c r="R25" i="16"/>
  <c r="R26" i="16"/>
  <c r="S3" i="16"/>
  <c r="S4" i="16"/>
  <c r="S5" i="16"/>
  <c r="R3" i="16"/>
  <c r="R4" i="16"/>
  <c r="R5" i="16"/>
  <c r="M62" i="16"/>
  <c r="L62" i="16"/>
  <c r="M61" i="16"/>
  <c r="L61" i="16"/>
  <c r="M60" i="16"/>
  <c r="L60" i="16"/>
  <c r="M57" i="16"/>
  <c r="L57" i="16"/>
  <c r="M56" i="16"/>
  <c r="L56" i="16"/>
  <c r="M55" i="16"/>
  <c r="L55" i="16"/>
  <c r="M52" i="16"/>
  <c r="L52" i="16"/>
  <c r="M51" i="16"/>
  <c r="L51" i="16"/>
  <c r="M50" i="16"/>
  <c r="L50" i="16"/>
  <c r="M47" i="16"/>
  <c r="L47" i="16"/>
  <c r="M46" i="16"/>
  <c r="L46" i="16"/>
  <c r="M45" i="16"/>
  <c r="L45" i="16"/>
  <c r="M41" i="16"/>
  <c r="L41" i="16"/>
  <c r="M40" i="16"/>
  <c r="L40" i="16"/>
  <c r="M39" i="16"/>
  <c r="L39" i="16"/>
  <c r="O39" i="16" s="1"/>
  <c r="M36" i="16"/>
  <c r="L36" i="16"/>
  <c r="M35" i="16"/>
  <c r="L35" i="16"/>
  <c r="M34" i="16"/>
  <c r="L34" i="16"/>
  <c r="M31" i="16"/>
  <c r="L31" i="16"/>
  <c r="M30" i="16"/>
  <c r="L30" i="16"/>
  <c r="M29" i="16"/>
  <c r="L29" i="16"/>
  <c r="M26" i="16"/>
  <c r="L26" i="16"/>
  <c r="M25" i="16"/>
  <c r="L25" i="16"/>
  <c r="M24" i="16"/>
  <c r="L24" i="16"/>
  <c r="M20" i="16"/>
  <c r="L20" i="16"/>
  <c r="M19" i="16"/>
  <c r="L19" i="16"/>
  <c r="M18" i="16"/>
  <c r="L18" i="16"/>
  <c r="M15" i="16"/>
  <c r="L15" i="16"/>
  <c r="M14" i="16"/>
  <c r="L14" i="16"/>
  <c r="M13" i="16"/>
  <c r="L13" i="16"/>
  <c r="M10" i="16"/>
  <c r="L10" i="16"/>
  <c r="M9" i="16"/>
  <c r="L9" i="16"/>
  <c r="M8" i="16"/>
  <c r="L8" i="16"/>
  <c r="M5" i="16"/>
  <c r="L5" i="16"/>
  <c r="M4" i="16"/>
  <c r="L4" i="16"/>
  <c r="O4" i="16" s="1"/>
  <c r="M3" i="16"/>
  <c r="L3" i="16"/>
  <c r="U45" i="4"/>
  <c r="U46" i="4"/>
  <c r="U47" i="4"/>
  <c r="T45" i="4"/>
  <c r="T46" i="4"/>
  <c r="T47" i="4"/>
  <c r="S45" i="4"/>
  <c r="S46" i="4"/>
  <c r="S47" i="4"/>
  <c r="N60" i="4"/>
  <c r="N61" i="4"/>
  <c r="N62" i="4"/>
  <c r="M60" i="4"/>
  <c r="M61" i="4"/>
  <c r="M62" i="4"/>
  <c r="P62" i="4" s="1"/>
  <c r="N55" i="4"/>
  <c r="N56" i="4"/>
  <c r="N57" i="4"/>
  <c r="M55" i="4"/>
  <c r="M56" i="4"/>
  <c r="M57" i="4"/>
  <c r="N50" i="4"/>
  <c r="N51" i="4"/>
  <c r="N52" i="4"/>
  <c r="M50" i="4"/>
  <c r="M51" i="4"/>
  <c r="M52" i="4"/>
  <c r="N45" i="4"/>
  <c r="M45" i="4"/>
  <c r="N46" i="4"/>
  <c r="N47" i="4"/>
  <c r="M46" i="4"/>
  <c r="M47" i="4"/>
  <c r="U24" i="4"/>
  <c r="U25" i="4"/>
  <c r="U26" i="4"/>
  <c r="T24" i="4"/>
  <c r="T25" i="4"/>
  <c r="T26" i="4"/>
  <c r="S24" i="4"/>
  <c r="S25" i="4"/>
  <c r="S26" i="4"/>
  <c r="N39" i="4"/>
  <c r="N40" i="4"/>
  <c r="N41" i="4"/>
  <c r="M39" i="4"/>
  <c r="M40" i="4"/>
  <c r="M41" i="4"/>
  <c r="N34" i="4"/>
  <c r="N35" i="4"/>
  <c r="N36" i="4"/>
  <c r="M34" i="4"/>
  <c r="M35" i="4"/>
  <c r="M36" i="4"/>
  <c r="N29" i="4"/>
  <c r="N30" i="4"/>
  <c r="N31" i="4"/>
  <c r="M29" i="4"/>
  <c r="M30" i="4"/>
  <c r="M31" i="4"/>
  <c r="N24" i="4"/>
  <c r="N25" i="4"/>
  <c r="N26" i="4"/>
  <c r="M24" i="4"/>
  <c r="M25" i="4"/>
  <c r="M26" i="4"/>
  <c r="P26" i="4" s="1"/>
  <c r="U3" i="4"/>
  <c r="U4" i="4"/>
  <c r="U5" i="4"/>
  <c r="T3" i="4"/>
  <c r="T4" i="4"/>
  <c r="T5" i="4"/>
  <c r="S3" i="4"/>
  <c r="S4" i="4"/>
  <c r="S5" i="4"/>
  <c r="N18" i="4"/>
  <c r="N19" i="4"/>
  <c r="N20" i="4"/>
  <c r="M18" i="4"/>
  <c r="M19" i="4"/>
  <c r="M20" i="4"/>
  <c r="N13" i="4"/>
  <c r="N14" i="4"/>
  <c r="N15" i="4"/>
  <c r="M13" i="4"/>
  <c r="M14" i="4"/>
  <c r="M15" i="4"/>
  <c r="N8" i="4"/>
  <c r="N9" i="4"/>
  <c r="N10" i="4"/>
  <c r="M8" i="4"/>
  <c r="M9" i="4"/>
  <c r="M10" i="4"/>
  <c r="N3" i="4"/>
  <c r="N4" i="4"/>
  <c r="N5" i="4"/>
  <c r="M3" i="4"/>
  <c r="M4" i="4"/>
  <c r="M5" i="4"/>
  <c r="M7" i="15"/>
  <c r="M6" i="15"/>
  <c r="M9" i="15" s="1"/>
  <c r="M10" i="15" s="1"/>
  <c r="M5" i="15"/>
  <c r="M3" i="15"/>
  <c r="M2" i="15"/>
  <c r="M1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P7" i="12"/>
  <c r="P6" i="12"/>
  <c r="P9" i="12" s="1"/>
  <c r="P10" i="12" s="1"/>
  <c r="P5" i="12"/>
  <c r="P3" i="12"/>
  <c r="P2" i="12"/>
  <c r="P1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P7" i="2"/>
  <c r="P3" i="2"/>
  <c r="P5" i="2"/>
  <c r="P1" i="2"/>
  <c r="P6" i="2"/>
  <c r="P9" i="2" s="1"/>
  <c r="P10" i="2" s="1"/>
  <c r="P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O9" i="19" l="1"/>
  <c r="O4" i="18"/>
  <c r="O41" i="17"/>
  <c r="O30" i="20"/>
  <c r="O36" i="20"/>
  <c r="O35" i="21"/>
  <c r="O35" i="20"/>
  <c r="O41" i="20"/>
  <c r="B18" i="19"/>
  <c r="O24" i="17"/>
  <c r="O41" i="18"/>
  <c r="B20" i="21"/>
  <c r="B9" i="20"/>
  <c r="B15" i="20"/>
  <c r="B14" i="21"/>
  <c r="O40" i="20"/>
  <c r="O35" i="16"/>
  <c r="O41" i="16"/>
  <c r="O34" i="17"/>
  <c r="O40" i="17"/>
  <c r="O39" i="18"/>
  <c r="O24" i="19"/>
  <c r="O29" i="20"/>
  <c r="O26" i="21"/>
  <c r="O46" i="17"/>
  <c r="O50" i="19"/>
  <c r="O61" i="20"/>
  <c r="O46" i="21"/>
  <c r="O34" i="21"/>
  <c r="O40" i="21"/>
  <c r="P31" i="22"/>
  <c r="B14" i="18"/>
  <c r="B13" i="19"/>
  <c r="B19" i="19"/>
  <c r="B14" i="22"/>
  <c r="E14" i="22" s="1"/>
  <c r="B4" i="20"/>
  <c r="B15" i="17"/>
  <c r="B5" i="19"/>
  <c r="E5" i="19" s="1"/>
  <c r="B8" i="22"/>
  <c r="B8" i="18"/>
  <c r="B20" i="18"/>
  <c r="B10" i="20"/>
  <c r="B18" i="20"/>
  <c r="B9" i="21"/>
  <c r="B3" i="21"/>
  <c r="B15" i="21"/>
  <c r="G187" i="12"/>
  <c r="G171" i="12"/>
  <c r="G155" i="12"/>
  <c r="G139" i="12"/>
  <c r="G123" i="12"/>
  <c r="G107" i="12"/>
  <c r="G75" i="12"/>
  <c r="G59" i="12"/>
  <c r="G43" i="12"/>
  <c r="G27" i="12"/>
  <c r="G19" i="12"/>
  <c r="G3" i="12"/>
  <c r="P25" i="22"/>
  <c r="G195" i="12"/>
  <c r="G179" i="12"/>
  <c r="G163" i="12"/>
  <c r="G147" i="12"/>
  <c r="G131" i="12"/>
  <c r="G115" i="12"/>
  <c r="G99" i="12"/>
  <c r="G83" i="12"/>
  <c r="G67" i="12"/>
  <c r="G51" i="12"/>
  <c r="G35" i="12"/>
  <c r="G11" i="12"/>
  <c r="G202" i="12"/>
  <c r="G194" i="12"/>
  <c r="G186" i="12"/>
  <c r="G178" i="12"/>
  <c r="G170" i="12"/>
  <c r="G162" i="12"/>
  <c r="G154" i="12"/>
  <c r="G146" i="12"/>
  <c r="G138" i="12"/>
  <c r="G130" i="12"/>
  <c r="G122" i="12"/>
  <c r="G114" i="12"/>
  <c r="G106" i="12"/>
  <c r="G98" i="12"/>
  <c r="G90" i="12"/>
  <c r="G82" i="12"/>
  <c r="G74" i="12"/>
  <c r="G66" i="12"/>
  <c r="G58" i="12"/>
  <c r="G50" i="12"/>
  <c r="G42" i="12"/>
  <c r="G34" i="12"/>
  <c r="G26" i="12"/>
  <c r="G18" i="12"/>
  <c r="G10" i="12"/>
  <c r="G91" i="12"/>
  <c r="C4" i="22"/>
  <c r="C10" i="22"/>
  <c r="C15" i="19"/>
  <c r="C18" i="22"/>
  <c r="C5" i="21"/>
  <c r="C13" i="21"/>
  <c r="C19" i="21"/>
  <c r="B18" i="22"/>
  <c r="B19" i="21"/>
  <c r="B18" i="16"/>
  <c r="O24" i="18"/>
  <c r="O30" i="18"/>
  <c r="O36" i="18"/>
  <c r="O29" i="19"/>
  <c r="O34" i="20"/>
  <c r="O31" i="21"/>
  <c r="O39" i="21"/>
  <c r="B3" i="17"/>
  <c r="B9" i="17"/>
  <c r="P24" i="22"/>
  <c r="C18" i="16"/>
  <c r="C3" i="17"/>
  <c r="C9" i="17"/>
  <c r="C8" i="4"/>
  <c r="B19" i="4"/>
  <c r="I5" i="4"/>
  <c r="C4" i="16"/>
  <c r="C10" i="16"/>
  <c r="B18" i="4"/>
  <c r="O57" i="17"/>
  <c r="O47" i="19"/>
  <c r="O61" i="19"/>
  <c r="N40" i="17"/>
  <c r="P39" i="22"/>
  <c r="B10" i="22"/>
  <c r="B13" i="21"/>
  <c r="O41" i="21"/>
  <c r="O26" i="22"/>
  <c r="O34" i="22"/>
  <c r="O31" i="16"/>
  <c r="O30" i="17"/>
  <c r="O36" i="17"/>
  <c r="O35" i="18"/>
  <c r="O26" i="19"/>
  <c r="O34" i="19"/>
  <c r="O40" i="19"/>
  <c r="O25" i="20"/>
  <c r="O31" i="20"/>
  <c r="O39" i="20"/>
  <c r="O24" i="21"/>
  <c r="O30" i="21"/>
  <c r="P29" i="22"/>
  <c r="P35" i="22"/>
  <c r="P41" i="22"/>
  <c r="B20" i="20"/>
  <c r="B18" i="18"/>
  <c r="B19" i="18"/>
  <c r="B13" i="20"/>
  <c r="C13" i="18"/>
  <c r="C19" i="18"/>
  <c r="C3" i="20"/>
  <c r="C13" i="22"/>
  <c r="C19" i="22"/>
  <c r="C14" i="17"/>
  <c r="C20" i="17"/>
  <c r="B10" i="16"/>
  <c r="C3" i="16"/>
  <c r="C9" i="16"/>
  <c r="C15" i="16"/>
  <c r="C10" i="19"/>
  <c r="C8" i="21"/>
  <c r="C14" i="21"/>
  <c r="C20" i="21"/>
  <c r="C9" i="20"/>
  <c r="C18" i="19"/>
  <c r="O45" i="16"/>
  <c r="O55" i="22"/>
  <c r="C10" i="4"/>
  <c r="I4" i="22"/>
  <c r="B4" i="17"/>
  <c r="C15" i="17"/>
  <c r="C13" i="20"/>
  <c r="C4" i="21"/>
  <c r="B5" i="17"/>
  <c r="N15" i="19"/>
  <c r="B8" i="20"/>
  <c r="P50" i="4"/>
  <c r="B8" i="17"/>
  <c r="B20" i="17"/>
  <c r="B14" i="17"/>
  <c r="O47" i="22"/>
  <c r="I3" i="22"/>
  <c r="B10" i="18"/>
  <c r="B3" i="16"/>
  <c r="B9" i="16"/>
  <c r="B15" i="16"/>
  <c r="P50" i="22"/>
  <c r="H3" i="17"/>
  <c r="J3" i="22"/>
  <c r="I5" i="22"/>
  <c r="C8" i="20"/>
  <c r="C20" i="20"/>
  <c r="C5" i="4"/>
  <c r="C5" i="18"/>
  <c r="C3" i="4"/>
  <c r="B14" i="4"/>
  <c r="C20" i="4"/>
  <c r="I3" i="4"/>
  <c r="J5" i="22"/>
  <c r="C19" i="17"/>
  <c r="C4" i="19"/>
  <c r="C5" i="22"/>
  <c r="C18" i="18"/>
  <c r="C8" i="16"/>
  <c r="C14" i="16"/>
  <c r="C20" i="16"/>
  <c r="C8" i="17"/>
  <c r="B5" i="4"/>
  <c r="B8" i="4"/>
  <c r="C14" i="4"/>
  <c r="H5" i="4"/>
  <c r="J3" i="4"/>
  <c r="I3" i="16"/>
  <c r="I5" i="17"/>
  <c r="H4" i="18"/>
  <c r="I3" i="20"/>
  <c r="I4" i="21"/>
  <c r="C14" i="20"/>
  <c r="B4" i="4"/>
  <c r="C13" i="4"/>
  <c r="H4" i="4"/>
  <c r="P60" i="22"/>
  <c r="H3" i="22"/>
  <c r="K23" i="28"/>
  <c r="M23" i="28" s="1"/>
  <c r="H4" i="22"/>
  <c r="B8" i="16"/>
  <c r="B20" i="16"/>
  <c r="B13" i="17"/>
  <c r="B19" i="17"/>
  <c r="C5" i="17"/>
  <c r="C13" i="17"/>
  <c r="C4" i="18"/>
  <c r="C3" i="19"/>
  <c r="C10" i="18"/>
  <c r="C9" i="19"/>
  <c r="B4" i="19"/>
  <c r="B3" i="20"/>
  <c r="I5" i="19"/>
  <c r="H4" i="20"/>
  <c r="B13" i="18"/>
  <c r="B10" i="19"/>
  <c r="B8" i="21"/>
  <c r="I5" i="16"/>
  <c r="H4" i="17"/>
  <c r="I5" i="20"/>
  <c r="H4" i="21"/>
  <c r="B5" i="22"/>
  <c r="B19" i="22"/>
  <c r="B9" i="4"/>
  <c r="C15" i="4"/>
  <c r="C18" i="4"/>
  <c r="J4" i="4"/>
  <c r="I4" i="16"/>
  <c r="H5" i="18"/>
  <c r="I4" i="20"/>
  <c r="I5" i="21"/>
  <c r="H5" i="22"/>
  <c r="B3" i="22"/>
  <c r="C4" i="17"/>
  <c r="C18" i="17"/>
  <c r="C19" i="20"/>
  <c r="I4" i="17"/>
  <c r="H3" i="18"/>
  <c r="H5" i="19"/>
  <c r="H3" i="21"/>
  <c r="B18" i="21"/>
  <c r="B10" i="21"/>
  <c r="C10" i="17"/>
  <c r="C5" i="20"/>
  <c r="B3" i="4"/>
  <c r="C9" i="4"/>
  <c r="B20" i="4"/>
  <c r="H3" i="4"/>
  <c r="I3" i="17"/>
  <c r="I5" i="18"/>
  <c r="H4" i="19"/>
  <c r="I3" i="21"/>
  <c r="B14" i="20"/>
  <c r="C5" i="16"/>
  <c r="C13" i="16"/>
  <c r="C19" i="16"/>
  <c r="C3" i="18"/>
  <c r="C15" i="18"/>
  <c r="C18" i="21"/>
  <c r="H5" i="16"/>
  <c r="I4" i="18"/>
  <c r="N24" i="19"/>
  <c r="H3" i="19"/>
  <c r="H5" i="20"/>
  <c r="B10" i="17"/>
  <c r="B18" i="17"/>
  <c r="B19" i="20"/>
  <c r="B9" i="22"/>
  <c r="C3" i="22"/>
  <c r="C9" i="22"/>
  <c r="C15" i="22"/>
  <c r="C4" i="4"/>
  <c r="B15" i="4"/>
  <c r="I4" i="4"/>
  <c r="H4" i="16"/>
  <c r="I3" i="18"/>
  <c r="B4" i="22"/>
  <c r="B5" i="21"/>
  <c r="B8" i="19"/>
  <c r="B20" i="19"/>
  <c r="B15" i="22"/>
  <c r="H3" i="16"/>
  <c r="H5" i="17"/>
  <c r="N30" i="18"/>
  <c r="I4" i="19"/>
  <c r="H3" i="20"/>
  <c r="H5" i="21"/>
  <c r="B5" i="16"/>
  <c r="B13" i="16"/>
  <c r="B19" i="16"/>
  <c r="B3" i="18"/>
  <c r="B9" i="18"/>
  <c r="B15" i="18"/>
  <c r="C9" i="18"/>
  <c r="C8" i="19"/>
  <c r="C14" i="19"/>
  <c r="C20" i="19"/>
  <c r="C10" i="21"/>
  <c r="B10" i="4"/>
  <c r="B13" i="4"/>
  <c r="C19" i="4"/>
  <c r="J5" i="4"/>
  <c r="I3" i="19"/>
  <c r="J4" i="22"/>
  <c r="B13" i="22"/>
  <c r="B14" i="16"/>
  <c r="B4" i="18"/>
  <c r="B5" i="20"/>
  <c r="B14" i="19"/>
  <c r="B15" i="19"/>
  <c r="B9" i="19"/>
  <c r="B5" i="18"/>
  <c r="B3" i="19"/>
  <c r="B4" i="21"/>
  <c r="B4" i="16"/>
  <c r="K7" i="28"/>
  <c r="M7" i="28" s="1"/>
  <c r="K18" i="28"/>
  <c r="M18" i="28" s="1"/>
  <c r="K21" i="28"/>
  <c r="M21" i="28" s="1"/>
  <c r="K22" i="28"/>
  <c r="M22" i="28" s="1"/>
  <c r="K5" i="28"/>
  <c r="M5" i="28" s="1"/>
  <c r="K9" i="28"/>
  <c r="M9" i="28" s="1"/>
  <c r="K10" i="28"/>
  <c r="M10" i="28" s="1"/>
  <c r="K6" i="28"/>
  <c r="M6" i="28" s="1"/>
  <c r="K19" i="28"/>
  <c r="M19" i="28" s="1"/>
  <c r="K20" i="28"/>
  <c r="M20" i="28" s="1"/>
  <c r="K26" i="28"/>
  <c r="M26" i="28" s="1"/>
  <c r="K28" i="28"/>
  <c r="M28" i="28" s="1"/>
  <c r="K29" i="28"/>
  <c r="M29" i="28" s="1"/>
  <c r="K30" i="28"/>
  <c r="M30" i="28" s="1"/>
  <c r="K14" i="28"/>
  <c r="M14" i="28" s="1"/>
  <c r="K13" i="28"/>
  <c r="M13" i="28" s="1"/>
  <c r="K27" i="28"/>
  <c r="M27" i="28" s="1"/>
  <c r="K15" i="28"/>
  <c r="M15" i="28" s="1"/>
  <c r="K8" i="28"/>
  <c r="M8" i="28" s="1"/>
  <c r="K12" i="28"/>
  <c r="M12" i="28" s="1"/>
  <c r="K4" i="28"/>
  <c r="M4" i="28" s="1"/>
  <c r="K25" i="28"/>
  <c r="M25" i="28" s="1"/>
  <c r="K3" i="28"/>
  <c r="M3" i="28" s="1"/>
  <c r="K17" i="28"/>
  <c r="M17" i="28" s="1"/>
  <c r="K16" i="28"/>
  <c r="M16" i="28" s="1"/>
  <c r="K11" i="28"/>
  <c r="M11" i="28" s="1"/>
  <c r="K24" i="28"/>
  <c r="M24" i="28" s="1"/>
  <c r="L9" i="26"/>
  <c r="N9" i="26" s="1"/>
  <c r="L4" i="26"/>
  <c r="N4" i="26" s="1"/>
  <c r="L10" i="26"/>
  <c r="N10" i="26" s="1"/>
  <c r="L7" i="26"/>
  <c r="N7" i="26" s="1"/>
  <c r="L5" i="26"/>
  <c r="N5" i="26" s="1"/>
  <c r="L3" i="26"/>
  <c r="N3" i="26" s="1"/>
  <c r="L6" i="26"/>
  <c r="N6" i="26" s="1"/>
  <c r="L8" i="26"/>
  <c r="N8" i="26" s="1"/>
  <c r="J10" i="24"/>
  <c r="O51" i="16"/>
  <c r="O57" i="22"/>
  <c r="J6" i="24"/>
  <c r="J3" i="24"/>
  <c r="J7" i="24"/>
  <c r="J9" i="24"/>
  <c r="J4" i="24"/>
  <c r="J5" i="24"/>
  <c r="J8" i="24"/>
  <c r="O52" i="18"/>
  <c r="O60" i="18"/>
  <c r="O45" i="19"/>
  <c r="O51" i="19"/>
  <c r="G201" i="12"/>
  <c r="G185" i="12"/>
  <c r="G169" i="12"/>
  <c r="G153" i="12"/>
  <c r="G137" i="12"/>
  <c r="G121" i="12"/>
  <c r="G113" i="12"/>
  <c r="G105" i="12"/>
  <c r="G97" i="12"/>
  <c r="G89" i="12"/>
  <c r="G81" i="12"/>
  <c r="G73" i="12"/>
  <c r="G65" i="12"/>
  <c r="G57" i="12"/>
  <c r="G49" i="12"/>
  <c r="G41" i="12"/>
  <c r="G33" i="12"/>
  <c r="G25" i="12"/>
  <c r="G17" i="12"/>
  <c r="G208" i="12"/>
  <c r="G200" i="12"/>
  <c r="G192" i="12"/>
  <c r="G184" i="12"/>
  <c r="G176" i="12"/>
  <c r="G160" i="12"/>
  <c r="G152" i="12"/>
  <c r="G144" i="12"/>
  <c r="G136" i="12"/>
  <c r="G128" i="12"/>
  <c r="G120" i="12"/>
  <c r="G112" i="12"/>
  <c r="G104" i="12"/>
  <c r="G96" i="12"/>
  <c r="G88" i="12"/>
  <c r="G80" i="12"/>
  <c r="G72" i="12"/>
  <c r="G64" i="12"/>
  <c r="G56" i="12"/>
  <c r="G48" i="12"/>
  <c r="G40" i="12"/>
  <c r="G32" i="12"/>
  <c r="G24" i="12"/>
  <c r="G16" i="12"/>
  <c r="G8" i="12"/>
  <c r="O29" i="17"/>
  <c r="O34" i="18"/>
  <c r="O40" i="18"/>
  <c r="O31" i="19"/>
  <c r="O39" i="19"/>
  <c r="N24" i="20"/>
  <c r="O29" i="21"/>
  <c r="O25" i="17"/>
  <c r="O35" i="19"/>
  <c r="O41" i="19"/>
  <c r="N26" i="20"/>
  <c r="O26" i="17"/>
  <c r="O25" i="18"/>
  <c r="O31" i="18"/>
  <c r="O30" i="19"/>
  <c r="O36" i="19"/>
  <c r="O26" i="20"/>
  <c r="G209" i="12"/>
  <c r="G193" i="12"/>
  <c r="G177" i="12"/>
  <c r="G161" i="12"/>
  <c r="G145" i="12"/>
  <c r="G129" i="12"/>
  <c r="G9" i="12"/>
  <c r="O3" i="21"/>
  <c r="O4" i="17"/>
  <c r="O5" i="21"/>
  <c r="N3" i="17"/>
  <c r="N9" i="17"/>
  <c r="O4" i="20"/>
  <c r="O10" i="20"/>
  <c r="N20" i="17"/>
  <c r="N3" i="18"/>
  <c r="N13" i="20"/>
  <c r="O8" i="20"/>
  <c r="O14" i="20"/>
  <c r="P3" i="22"/>
  <c r="O4" i="19"/>
  <c r="O10" i="19"/>
  <c r="O9" i="20"/>
  <c r="O15" i="20"/>
  <c r="P4" i="22"/>
  <c r="O36" i="16"/>
  <c r="P20" i="4"/>
  <c r="P19" i="4"/>
  <c r="O46" i="20"/>
  <c r="O45" i="18"/>
  <c r="O51" i="18"/>
  <c r="O57" i="18"/>
  <c r="O45" i="21"/>
  <c r="O51" i="21"/>
  <c r="O57" i="21"/>
  <c r="O46" i="19"/>
  <c r="O52" i="19"/>
  <c r="N55" i="19"/>
  <c r="N51" i="20"/>
  <c r="O57" i="20"/>
  <c r="O50" i="21"/>
  <c r="O56" i="21"/>
  <c r="O62" i="21"/>
  <c r="N60" i="17"/>
  <c r="P52" i="4"/>
  <c r="O50" i="16"/>
  <c r="O56" i="16"/>
  <c r="O62" i="16"/>
  <c r="O47" i="17"/>
  <c r="O55" i="17"/>
  <c r="O62" i="19"/>
  <c r="O52" i="20"/>
  <c r="O60" i="20"/>
  <c r="I10" i="15"/>
  <c r="P61" i="4"/>
  <c r="O52" i="16"/>
  <c r="O50" i="17"/>
  <c r="O56" i="17"/>
  <c r="O57" i="19"/>
  <c r="O55" i="20"/>
  <c r="O51" i="17"/>
  <c r="O61" i="21"/>
  <c r="P46" i="22"/>
  <c r="P52" i="22"/>
  <c r="I5" i="15"/>
  <c r="O57" i="16"/>
  <c r="O52" i="17"/>
  <c r="O60" i="17"/>
  <c r="O47" i="21"/>
  <c r="O55" i="21"/>
  <c r="P45" i="22"/>
  <c r="P51" i="22"/>
  <c r="I6" i="15"/>
  <c r="I3" i="15"/>
  <c r="N47" i="20"/>
  <c r="O61" i="22"/>
  <c r="I8" i="15"/>
  <c r="I7" i="15"/>
  <c r="O45" i="17"/>
  <c r="O47" i="18"/>
  <c r="O55" i="18"/>
  <c r="O61" i="18"/>
  <c r="O50" i="20"/>
  <c r="P47" i="22"/>
  <c r="O60" i="19"/>
  <c r="N55" i="20"/>
  <c r="N57" i="21"/>
  <c r="P56" i="22"/>
  <c r="P62" i="22"/>
  <c r="I4" i="15"/>
  <c r="N45" i="17"/>
  <c r="O50" i="18"/>
  <c r="O56" i="18"/>
  <c r="O55" i="19"/>
  <c r="O51" i="20"/>
  <c r="O56" i="20"/>
  <c r="O62" i="20"/>
  <c r="O45" i="22"/>
  <c r="O40" i="22"/>
  <c r="P40" i="22"/>
  <c r="E20" i="22"/>
  <c r="P34" i="22"/>
  <c r="O36" i="22"/>
  <c r="P36" i="22"/>
  <c r="O30" i="22"/>
  <c r="P30" i="22"/>
  <c r="O46" i="22"/>
  <c r="O25" i="22"/>
  <c r="O24" i="22"/>
  <c r="P26" i="22"/>
  <c r="P5" i="22"/>
  <c r="O5" i="22"/>
  <c r="O51" i="22"/>
  <c r="P55" i="22"/>
  <c r="P57" i="22"/>
  <c r="P61" i="22"/>
  <c r="O8" i="22"/>
  <c r="O9" i="22"/>
  <c r="O10" i="22"/>
  <c r="O13" i="22"/>
  <c r="O14" i="22"/>
  <c r="O15" i="22"/>
  <c r="O18" i="22"/>
  <c r="O19" i="22"/>
  <c r="O20" i="22"/>
  <c r="O4" i="22"/>
  <c r="O3" i="22"/>
  <c r="P8" i="22"/>
  <c r="P9" i="22"/>
  <c r="P10" i="22"/>
  <c r="P13" i="22"/>
  <c r="P14" i="22"/>
  <c r="P15" i="22"/>
  <c r="P18" i="22"/>
  <c r="P19" i="22"/>
  <c r="P20" i="22"/>
  <c r="O29" i="22"/>
  <c r="O31" i="22"/>
  <c r="O35" i="22"/>
  <c r="O39" i="22"/>
  <c r="O41" i="22"/>
  <c r="O50" i="22"/>
  <c r="O52" i="22"/>
  <c r="O56" i="22"/>
  <c r="O60" i="22"/>
  <c r="O62" i="22"/>
  <c r="O60" i="21"/>
  <c r="N61" i="21"/>
  <c r="N20" i="21"/>
  <c r="N19" i="21"/>
  <c r="N55" i="21"/>
  <c r="O36" i="21"/>
  <c r="N51" i="21"/>
  <c r="N24" i="21"/>
  <c r="N29" i="21"/>
  <c r="N31" i="21"/>
  <c r="N35" i="21"/>
  <c r="N39" i="21"/>
  <c r="N41" i="21"/>
  <c r="N47" i="21"/>
  <c r="N3" i="21"/>
  <c r="N5" i="21"/>
  <c r="N26" i="21"/>
  <c r="N46" i="21"/>
  <c r="O8" i="21"/>
  <c r="O9" i="21"/>
  <c r="O10" i="21"/>
  <c r="O13" i="21"/>
  <c r="O14" i="21"/>
  <c r="O15" i="21"/>
  <c r="O18" i="21"/>
  <c r="O19" i="21"/>
  <c r="O20" i="21"/>
  <c r="N8" i="21"/>
  <c r="N9" i="21"/>
  <c r="N10" i="21"/>
  <c r="N13" i="21"/>
  <c r="N14" i="21"/>
  <c r="N15" i="21"/>
  <c r="N4" i="21"/>
  <c r="N25" i="21"/>
  <c r="N30" i="21"/>
  <c r="N34" i="21"/>
  <c r="N36" i="21"/>
  <c r="N40" i="21"/>
  <c r="N45" i="21"/>
  <c r="O25" i="21"/>
  <c r="N50" i="21"/>
  <c r="N52" i="21"/>
  <c r="N56" i="21"/>
  <c r="N60" i="21"/>
  <c r="N62" i="21"/>
  <c r="N61" i="20"/>
  <c r="N19" i="20"/>
  <c r="O19" i="20"/>
  <c r="N18" i="20"/>
  <c r="N20" i="20"/>
  <c r="O18" i="20"/>
  <c r="O20" i="20"/>
  <c r="N57" i="20"/>
  <c r="N14" i="20"/>
  <c r="O13" i="20"/>
  <c r="N15" i="20"/>
  <c r="N9" i="20"/>
  <c r="N10" i="20"/>
  <c r="N8" i="20"/>
  <c r="O47" i="20"/>
  <c r="O24" i="20"/>
  <c r="O3" i="20"/>
  <c r="N3" i="20"/>
  <c r="N5" i="20"/>
  <c r="N29" i="20"/>
  <c r="N31" i="20"/>
  <c r="N35" i="20"/>
  <c r="N39" i="20"/>
  <c r="N41" i="20"/>
  <c r="N4" i="20"/>
  <c r="N25" i="20"/>
  <c r="N30" i="20"/>
  <c r="N34" i="20"/>
  <c r="N36" i="20"/>
  <c r="N40" i="20"/>
  <c r="N45" i="20"/>
  <c r="N46" i="20"/>
  <c r="N50" i="20"/>
  <c r="N52" i="20"/>
  <c r="N56" i="20"/>
  <c r="N60" i="20"/>
  <c r="N62" i="20"/>
  <c r="N61" i="19"/>
  <c r="O18" i="19"/>
  <c r="O20" i="19"/>
  <c r="N19" i="19"/>
  <c r="O19" i="19"/>
  <c r="N18" i="19"/>
  <c r="N20" i="19"/>
  <c r="N57" i="19"/>
  <c r="O13" i="19"/>
  <c r="N13" i="19"/>
  <c r="N14" i="19"/>
  <c r="O15" i="19"/>
  <c r="N51" i="19"/>
  <c r="O8" i="19"/>
  <c r="N46" i="19"/>
  <c r="O5" i="19"/>
  <c r="N3" i="19"/>
  <c r="N5" i="19"/>
  <c r="N29" i="19"/>
  <c r="N31" i="19"/>
  <c r="N35" i="19"/>
  <c r="N39" i="19"/>
  <c r="N41" i="19"/>
  <c r="N47" i="19"/>
  <c r="N8" i="19"/>
  <c r="N9" i="19"/>
  <c r="N10" i="19"/>
  <c r="N4" i="19"/>
  <c r="N25" i="19"/>
  <c r="N30" i="19"/>
  <c r="N34" i="19"/>
  <c r="N36" i="19"/>
  <c r="N40" i="19"/>
  <c r="N45" i="19"/>
  <c r="N26" i="19"/>
  <c r="O25" i="19"/>
  <c r="N50" i="19"/>
  <c r="N52" i="19"/>
  <c r="N56" i="19"/>
  <c r="N60" i="19"/>
  <c r="N62" i="19"/>
  <c r="N41" i="18"/>
  <c r="N39" i="18"/>
  <c r="N40" i="18"/>
  <c r="N35" i="18"/>
  <c r="N36" i="18"/>
  <c r="N34" i="18"/>
  <c r="N31" i="18"/>
  <c r="N29" i="18"/>
  <c r="O29" i="18"/>
  <c r="N45" i="18"/>
  <c r="O3" i="18"/>
  <c r="N4" i="18"/>
  <c r="N5" i="18"/>
  <c r="N47" i="18"/>
  <c r="N8" i="18"/>
  <c r="N9" i="18"/>
  <c r="N10" i="18"/>
  <c r="N13" i="18"/>
  <c r="N14" i="18"/>
  <c r="N15" i="18"/>
  <c r="N18" i="18"/>
  <c r="N19" i="18"/>
  <c r="N20" i="18"/>
  <c r="N26" i="18"/>
  <c r="N46" i="18"/>
  <c r="N51" i="18"/>
  <c r="N55" i="18"/>
  <c r="N57" i="18"/>
  <c r="N61" i="18"/>
  <c r="O8" i="18"/>
  <c r="O9" i="18"/>
  <c r="O10" i="18"/>
  <c r="O13" i="18"/>
  <c r="O14" i="18"/>
  <c r="O15" i="18"/>
  <c r="O18" i="18"/>
  <c r="O19" i="18"/>
  <c r="O20" i="18"/>
  <c r="O46" i="18"/>
  <c r="N24" i="18"/>
  <c r="N50" i="18"/>
  <c r="N52" i="18"/>
  <c r="N56" i="18"/>
  <c r="N60" i="18"/>
  <c r="N62" i="18"/>
  <c r="N25" i="18"/>
  <c r="N62" i="17"/>
  <c r="N56" i="17"/>
  <c r="O35" i="17"/>
  <c r="N14" i="17"/>
  <c r="N52" i="17"/>
  <c r="N50" i="17"/>
  <c r="O31" i="17"/>
  <c r="N24" i="17"/>
  <c r="N26" i="17"/>
  <c r="N5" i="17"/>
  <c r="N29" i="17"/>
  <c r="N31" i="17"/>
  <c r="N35" i="17"/>
  <c r="N39" i="17"/>
  <c r="N41" i="17"/>
  <c r="N47" i="17"/>
  <c r="O39" i="17"/>
  <c r="O3" i="17"/>
  <c r="O5" i="17"/>
  <c r="N8" i="17"/>
  <c r="N10" i="17"/>
  <c r="N13" i="17"/>
  <c r="N15" i="17"/>
  <c r="N18" i="17"/>
  <c r="N19" i="17"/>
  <c r="N46" i="17"/>
  <c r="N51" i="17"/>
  <c r="N55" i="17"/>
  <c r="N57" i="17"/>
  <c r="N61" i="17"/>
  <c r="O8" i="17"/>
  <c r="O9" i="17"/>
  <c r="O10" i="17"/>
  <c r="O13" i="17"/>
  <c r="O14" i="17"/>
  <c r="O15" i="17"/>
  <c r="O18" i="17"/>
  <c r="O19" i="17"/>
  <c r="O20" i="17"/>
  <c r="N4" i="17"/>
  <c r="N25" i="17"/>
  <c r="N30" i="17"/>
  <c r="N34" i="17"/>
  <c r="N36" i="17"/>
  <c r="E30" i="15"/>
  <c r="I9" i="15"/>
  <c r="G191" i="12"/>
  <c r="G183" i="12"/>
  <c r="G175" i="12"/>
  <c r="G159" i="12"/>
  <c r="G151" i="12"/>
  <c r="G143" i="12"/>
  <c r="G127" i="12"/>
  <c r="G119" i="12"/>
  <c r="G111" i="12"/>
  <c r="G95" i="12"/>
  <c r="G87" i="12"/>
  <c r="G79" i="12"/>
  <c r="G63" i="12"/>
  <c r="G55" i="12"/>
  <c r="G47" i="12"/>
  <c r="G31" i="12"/>
  <c r="G23" i="12"/>
  <c r="G15" i="12"/>
  <c r="P47" i="4"/>
  <c r="O46" i="16"/>
  <c r="O55" i="16"/>
  <c r="O61" i="16"/>
  <c r="P56" i="4"/>
  <c r="O55" i="4"/>
  <c r="N40" i="16"/>
  <c r="O34" i="16"/>
  <c r="O60" i="16"/>
  <c r="O26" i="16"/>
  <c r="O30" i="16"/>
  <c r="N47" i="16"/>
  <c r="O40" i="16"/>
  <c r="N36" i="16"/>
  <c r="N34" i="16"/>
  <c r="O24" i="16"/>
  <c r="N30" i="16"/>
  <c r="N31" i="16"/>
  <c r="N35" i="16"/>
  <c r="N39" i="16"/>
  <c r="N41" i="16"/>
  <c r="N29" i="16"/>
  <c r="O29" i="16"/>
  <c r="N25" i="16"/>
  <c r="N26" i="16"/>
  <c r="N3" i="16"/>
  <c r="N5" i="16"/>
  <c r="O5" i="16"/>
  <c r="O8" i="16"/>
  <c r="O9" i="16"/>
  <c r="O10" i="16"/>
  <c r="O13" i="16"/>
  <c r="O14" i="16"/>
  <c r="O15" i="16"/>
  <c r="O18" i="16"/>
  <c r="O19" i="16"/>
  <c r="O20" i="16"/>
  <c r="N24" i="16"/>
  <c r="O25" i="16"/>
  <c r="N46" i="16"/>
  <c r="O47" i="16"/>
  <c r="O3" i="16"/>
  <c r="N45" i="16"/>
  <c r="N51" i="16"/>
  <c r="N55" i="16"/>
  <c r="N57" i="16"/>
  <c r="N61" i="16"/>
  <c r="N4" i="16"/>
  <c r="N8" i="16"/>
  <c r="N9" i="16"/>
  <c r="N10" i="16"/>
  <c r="N13" i="16"/>
  <c r="N14" i="16"/>
  <c r="N15" i="16"/>
  <c r="N18" i="16"/>
  <c r="N19" i="16"/>
  <c r="N20" i="16"/>
  <c r="N50" i="16"/>
  <c r="N52" i="16"/>
  <c r="N56" i="16"/>
  <c r="N60" i="16"/>
  <c r="N62" i="16"/>
  <c r="P60" i="4"/>
  <c r="O61" i="4"/>
  <c r="O57" i="4"/>
  <c r="O51" i="4"/>
  <c r="O47" i="4"/>
  <c r="P46" i="4"/>
  <c r="O45" i="4"/>
  <c r="O46" i="4"/>
  <c r="P45" i="4"/>
  <c r="P51" i="4"/>
  <c r="P55" i="4"/>
  <c r="P57" i="4"/>
  <c r="O50" i="4"/>
  <c r="O52" i="4"/>
  <c r="O56" i="4"/>
  <c r="O60" i="4"/>
  <c r="O62" i="4"/>
  <c r="P41" i="4"/>
  <c r="P40" i="4"/>
  <c r="P39" i="4"/>
  <c r="P36" i="4"/>
  <c r="P35" i="4"/>
  <c r="P34" i="4"/>
  <c r="P31" i="4"/>
  <c r="P30" i="4"/>
  <c r="P29" i="4"/>
  <c r="P25" i="4"/>
  <c r="O24" i="4"/>
  <c r="O25" i="4"/>
  <c r="P24" i="4"/>
  <c r="O26" i="4"/>
  <c r="O30" i="4"/>
  <c r="O34" i="4"/>
  <c r="O36" i="4"/>
  <c r="O40" i="4"/>
  <c r="O29" i="4"/>
  <c r="O31" i="4"/>
  <c r="O35" i="4"/>
  <c r="O39" i="4"/>
  <c r="O41" i="4"/>
  <c r="P18" i="4"/>
  <c r="P15" i="4"/>
  <c r="P14" i="4"/>
  <c r="P13" i="4"/>
  <c r="P10" i="4"/>
  <c r="P9" i="4"/>
  <c r="P8" i="4"/>
  <c r="P3" i="4"/>
  <c r="O5" i="4"/>
  <c r="O4" i="4"/>
  <c r="P4" i="4"/>
  <c r="O3" i="4"/>
  <c r="P5" i="4"/>
  <c r="O9" i="4"/>
  <c r="O13" i="4"/>
  <c r="O15" i="4"/>
  <c r="O19" i="4"/>
  <c r="O8" i="4"/>
  <c r="O10" i="4"/>
  <c r="O14" i="4"/>
  <c r="O18" i="4"/>
  <c r="O20" i="4"/>
  <c r="G206" i="12"/>
  <c r="G190" i="12"/>
  <c r="G158" i="12"/>
  <c r="G142" i="12"/>
  <c r="G134" i="12"/>
  <c r="G110" i="12"/>
  <c r="G102" i="12"/>
  <c r="G94" i="12"/>
  <c r="G86" i="12"/>
  <c r="G70" i="12"/>
  <c r="G62" i="12"/>
  <c r="G54" i="12"/>
  <c r="G46" i="12"/>
  <c r="G38" i="12"/>
  <c r="G30" i="12"/>
  <c r="G22" i="12"/>
  <c r="G14" i="12"/>
  <c r="G6" i="12"/>
  <c r="G182" i="12"/>
  <c r="G166" i="12"/>
  <c r="G150" i="12"/>
  <c r="G126" i="12"/>
  <c r="L26" i="12"/>
  <c r="L22" i="12"/>
  <c r="G199" i="12"/>
  <c r="G167" i="12"/>
  <c r="G135" i="12"/>
  <c r="G103" i="12"/>
  <c r="G71" i="12"/>
  <c r="G39" i="12"/>
  <c r="G7" i="12"/>
  <c r="E27" i="15"/>
  <c r="E29" i="15"/>
  <c r="E28" i="15"/>
  <c r="E25" i="15"/>
  <c r="E26" i="15"/>
  <c r="E12" i="15"/>
  <c r="E16" i="15"/>
  <c r="E20" i="15"/>
  <c r="E24" i="15"/>
  <c r="E7" i="15"/>
  <c r="E15" i="15"/>
  <c r="E19" i="15"/>
  <c r="E23" i="15"/>
  <c r="E8" i="15"/>
  <c r="E6" i="15"/>
  <c r="E10" i="15"/>
  <c r="E14" i="15"/>
  <c r="E18" i="15"/>
  <c r="E22" i="15"/>
  <c r="E4" i="15"/>
  <c r="E5" i="15"/>
  <c r="E13" i="15"/>
  <c r="E17" i="15"/>
  <c r="E21" i="15"/>
  <c r="E11" i="15"/>
  <c r="E9" i="15"/>
  <c r="E3" i="15"/>
  <c r="G205" i="12"/>
  <c r="G189" i="12"/>
  <c r="G173" i="12"/>
  <c r="G157" i="12"/>
  <c r="G141" i="12"/>
  <c r="L9" i="12"/>
  <c r="G77" i="12"/>
  <c r="G61" i="12"/>
  <c r="G45" i="12"/>
  <c r="G29" i="12"/>
  <c r="G13" i="12"/>
  <c r="G197" i="12"/>
  <c r="G181" i="12"/>
  <c r="G165" i="12"/>
  <c r="G149" i="12"/>
  <c r="G133" i="12"/>
  <c r="G125" i="12"/>
  <c r="G117" i="12"/>
  <c r="G109" i="12"/>
  <c r="G101" i="12"/>
  <c r="G85" i="12"/>
  <c r="G69" i="12"/>
  <c r="G53" i="12"/>
  <c r="G37" i="12"/>
  <c r="G21" i="12"/>
  <c r="G5" i="12"/>
  <c r="L28" i="12"/>
  <c r="L27" i="12"/>
  <c r="L23" i="12"/>
  <c r="G196" i="12"/>
  <c r="G188" i="12"/>
  <c r="L18" i="12"/>
  <c r="G172" i="12"/>
  <c r="G164" i="12"/>
  <c r="G156" i="12"/>
  <c r="G148" i="12"/>
  <c r="G140" i="12"/>
  <c r="G132" i="12"/>
  <c r="G124" i="12"/>
  <c r="G116" i="12"/>
  <c r="L10" i="12"/>
  <c r="G100" i="12"/>
  <c r="G92" i="12"/>
  <c r="G84" i="12"/>
  <c r="G76" i="12"/>
  <c r="G68" i="12"/>
  <c r="G60" i="12"/>
  <c r="G52" i="12"/>
  <c r="G44" i="12"/>
  <c r="G36" i="12"/>
  <c r="G28" i="12"/>
  <c r="G20" i="12"/>
  <c r="G12" i="12"/>
  <c r="G4" i="12"/>
  <c r="L30" i="12"/>
  <c r="L25" i="12"/>
  <c r="L12" i="12"/>
  <c r="L16" i="12"/>
  <c r="L24" i="12"/>
  <c r="L7" i="12"/>
  <c r="G207" i="12"/>
  <c r="L20" i="12"/>
  <c r="L21" i="12"/>
  <c r="L17" i="12"/>
  <c r="L11" i="12"/>
  <c r="L8" i="12"/>
  <c r="L29" i="12"/>
  <c r="G168" i="12"/>
  <c r="L14" i="12"/>
  <c r="L6" i="12"/>
  <c r="G198" i="12"/>
  <c r="G174" i="12"/>
  <c r="G118" i="12"/>
  <c r="G78" i="12"/>
  <c r="L13" i="12"/>
  <c r="L5" i="12"/>
  <c r="G93" i="12"/>
  <c r="L4" i="12"/>
  <c r="L15" i="12"/>
  <c r="G212" i="12"/>
  <c r="G204" i="12"/>
  <c r="G180" i="12"/>
  <c r="G108" i="12"/>
  <c r="L19" i="12"/>
  <c r="L3" i="12"/>
  <c r="G211" i="12"/>
  <c r="G203" i="12"/>
  <c r="G210" i="12"/>
  <c r="G211" i="2"/>
  <c r="G207" i="2"/>
  <c r="G203" i="2"/>
  <c r="G199" i="2"/>
  <c r="G195" i="2"/>
  <c r="G191" i="2"/>
  <c r="G187" i="2"/>
  <c r="G183" i="2"/>
  <c r="G179" i="2"/>
  <c r="G175" i="2"/>
  <c r="G167" i="2"/>
  <c r="G163" i="2"/>
  <c r="G159" i="2"/>
  <c r="G155" i="2"/>
  <c r="G151" i="2"/>
  <c r="G147" i="2"/>
  <c r="G143" i="2"/>
  <c r="G139" i="2"/>
  <c r="G135" i="2"/>
  <c r="G131" i="2"/>
  <c r="G127" i="2"/>
  <c r="G123" i="2"/>
  <c r="G119" i="2"/>
  <c r="G115" i="2"/>
  <c r="G111" i="2"/>
  <c r="G107" i="2"/>
  <c r="G103" i="2"/>
  <c r="G99" i="2"/>
  <c r="G95" i="2"/>
  <c r="G91" i="2"/>
  <c r="G87" i="2"/>
  <c r="G83" i="2"/>
  <c r="G79" i="2"/>
  <c r="G75" i="2"/>
  <c r="G71" i="2"/>
  <c r="G67" i="2"/>
  <c r="G63" i="2"/>
  <c r="G59" i="2"/>
  <c r="G55" i="2"/>
  <c r="G51" i="2"/>
  <c r="G47" i="2"/>
  <c r="G43" i="2"/>
  <c r="G39" i="2"/>
  <c r="G35" i="2"/>
  <c r="G31" i="2"/>
  <c r="G27" i="2"/>
  <c r="G23" i="2"/>
  <c r="G19" i="2"/>
  <c r="G15" i="2"/>
  <c r="G11" i="2"/>
  <c r="G7" i="2"/>
  <c r="G3" i="2"/>
  <c r="G171" i="2"/>
  <c r="G210" i="2"/>
  <c r="G202" i="2"/>
  <c r="G194" i="2"/>
  <c r="G186" i="2"/>
  <c r="G178" i="2"/>
  <c r="G174" i="2"/>
  <c r="G170" i="2"/>
  <c r="G166" i="2"/>
  <c r="G162" i="2"/>
  <c r="G158" i="2"/>
  <c r="G154" i="2"/>
  <c r="G150" i="2"/>
  <c r="G146" i="2"/>
  <c r="G142" i="2"/>
  <c r="G138" i="2"/>
  <c r="G134" i="2"/>
  <c r="G130" i="2"/>
  <c r="G126" i="2"/>
  <c r="G122" i="2"/>
  <c r="G118" i="2"/>
  <c r="G114" i="2"/>
  <c r="G110" i="2"/>
  <c r="G106" i="2"/>
  <c r="G102" i="2"/>
  <c r="G98" i="2"/>
  <c r="G94" i="2"/>
  <c r="G90" i="2"/>
  <c r="G86" i="2"/>
  <c r="G82" i="2"/>
  <c r="G78" i="2"/>
  <c r="G74" i="2"/>
  <c r="G70" i="2"/>
  <c r="G66" i="2"/>
  <c r="G62" i="2"/>
  <c r="G58" i="2"/>
  <c r="G54" i="2"/>
  <c r="G50" i="2"/>
  <c r="G46" i="2"/>
  <c r="G42" i="2"/>
  <c r="G38" i="2"/>
  <c r="G34" i="2"/>
  <c r="G30" i="2"/>
  <c r="G26" i="2"/>
  <c r="G22" i="2"/>
  <c r="G18" i="2"/>
  <c r="G14" i="2"/>
  <c r="G10" i="2"/>
  <c r="G6" i="2"/>
  <c r="G206" i="2"/>
  <c r="G198" i="2"/>
  <c r="G190" i="2"/>
  <c r="G182" i="2"/>
  <c r="G209" i="2"/>
  <c r="G201" i="2"/>
  <c r="G193" i="2"/>
  <c r="G185" i="2"/>
  <c r="G173" i="2"/>
  <c r="G165" i="2"/>
  <c r="G205" i="2"/>
  <c r="G197" i="2"/>
  <c r="G189" i="2"/>
  <c r="G181" i="2"/>
  <c r="G177" i="2"/>
  <c r="G169" i="2"/>
  <c r="G161" i="2"/>
  <c r="G157" i="2"/>
  <c r="G153" i="2"/>
  <c r="G149" i="2"/>
  <c r="G145" i="2"/>
  <c r="G141" i="2"/>
  <c r="G137" i="2"/>
  <c r="G133" i="2"/>
  <c r="G129" i="2"/>
  <c r="G125" i="2"/>
  <c r="G121" i="2"/>
  <c r="G117" i="2"/>
  <c r="G113" i="2"/>
  <c r="G109" i="2"/>
  <c r="G105" i="2"/>
  <c r="G101" i="2"/>
  <c r="G97" i="2"/>
  <c r="G93" i="2"/>
  <c r="G89" i="2"/>
  <c r="G85" i="2"/>
  <c r="G81" i="2"/>
  <c r="G77" i="2"/>
  <c r="G73" i="2"/>
  <c r="G69" i="2"/>
  <c r="G65" i="2"/>
  <c r="G61" i="2"/>
  <c r="G57" i="2"/>
  <c r="G53" i="2"/>
  <c r="G49" i="2"/>
  <c r="G45" i="2"/>
  <c r="G41" i="2"/>
  <c r="G37" i="2"/>
  <c r="G33" i="2"/>
  <c r="G29" i="2"/>
  <c r="G25" i="2"/>
  <c r="G21" i="2"/>
  <c r="G17" i="2"/>
  <c r="G13" i="2"/>
  <c r="G9" i="2"/>
  <c r="G5" i="2"/>
  <c r="G208" i="2"/>
  <c r="G200" i="2"/>
  <c r="G192" i="2"/>
  <c r="G184" i="2"/>
  <c r="G176" i="2"/>
  <c r="G168" i="2"/>
  <c r="G160" i="2"/>
  <c r="G152" i="2"/>
  <c r="G144" i="2"/>
  <c r="G136" i="2"/>
  <c r="G128" i="2"/>
  <c r="G120" i="2"/>
  <c r="G112" i="2"/>
  <c r="G104" i="2"/>
  <c r="G96" i="2"/>
  <c r="G84" i="2"/>
  <c r="G76" i="2"/>
  <c r="G68" i="2"/>
  <c r="G60" i="2"/>
  <c r="G52" i="2"/>
  <c r="G44" i="2"/>
  <c r="G36" i="2"/>
  <c r="G28" i="2"/>
  <c r="G20" i="2"/>
  <c r="G12" i="2"/>
  <c r="G4" i="2"/>
  <c r="G212" i="2"/>
  <c r="G204" i="2"/>
  <c r="G196" i="2"/>
  <c r="G188" i="2"/>
  <c r="G172" i="2"/>
  <c r="G164" i="2"/>
  <c r="G156" i="2"/>
  <c r="G148" i="2"/>
  <c r="G140" i="2"/>
  <c r="G132" i="2"/>
  <c r="G124" i="2"/>
  <c r="G116" i="2"/>
  <c r="G108" i="2"/>
  <c r="G100" i="2"/>
  <c r="G92" i="2"/>
  <c r="G88" i="2"/>
  <c r="G80" i="2"/>
  <c r="G72" i="2"/>
  <c r="G64" i="2"/>
  <c r="G56" i="2"/>
  <c r="G48" i="2"/>
  <c r="G40" i="2"/>
  <c r="G32" i="2"/>
  <c r="G24" i="2"/>
  <c r="G16" i="2"/>
  <c r="G8" i="2"/>
  <c r="L18" i="2"/>
  <c r="G180" i="2"/>
  <c r="L14" i="2"/>
  <c r="L10" i="2"/>
  <c r="L6" i="2"/>
  <c r="L20" i="2"/>
  <c r="L16" i="2"/>
  <c r="L12" i="2"/>
  <c r="L26" i="2"/>
  <c r="L19" i="2"/>
  <c r="L15" i="2"/>
  <c r="L11" i="2"/>
  <c r="L7" i="2"/>
  <c r="L30" i="2"/>
  <c r="L24" i="2"/>
  <c r="L25" i="2"/>
  <c r="L21" i="2"/>
  <c r="L17" i="2"/>
  <c r="L13" i="2"/>
  <c r="L8" i="2"/>
  <c r="L4" i="2"/>
  <c r="L23" i="2"/>
  <c r="L22" i="2"/>
  <c r="L9" i="2"/>
  <c r="L5" i="2"/>
  <c r="L3" i="2"/>
  <c r="L27" i="2"/>
  <c r="L29" i="2"/>
  <c r="L28" i="2"/>
  <c r="K24" i="12" l="1"/>
  <c r="M24" i="12" s="1"/>
  <c r="E19" i="4"/>
  <c r="E19" i="18"/>
  <c r="K13" i="12"/>
  <c r="M13" i="12" s="1"/>
  <c r="E10" i="4"/>
  <c r="E15" i="18"/>
  <c r="V3" i="16"/>
  <c r="E9" i="22"/>
  <c r="K14" i="12"/>
  <c r="M14" i="12" s="1"/>
  <c r="X5" i="22"/>
  <c r="X7" i="22"/>
  <c r="V8" i="17"/>
  <c r="V2" i="17"/>
  <c r="X2" i="22"/>
  <c r="K5" i="12"/>
  <c r="M5" i="12" s="1"/>
  <c r="V5" i="19"/>
  <c r="X6" i="22"/>
  <c r="V4" i="16"/>
  <c r="V3" i="18"/>
  <c r="X10" i="4"/>
  <c r="V8" i="16"/>
  <c r="V5" i="17"/>
  <c r="V8" i="18"/>
  <c r="V4" i="18"/>
  <c r="V7" i="19"/>
  <c r="V2" i="19"/>
  <c r="V3" i="20"/>
  <c r="V2" i="21"/>
  <c r="E8" i="16"/>
  <c r="V9" i="16"/>
  <c r="K3" i="3" s="1"/>
  <c r="V6" i="16"/>
  <c r="V5" i="18"/>
  <c r="X3" i="22"/>
  <c r="V4" i="17"/>
  <c r="V2" i="20"/>
  <c r="V8" i="21"/>
  <c r="V3" i="21"/>
  <c r="V7" i="18"/>
  <c r="V3" i="19"/>
  <c r="V7" i="16"/>
  <c r="V7" i="20"/>
  <c r="X9" i="22"/>
  <c r="V2" i="16"/>
  <c r="V9" i="17"/>
  <c r="K5" i="3" s="1"/>
  <c r="V6" i="17"/>
  <c r="V9" i="18"/>
  <c r="K4" i="3" s="1"/>
  <c r="V6" i="18"/>
  <c r="V9" i="19"/>
  <c r="K6" i="3" s="1"/>
  <c r="V6" i="19"/>
  <c r="V4" i="19"/>
  <c r="V8" i="20"/>
  <c r="V4" i="20"/>
  <c r="V5" i="21"/>
  <c r="X10" i="22"/>
  <c r="V5" i="20"/>
  <c r="V9" i="21"/>
  <c r="K8" i="3" s="1"/>
  <c r="V6" i="21"/>
  <c r="V7" i="21"/>
  <c r="V4" i="21"/>
  <c r="X4" i="22"/>
  <c r="X11" i="22"/>
  <c r="K9" i="3" s="1"/>
  <c r="X8" i="22"/>
  <c r="X9" i="4"/>
  <c r="D8" i="4"/>
  <c r="X11" i="4"/>
  <c r="K2" i="3" s="1"/>
  <c r="X8" i="4"/>
  <c r="V5" i="16"/>
  <c r="V7" i="17"/>
  <c r="V3" i="17"/>
  <c r="V2" i="18"/>
  <c r="V8" i="19"/>
  <c r="V9" i="20"/>
  <c r="K7" i="3" s="1"/>
  <c r="V6" i="20"/>
  <c r="X4" i="4"/>
  <c r="X6" i="4"/>
  <c r="E3" i="4"/>
  <c r="E14" i="4"/>
  <c r="X2" i="4"/>
  <c r="X3" i="4"/>
  <c r="X7" i="4"/>
  <c r="X5" i="4"/>
  <c r="D3" i="4"/>
  <c r="E13" i="4"/>
  <c r="E5" i="4"/>
  <c r="E15" i="4"/>
  <c r="E9" i="4"/>
  <c r="D4" i="4"/>
  <c r="E4" i="4"/>
  <c r="D5" i="4"/>
  <c r="D18" i="4"/>
  <c r="E18" i="4"/>
  <c r="D15" i="4"/>
  <c r="E8" i="4"/>
  <c r="L8" i="24"/>
  <c r="L7" i="24"/>
  <c r="L9" i="24"/>
  <c r="L10" i="24"/>
  <c r="L5" i="24"/>
  <c r="L3" i="24"/>
  <c r="L6" i="24"/>
  <c r="L4" i="24"/>
  <c r="E20" i="21"/>
  <c r="E18" i="19"/>
  <c r="E10" i="22"/>
  <c r="E8" i="17"/>
  <c r="E9" i="18"/>
  <c r="E20" i="4"/>
  <c r="E18" i="22"/>
  <c r="D9" i="4"/>
  <c r="E20" i="16"/>
  <c r="D13" i="4"/>
  <c r="E13" i="17"/>
  <c r="E19" i="20"/>
  <c r="E3" i="21"/>
  <c r="D18" i="18"/>
  <c r="E10" i="18"/>
  <c r="D14" i="4"/>
  <c r="D10" i="4"/>
  <c r="E14" i="21"/>
  <c r="E19" i="17"/>
  <c r="E5" i="21"/>
  <c r="D10" i="21"/>
  <c r="E13" i="21"/>
  <c r="D20" i="4"/>
  <c r="D20" i="19"/>
  <c r="E5" i="20"/>
  <c r="D20" i="22"/>
  <c r="D19" i="4"/>
  <c r="D19" i="18"/>
  <c r="D8" i="22"/>
  <c r="E19" i="21"/>
  <c r="E15" i="21"/>
  <c r="D15" i="22"/>
  <c r="E8" i="18"/>
  <c r="E19" i="19"/>
  <c r="E9" i="21"/>
  <c r="D9" i="22"/>
  <c r="E4" i="18"/>
  <c r="E14" i="18"/>
  <c r="D19" i="20"/>
  <c r="E10" i="21"/>
  <c r="D10" i="22"/>
  <c r="E3" i="18"/>
  <c r="D5" i="19"/>
  <c r="E19" i="22"/>
  <c r="E5" i="18"/>
  <c r="E20" i="18"/>
  <c r="D18" i="19"/>
  <c r="D15" i="21"/>
  <c r="E18" i="18"/>
  <c r="D19" i="22"/>
  <c r="D13" i="22"/>
  <c r="D18" i="22"/>
  <c r="H10" i="15"/>
  <c r="E20" i="17"/>
  <c r="E10" i="17"/>
  <c r="E15" i="17"/>
  <c r="D20" i="18"/>
  <c r="D3" i="21"/>
  <c r="D8" i="21"/>
  <c r="E13" i="22"/>
  <c r="D14" i="22"/>
  <c r="E4" i="22"/>
  <c r="D9" i="21"/>
  <c r="D14" i="21"/>
  <c r="D10" i="18"/>
  <c r="E18" i="20"/>
  <c r="E8" i="21"/>
  <c r="D18" i="21"/>
  <c r="E15" i="22"/>
  <c r="E8" i="22"/>
  <c r="E13" i="16"/>
  <c r="D15" i="18"/>
  <c r="E20" i="19"/>
  <c r="D13" i="21"/>
  <c r="D5" i="22"/>
  <c r="E5" i="22"/>
  <c r="D4" i="22"/>
  <c r="E3" i="22"/>
  <c r="D3" i="22"/>
  <c r="E18" i="21"/>
  <c r="D20" i="21"/>
  <c r="D19" i="21"/>
  <c r="E4" i="21"/>
  <c r="D4" i="21"/>
  <c r="D5" i="21"/>
  <c r="E20" i="20"/>
  <c r="D18" i="20"/>
  <c r="D20" i="20"/>
  <c r="E8" i="20"/>
  <c r="D8" i="20"/>
  <c r="E3" i="20"/>
  <c r="D3" i="20"/>
  <c r="D5" i="20"/>
  <c r="E15" i="20"/>
  <c r="D15" i="20"/>
  <c r="E4" i="20"/>
  <c r="D4" i="20"/>
  <c r="E14" i="20"/>
  <c r="D14" i="20"/>
  <c r="E13" i="20"/>
  <c r="D13" i="20"/>
  <c r="E10" i="20"/>
  <c r="D10" i="20"/>
  <c r="E9" i="20"/>
  <c r="D9" i="20"/>
  <c r="D19" i="19"/>
  <c r="E3" i="19"/>
  <c r="E14" i="19"/>
  <c r="D14" i="19"/>
  <c r="E13" i="19"/>
  <c r="D13" i="19"/>
  <c r="E10" i="19"/>
  <c r="D10" i="19"/>
  <c r="E8" i="19"/>
  <c r="D8" i="19"/>
  <c r="E9" i="19"/>
  <c r="D9" i="19"/>
  <c r="E4" i="19"/>
  <c r="D4" i="19"/>
  <c r="D3" i="19"/>
  <c r="E15" i="19"/>
  <c r="D15" i="19"/>
  <c r="E13" i="18"/>
  <c r="D13" i="18"/>
  <c r="D14" i="18"/>
  <c r="D9" i="18"/>
  <c r="D8" i="18"/>
  <c r="D3" i="18"/>
  <c r="D5" i="18"/>
  <c r="D4" i="18"/>
  <c r="D8" i="17"/>
  <c r="E18" i="17"/>
  <c r="D18" i="17"/>
  <c r="E9" i="17"/>
  <c r="D9" i="17"/>
  <c r="E4" i="17"/>
  <c r="D4" i="17"/>
  <c r="D10" i="17"/>
  <c r="D19" i="17"/>
  <c r="D20" i="17"/>
  <c r="E14" i="17"/>
  <c r="D14" i="17"/>
  <c r="E5" i="17"/>
  <c r="D5" i="17"/>
  <c r="D15" i="17"/>
  <c r="D13" i="17"/>
  <c r="E3" i="17"/>
  <c r="D3" i="17"/>
  <c r="H7" i="15"/>
  <c r="H3" i="15"/>
  <c r="H8" i="15"/>
  <c r="H6" i="15"/>
  <c r="H4" i="15"/>
  <c r="H5" i="15"/>
  <c r="H9" i="15"/>
  <c r="K15" i="12"/>
  <c r="M15" i="12" s="1"/>
  <c r="K22" i="12"/>
  <c r="M22" i="12" s="1"/>
  <c r="K9" i="12"/>
  <c r="M9" i="12" s="1"/>
  <c r="K26" i="12"/>
  <c r="M26" i="12" s="1"/>
  <c r="K7" i="12"/>
  <c r="M7" i="12" s="1"/>
  <c r="E18" i="16"/>
  <c r="E10" i="16"/>
  <c r="D9" i="16"/>
  <c r="D20" i="16"/>
  <c r="E9" i="16"/>
  <c r="E3" i="16"/>
  <c r="E15" i="16"/>
  <c r="E19" i="16"/>
  <c r="D13" i="16"/>
  <c r="D14" i="16"/>
  <c r="E14" i="16"/>
  <c r="D8" i="16"/>
  <c r="D15" i="16"/>
  <c r="E4" i="16"/>
  <c r="D19" i="16"/>
  <c r="D18" i="16"/>
  <c r="D3" i="16"/>
  <c r="D10" i="16"/>
  <c r="E5" i="16"/>
  <c r="D5" i="16"/>
  <c r="D4" i="16"/>
  <c r="K23" i="12"/>
  <c r="M23" i="12" s="1"/>
  <c r="K19" i="12"/>
  <c r="M19" i="12" s="1"/>
  <c r="K4" i="12"/>
  <c r="M4" i="12" s="1"/>
  <c r="K25" i="12"/>
  <c r="M25" i="12" s="1"/>
  <c r="K6" i="12"/>
  <c r="M6" i="12" s="1"/>
  <c r="K12" i="12"/>
  <c r="M12" i="12" s="1"/>
  <c r="K20" i="12"/>
  <c r="M20" i="12" s="1"/>
  <c r="K3" i="12"/>
  <c r="M3" i="12" s="1"/>
  <c r="K16" i="12"/>
  <c r="M16" i="12" s="1"/>
  <c r="K18" i="12"/>
  <c r="M18" i="12" s="1"/>
  <c r="K8" i="12"/>
  <c r="M8" i="12" s="1"/>
  <c r="K11" i="12"/>
  <c r="M11" i="12" s="1"/>
  <c r="K27" i="12"/>
  <c r="M27" i="12" s="1"/>
  <c r="K17" i="12"/>
  <c r="M17" i="12" s="1"/>
  <c r="K28" i="12"/>
  <c r="M28" i="12" s="1"/>
  <c r="K10" i="12"/>
  <c r="M10" i="12" s="1"/>
  <c r="K29" i="12"/>
  <c r="M29" i="12" s="1"/>
  <c r="K21" i="12"/>
  <c r="M21" i="12" s="1"/>
  <c r="K30" i="12"/>
  <c r="M30" i="12" s="1"/>
  <c r="K13" i="2"/>
  <c r="M13" i="2" s="1"/>
  <c r="K25" i="2"/>
  <c r="M25" i="2" s="1"/>
  <c r="K29" i="2"/>
  <c r="M29" i="2" s="1"/>
  <c r="K8" i="2"/>
  <c r="M8" i="2" s="1"/>
  <c r="K26" i="2"/>
  <c r="M26" i="2" s="1"/>
  <c r="K9" i="2"/>
  <c r="M9" i="2" s="1"/>
  <c r="K22" i="2"/>
  <c r="M22" i="2" s="1"/>
  <c r="K15" i="2"/>
  <c r="M15" i="2" s="1"/>
  <c r="K28" i="2"/>
  <c r="M28" i="2" s="1"/>
  <c r="K19" i="2"/>
  <c r="M19" i="2" s="1"/>
  <c r="K3" i="2"/>
  <c r="M3" i="2" s="1"/>
  <c r="K30" i="2"/>
  <c r="M30" i="2" s="1"/>
  <c r="K7" i="2"/>
  <c r="M7" i="2" s="1"/>
  <c r="K17" i="2"/>
  <c r="M17" i="2" s="1"/>
  <c r="K24" i="2"/>
  <c r="M24" i="2" s="1"/>
  <c r="K21" i="2"/>
  <c r="M21" i="2" s="1"/>
  <c r="K5" i="2"/>
  <c r="M5" i="2" s="1"/>
  <c r="K23" i="2"/>
  <c r="M23" i="2" s="1"/>
  <c r="K4" i="2"/>
  <c r="M4" i="2" s="1"/>
  <c r="K11" i="2"/>
  <c r="M11" i="2" s="1"/>
  <c r="K6" i="2"/>
  <c r="M6" i="2" s="1"/>
  <c r="K10" i="2"/>
  <c r="M10" i="2" s="1"/>
  <c r="K27" i="2"/>
  <c r="M27" i="2" s="1"/>
  <c r="K12" i="2"/>
  <c r="M12" i="2" s="1"/>
  <c r="K20" i="2"/>
  <c r="M20" i="2" s="1"/>
  <c r="K18" i="2"/>
  <c r="M18" i="2" s="1"/>
  <c r="K14" i="2"/>
  <c r="M14" i="2" s="1"/>
  <c r="K16" i="2"/>
  <c r="M16" i="2" s="1"/>
  <c r="J9" i="15" l="1"/>
  <c r="J10" i="15"/>
  <c r="J5" i="15"/>
  <c r="J3" i="15"/>
  <c r="J4" i="15"/>
  <c r="J6" i="15"/>
  <c r="J7" i="15"/>
  <c r="J8" i="15"/>
</calcChain>
</file>

<file path=xl/sharedStrings.xml><?xml version="1.0" encoding="utf-8"?>
<sst xmlns="http://schemas.openxmlformats.org/spreadsheetml/2006/main" count="16653" uniqueCount="1039">
  <si>
    <t>battle</t>
  </si>
  <si>
    <t>winner1</t>
  </si>
  <si>
    <t>winner1-pw</t>
  </si>
  <si>
    <t>winner1-sw</t>
  </si>
  <si>
    <t>winner1-cp</t>
  </si>
  <si>
    <t>winner1-ability1</t>
  </si>
  <si>
    <t>winner1-ability2</t>
  </si>
  <si>
    <t>winner1-ability3</t>
  </si>
  <si>
    <t>winner1-ability4</t>
  </si>
  <si>
    <t>winner2</t>
  </si>
  <si>
    <t>winner2-pw</t>
  </si>
  <si>
    <t>winner2-sw</t>
  </si>
  <si>
    <t>winner2-cp</t>
  </si>
  <si>
    <t>winner2-ability1</t>
  </si>
  <si>
    <t>winner2-ability2</t>
  </si>
  <si>
    <t>winner2-ability3</t>
  </si>
  <si>
    <t>winner2-ability4</t>
  </si>
  <si>
    <t>loser1</t>
  </si>
  <si>
    <t>loser1-pw</t>
  </si>
  <si>
    <t>loser1-sw</t>
  </si>
  <si>
    <t>loser1-cp</t>
  </si>
  <si>
    <t>loser1-ability1</t>
  </si>
  <si>
    <t>loser1-ability2</t>
  </si>
  <si>
    <t>loser1-ability3</t>
  </si>
  <si>
    <t>loser1-ability4</t>
  </si>
  <si>
    <t>loser2</t>
  </si>
  <si>
    <t>loser2-pw</t>
  </si>
  <si>
    <t>loser2-sw</t>
  </si>
  <si>
    <t>loser2-cp</t>
  </si>
  <si>
    <t>loser2-ability1</t>
  </si>
  <si>
    <t>loser2-ability3</t>
  </si>
  <si>
    <t>loser2-ability4</t>
  </si>
  <si>
    <t>turns</t>
  </si>
  <si>
    <t>oracle</t>
  </si>
  <si>
    <t>13-dangerous-knowledge</t>
  </si>
  <si>
    <t>23-paranoia</t>
  </si>
  <si>
    <t>31-disruption</t>
  </si>
  <si>
    <t>42-castling</t>
  </si>
  <si>
    <t>avenger</t>
  </si>
  <si>
    <t>13-fit-of-energy</t>
  </si>
  <si>
    <t>21-precise-strike</t>
  </si>
  <si>
    <t>31-blade-storm</t>
  </si>
  <si>
    <t>43-sands-of-time</t>
  </si>
  <si>
    <t>avatar</t>
  </si>
  <si>
    <t>11-furious-strike</t>
  </si>
  <si>
    <t>shadow</t>
  </si>
  <si>
    <t>11-kinetic-impact</t>
  </si>
  <si>
    <t>11-aimed-shot</t>
  </si>
  <si>
    <t>druid</t>
  </si>
  <si>
    <t>11-crown-of-thorns</t>
  </si>
  <si>
    <t>22-wolf</t>
  </si>
  <si>
    <t>31-choking-vine</t>
  </si>
  <si>
    <t>42-dryad</t>
  </si>
  <si>
    <t>paragon</t>
  </si>
  <si>
    <t>11-sunder-armor</t>
  </si>
  <si>
    <t>21-spear-throw</t>
  </si>
  <si>
    <t>highlander</t>
  </si>
  <si>
    <t>13-lightning-rod</t>
  </si>
  <si>
    <t>battles</t>
  </si>
  <si>
    <t>hero-1</t>
  </si>
  <si>
    <t>hero-2</t>
  </si>
  <si>
    <t>hero-3</t>
  </si>
  <si>
    <t>hero-4</t>
  </si>
  <si>
    <t>lightbringer</t>
  </si>
  <si>
    <t>crystals</t>
  </si>
  <si>
    <t>12-reflection</t>
  </si>
  <si>
    <t>21-mind-blow</t>
  </si>
  <si>
    <t>11-double-strike</t>
  </si>
  <si>
    <t>11-heavy-strike</t>
  </si>
  <si>
    <t>21-sweeping-strike</t>
  </si>
  <si>
    <t>22-quicksands</t>
  </si>
  <si>
    <t>21-entangling-roots</t>
  </si>
  <si>
    <t>11-sun-strike</t>
  </si>
  <si>
    <t>13-fireball</t>
  </si>
  <si>
    <t>21-flame-claws</t>
  </si>
  <si>
    <t>33-meteor</t>
  </si>
  <si>
    <t>23-blind</t>
  </si>
  <si>
    <t>team-2-win</t>
  </si>
  <si>
    <t>Setups</t>
  </si>
  <si>
    <t>wins</t>
  </si>
  <si>
    <t>win-rate</t>
  </si>
  <si>
    <t>team-1-win</t>
  </si>
  <si>
    <t>Teams</t>
  </si>
  <si>
    <t>22-counterattack</t>
  </si>
  <si>
    <t>23-breath-of-life</t>
  </si>
  <si>
    <t>33-lightning-strike</t>
  </si>
  <si>
    <t>12-heavy-shot</t>
  </si>
  <si>
    <t>32-thunderer</t>
  </si>
  <si>
    <t>41-decapitation</t>
  </si>
  <si>
    <t>12-poison-touch</t>
  </si>
  <si>
    <t>33-power-of-the-pack</t>
  </si>
  <si>
    <t>23-aura-of-light</t>
  </si>
  <si>
    <t>22-cat-hook</t>
  </si>
  <si>
    <t>33-dark-shot</t>
  </si>
  <si>
    <t>43-oblivion</t>
  </si>
  <si>
    <t>21-aura-of-might</t>
  </si>
  <si>
    <t>23-temporal-strike</t>
  </si>
  <si>
    <t>33-bandaging</t>
  </si>
  <si>
    <t>41-piercing-strike</t>
  </si>
  <si>
    <t>23-scorch</t>
  </si>
  <si>
    <t>32-elements-control</t>
  </si>
  <si>
    <t>42-dragon-spirit</t>
  </si>
  <si>
    <t>31-volley</t>
  </si>
  <si>
    <t>13-sun-touch</t>
  </si>
  <si>
    <t>31-retribution</t>
  </si>
  <si>
    <t>32-no-step-back</t>
  </si>
  <si>
    <t>hero</t>
  </si>
  <si>
    <t>Average Crystals Per Battle</t>
  </si>
  <si>
    <t>Average Turns Count</t>
  </si>
  <si>
    <t>ability</t>
  </si>
  <si>
    <t>takes</t>
  </si>
  <si>
    <t>12-shield-bash</t>
  </si>
  <si>
    <t>13-shoulder-to-shoulder</t>
  </si>
  <si>
    <t>23-defender</t>
  </si>
  <si>
    <t>31-assault</t>
  </si>
  <si>
    <t>42-breakthrough</t>
  </si>
  <si>
    <t>43-rallying</t>
  </si>
  <si>
    <t>battles-take-rate</t>
  </si>
  <si>
    <t>take-win-rate</t>
  </si>
  <si>
    <t>loser2-ability2</t>
  </si>
  <si>
    <t>12-strong-grip</t>
  </si>
  <si>
    <t>22-freedom-spirit</t>
  </si>
  <si>
    <t>23-static-attraction</t>
  </si>
  <si>
    <t>31-halving</t>
  </si>
  <si>
    <t>42-ancestral-power</t>
  </si>
  <si>
    <t>43-chain-lightning</t>
  </si>
  <si>
    <t>13-wound-healing</t>
  </si>
  <si>
    <t>32-war-tree</t>
  </si>
  <si>
    <t>41-wrath-of-nature</t>
  </si>
  <si>
    <t>43-symbiosis</t>
  </si>
  <si>
    <t>22-knowledge-steal</t>
  </si>
  <si>
    <t>32-teleportation</t>
  </si>
  <si>
    <t>33-mind-control</t>
  </si>
  <si>
    <t>41-void-vortex</t>
  </si>
  <si>
    <t>43-amnesia</t>
  </si>
  <si>
    <t>12-flame-dash</t>
  </si>
  <si>
    <t>22-cauterization</t>
  </si>
  <si>
    <t>31-dragon-tail</t>
  </si>
  <si>
    <t>41-harmony</t>
  </si>
  <si>
    <t>43-fire</t>
  </si>
  <si>
    <t>13-debilitating-shot</t>
  </si>
  <si>
    <t>21-rapid-fire</t>
  </si>
  <si>
    <t>32-shadow-cloak</t>
  </si>
  <si>
    <t>41-headshot</t>
  </si>
  <si>
    <t>42-phantom</t>
  </si>
  <si>
    <t>12-skies-gift</t>
  </si>
  <si>
    <t>22-aura-of-fortitude</t>
  </si>
  <si>
    <t>32-sun-aegis</t>
  </si>
  <si>
    <t>33-cleansing</t>
  </si>
  <si>
    <t>41-hammer-of-wrath</t>
  </si>
  <si>
    <t>42-divine-radiance</t>
  </si>
  <si>
    <t>43-sunrise</t>
  </si>
  <si>
    <t>12-desert-revenge</t>
  </si>
  <si>
    <t>32-sand-storm</t>
  </si>
  <si>
    <t>33-time-trap</t>
  </si>
  <si>
    <t>41-excellence</t>
  </si>
  <si>
    <t>42-sand-form</t>
  </si>
  <si>
    <t>Min Crystals Per Battle</t>
  </si>
  <si>
    <t>Min Turns Count</t>
  </si>
  <si>
    <t>Max Crystals Per Battle</t>
  </si>
  <si>
    <t>Max Turns Count</t>
  </si>
  <si>
    <t>level</t>
  </si>
  <si>
    <t>spear</t>
  </si>
  <si>
    <t>shield</t>
  </si>
  <si>
    <t>chestpiece</t>
  </si>
  <si>
    <t>sword</t>
  </si>
  <si>
    <t>staff</t>
  </si>
  <si>
    <t>book</t>
  </si>
  <si>
    <t>bracers</t>
  </si>
  <si>
    <t>bow</t>
  </si>
  <si>
    <t>hammer</t>
  </si>
  <si>
    <t>sabre</t>
  </si>
  <si>
    <t>blade</t>
  </si>
  <si>
    <t>setup</t>
  </si>
  <si>
    <t>upgrade</t>
  </si>
  <si>
    <t>rate</t>
  </si>
  <si>
    <t>ability 2</t>
  </si>
  <si>
    <t>ability 3</t>
  </si>
  <si>
    <t>ability 4</t>
  </si>
  <si>
    <t>chestpiece 2</t>
  </si>
  <si>
    <t>chestpiece 3</t>
  </si>
  <si>
    <t>Overall</t>
  </si>
  <si>
    <t>Scenario 0</t>
  </si>
  <si>
    <t>Scenario 1</t>
  </si>
  <si>
    <t>Scenario 2</t>
  </si>
  <si>
    <t>Battle Time (mins)</t>
  </si>
  <si>
    <t>Full Run Time (days)</t>
  </si>
  <si>
    <t>team-3-win</t>
  </si>
  <si>
    <t>spear 2</t>
  </si>
  <si>
    <t>spear 3</t>
  </si>
  <si>
    <t>shield 2</t>
  </si>
  <si>
    <t>shield 3</t>
  </si>
  <si>
    <t>sword 2</t>
  </si>
  <si>
    <t>sword 3</t>
  </si>
  <si>
    <t>crystals per battle</t>
  </si>
  <si>
    <t>staff 2</t>
  </si>
  <si>
    <t>staff 3</t>
  </si>
  <si>
    <t>book 2</t>
  </si>
  <si>
    <t>book 3</t>
  </si>
  <si>
    <t>bracers 2</t>
  </si>
  <si>
    <t>bracers 3</t>
  </si>
  <si>
    <t>bow 2</t>
  </si>
  <si>
    <t>bow 3</t>
  </si>
  <si>
    <t>hammer 2</t>
  </si>
  <si>
    <t>hammer 3</t>
  </si>
  <si>
    <t>sabre 2</t>
  </si>
  <si>
    <t>sabre 3</t>
  </si>
  <si>
    <t>blade 2</t>
  </si>
  <si>
    <t>blade 3</t>
  </si>
  <si>
    <t>Scenario 3</t>
  </si>
  <si>
    <t>loser3</t>
  </si>
  <si>
    <t>loser3-ability1</t>
  </si>
  <si>
    <t>loser3-ability2</t>
  </si>
  <si>
    <t>loser3-ability3</t>
  </si>
  <si>
    <t>loser3-ability4</t>
  </si>
  <si>
    <t>loser3-pw</t>
  </si>
  <si>
    <t>loser3-sw</t>
  </si>
  <si>
    <t>loser3-cp</t>
  </si>
  <si>
    <t>team-4-win</t>
  </si>
  <si>
    <t>Scenario 4</t>
  </si>
  <si>
    <t>Scenario 5</t>
  </si>
  <si>
    <t>0-wins</t>
  </si>
  <si>
    <t>1-wins</t>
  </si>
  <si>
    <t>2-wins</t>
  </si>
  <si>
    <t>3-wins</t>
  </si>
  <si>
    <t>4-wins</t>
  </si>
  <si>
    <t>5-wins</t>
  </si>
  <si>
    <t>d7899600-6928-11ed-9639-a159efc3cd28</t>
  </si>
  <si>
    <t>d8eb4b10-6937-11ed-9639-a159efc3cd28</t>
  </si>
  <si>
    <t>80dbfbb0-693f-11ed-9639-a159efc3cd28</t>
  </si>
  <si>
    <t>b0347e40-694a-11ed-9639-a159efc3cd28</t>
  </si>
  <si>
    <t>32586b00-6957-11ed-9639-a159efc3cd28</t>
  </si>
  <si>
    <t>af8e1830-6962-11ed-9639-a159efc3cd28</t>
  </si>
  <si>
    <t>9403f2d0-696a-11ed-9639-a159efc3cd28</t>
  </si>
  <si>
    <t>1f6d2bf0-6972-11ed-9639-a159efc3cd28</t>
  </si>
  <si>
    <t>c6988330-6999-11ed-a2f3-77586c5afa75</t>
  </si>
  <si>
    <t>71010710-69a0-11ed-a2f3-77586c5afa75</t>
  </si>
  <si>
    <t>87f1c900-69aa-11ed-a2f3-77586c5afa75</t>
  </si>
  <si>
    <t>b54e2610-69b8-11ed-8192-2dc246b77c63</t>
  </si>
  <si>
    <t>5199f6d0-69c2-11ed-8192-2dc246b77c63</t>
  </si>
  <si>
    <t>f02118f0-69c8-11ed-8192-2dc246b77c63</t>
  </si>
  <si>
    <t>0531b090-69d0-11ed-8192-2dc246b77c63</t>
  </si>
  <si>
    <t>97731460-69d7-11ed-8192-2dc246b77c63</t>
  </si>
  <si>
    <t>0f84ac50-69df-11ed-8192-2dc246b77c63</t>
  </si>
  <si>
    <t>b83a9e30-69e5-11ed-8192-2dc246b77c63</t>
  </si>
  <si>
    <t>c16b7730-69eb-11ed-8192-2dc246b77c63</t>
  </si>
  <si>
    <t>a5ff1d90-69f4-11ed-8192-2dc246b77c63</t>
  </si>
  <si>
    <t>91abdd50-69ff-11ed-8192-2dc246b77c63</t>
  </si>
  <si>
    <t>d686cd20-6a06-11ed-8192-2dc246b77c63</t>
  </si>
  <si>
    <t>82de9de0-6a0d-11ed-8192-2dc246b77c63</t>
  </si>
  <si>
    <t>6c701b90-6a14-11ed-8192-2dc246b77c63</t>
  </si>
  <si>
    <t>c36e6060-6a1d-11ed-8192-2dc246b77c63</t>
  </si>
  <si>
    <t>628a9260-6a2b-11ed-8192-2dc246b77c63</t>
  </si>
  <si>
    <t>72e22b40-6a31-11ed-8192-2dc246b77c63</t>
  </si>
  <si>
    <t>5f3b9800-6a37-11ed-8192-2dc246b77c63</t>
  </si>
  <si>
    <t>263d0310-6a3f-11ed-8192-2dc246b77c63</t>
  </si>
  <si>
    <t>5c30a420-6a46-11ed-8192-2dc246b77c63</t>
  </si>
  <si>
    <t>3bcd62f0-6a4f-11ed-92d8-296ed40ff4e0</t>
  </si>
  <si>
    <t>56de50f0-6a58-11ed-92d8-296ed40ff4e0</t>
  </si>
  <si>
    <t>fdc56450-6a60-11ed-92d8-296ed40ff4e0</t>
  </si>
  <si>
    <t>324326e0-6a6b-11ed-92d8-296ed40ff4e0</t>
  </si>
  <si>
    <t>514074d0-6a75-11ed-92d8-296ed40ff4e0</t>
  </si>
  <si>
    <t>2a3e5350-6a7c-11ed-92d8-296ed40ff4e0</t>
  </si>
  <si>
    <t>eef11e00-6a84-11ed-92d8-296ed40ff4e0</t>
  </si>
  <si>
    <t>39caa7c0-6a94-11ed-92d8-296ed40ff4e0</t>
  </si>
  <si>
    <t>2584ee50-6a9a-11ed-92d8-296ed40ff4e0</t>
  </si>
  <si>
    <t>adbafad0-6a9f-11ed-92d8-296ed40ff4e0</t>
  </si>
  <si>
    <t>1577a2e0-6aaa-11ed-92d8-296ed40ff4e0</t>
  </si>
  <si>
    <t>63da9b20-6ab1-11ed-92d8-296ed40ff4e0</t>
  </si>
  <si>
    <t>f575d3e0-6ab8-11ed-92d8-296ed40ff4e0</t>
  </si>
  <si>
    <t>fc2b9ac0-6abe-11ed-92d8-296ed40ff4e0</t>
  </si>
  <si>
    <t>dfde7e10-6ac7-11ed-92d8-296ed40ff4e0</t>
  </si>
  <si>
    <t>e593c710-6adc-11ed-92d8-296ed40ff4e0</t>
  </si>
  <si>
    <t>db4942e0-6ae5-11ed-92d8-296ed40ff4e0</t>
  </si>
  <si>
    <t>3f50f940-6af0-11ed-92d8-296ed40ff4e0</t>
  </si>
  <si>
    <t>230a9680-6afd-11ed-92d8-296ed40ff4e0</t>
  </si>
  <si>
    <t>97497430-6b07-11ed-92d8-296ed40ff4e0</t>
  </si>
  <si>
    <t>79340580-6b0e-11ed-92d8-296ed40ff4e0</t>
  </si>
  <si>
    <t>805fd4d0-6b16-11ed-92d8-296ed40ff4e0</t>
  </si>
  <si>
    <t>f9617ca0-6b1e-11ed-92d8-296ed40ff4e0</t>
  </si>
  <si>
    <t>ae4a2f20-6b26-11ed-92d8-296ed40ff4e0</t>
  </si>
  <si>
    <t>e04545d0-6b2d-11ed-92d8-296ed40ff4e0</t>
  </si>
  <si>
    <t>726bf5b0-6b35-11ed-92d8-296ed40ff4e0</t>
  </si>
  <si>
    <t>8023a470-6b3d-11ed-92d8-296ed40ff4e0</t>
  </si>
  <si>
    <t>3d69b020-6b47-11ed-92d8-296ed40ff4e0</t>
  </si>
  <si>
    <t>310df4a0-6b4f-11ed-92d8-296ed40ff4e0</t>
  </si>
  <si>
    <t>85e88b90-6b57-11ed-92d8-296ed40ff4e0</t>
  </si>
  <si>
    <t>33db83d0-6b60-11ed-92d8-296ed40ff4e0</t>
  </si>
  <si>
    <t>a5b13ba0-6b68-11ed-92d8-296ed40ff4e0</t>
  </si>
  <si>
    <t>177b13f0-6b6e-11ed-92d8-296ed40ff4e0</t>
  </si>
  <si>
    <t>ca58ba90-6b7d-11ed-92d8-296ed40ff4e0</t>
  </si>
  <si>
    <t>b4fe35c0-6b83-11ed-92d8-296ed40ff4e0</t>
  </si>
  <si>
    <t>383a7480-6b89-11ed-92d8-296ed40ff4e0</t>
  </si>
  <si>
    <t>2bd49f80-6b94-11ed-92d8-296ed40ff4e0</t>
  </si>
  <si>
    <t>06302420-6b99-11ed-92d8-296ed40ff4e0</t>
  </si>
  <si>
    <t>5e23f3e0-6b9f-11ed-92d8-296ed40ff4e0</t>
  </si>
  <si>
    <t>a618ea60-6ba5-11ed-92d8-296ed40ff4e0</t>
  </si>
  <si>
    <t>2d25e360-6baf-11ed-92d8-296ed40ff4e0</t>
  </si>
  <si>
    <t>c0a42970-6bb5-11ed-92d8-296ed40ff4e0</t>
  </si>
  <si>
    <t>ec7c9b10-6bc2-11ed-a314-7b0b65c280e3</t>
  </si>
  <si>
    <t>6eeba950-6bc9-11ed-a314-7b0b65c280e3</t>
  </si>
  <si>
    <t>0f67a120-6bd1-11ed-a314-7b0b65c280e3</t>
  </si>
  <si>
    <t>a852a590-6bd8-11ed-a314-7b0b65c280e3</t>
  </si>
  <si>
    <t>629435c0-6be0-11ed-a314-7b0b65c280e3</t>
  </si>
  <si>
    <t>9d0fd880-6bfe-11ed-a314-7b0b65c280e3</t>
  </si>
  <si>
    <t>03ebe160-6c05-11ed-a314-7b0b65c280e3</t>
  </si>
  <si>
    <t>43157340-6c0c-11ed-a314-7b0b65c280e3</t>
  </si>
  <si>
    <t>10fb5db0-6c17-11ed-a314-7b0b65c280e3</t>
  </si>
  <si>
    <t>3c92cb80-6c20-11ed-a314-7b0b65c280e3</t>
  </si>
  <si>
    <t>7a695e40-6c2c-11ed-a314-7b0b65c280e3</t>
  </si>
  <si>
    <t>85469cd0-6c34-11ed-a314-7b0b65c280e3</t>
  </si>
  <si>
    <t>8b62c650-6c3b-11ed-a314-7b0b65c280e3</t>
  </si>
  <si>
    <t>7c697200-6c42-11ed-a314-7b0b65c280e3</t>
  </si>
  <si>
    <t>967c1f50-6c4a-11ed-a314-7b0b65c280e3</t>
  </si>
  <si>
    <t>b85a1470-6c53-11ed-a314-7b0b65c280e3</t>
  </si>
  <si>
    <t>7121f260-6c5a-11ed-a314-7b0b65c280e3</t>
  </si>
  <si>
    <t>fdd36d80-6c62-11ed-a314-7b0b65c280e3</t>
  </si>
  <si>
    <t>412bf880-6c69-11ed-a314-7b0b65c280e3</t>
  </si>
  <si>
    <t>27dc7650-6c70-11ed-a314-7b0b65c280e3</t>
  </si>
  <si>
    <t>b272e100-6c75-11ed-a314-7b0b65c280e3</t>
  </si>
  <si>
    <t>143733e0-6c7c-11ed-a314-7b0b65c280e3</t>
  </si>
  <si>
    <t>cd4c15d0-6c81-11ed-a314-7b0b65c280e3</t>
  </si>
  <si>
    <t>c758fa50-6c89-11ed-a314-7b0b65c280e3</t>
  </si>
  <si>
    <t>305400b0-6c92-11ed-a314-7b0b65c280e3</t>
  </si>
  <si>
    <t>52d668a0-6c9a-11ed-a314-7b0b65c280e3</t>
  </si>
  <si>
    <t>8792be00-6ca8-11ed-a314-7b0b65c280e3</t>
  </si>
  <si>
    <t>7e1a8fe0-6caf-11ed-a314-7b0b65c280e3</t>
  </si>
  <si>
    <t>516e0df0-6cb9-11ed-a314-7b0b65c280e3</t>
  </si>
  <si>
    <t>7d418540-6cc0-11ed-a314-7b0b65c280e3</t>
  </si>
  <si>
    <t>4d4829a0-6cc7-11ed-a314-7b0b65c280e3</t>
  </si>
  <si>
    <t>c56644b0-6cce-11ed-a314-7b0b65c280e3</t>
  </si>
  <si>
    <t>cea1b5f0-6cdd-11ed-a314-7b0b65c280e3</t>
  </si>
  <si>
    <t>eed1e5f0-6ce4-11ed-a314-7b0b65c280e3</t>
  </si>
  <si>
    <t>59c795c0-6ceb-11ed-a314-7b0b65c280e3</t>
  </si>
  <si>
    <t>1172e020-6cf2-11ed-a314-7b0b65c280e3</t>
  </si>
  <si>
    <t>f6e75eb0-6cfc-11ed-a314-7b0b65c280e3</t>
  </si>
  <si>
    <t>cddf4920-6d05-11ed-a314-7b0b65c280e3</t>
  </si>
  <si>
    <t>32708560-6d11-11ed-a314-7b0b65c280e3</t>
  </si>
  <si>
    <t>dc582400-6d18-11ed-a314-7b0b65c280e3</t>
  </si>
  <si>
    <t>28d8c7b0-6d20-11ed-a314-7b0b65c280e3</t>
  </si>
  <si>
    <t>300772a0-6d27-11ed-a314-7b0b65c280e3</t>
  </si>
  <si>
    <t>cf61ea50-6d2d-11ed-a314-7b0b65c280e3</t>
  </si>
  <si>
    <t>f2c42af0-6d35-11ed-a314-7b0b65c280e3</t>
  </si>
  <si>
    <t>6ff1d090-6d3b-11ed-a314-7b0b65c280e3</t>
  </si>
  <si>
    <t>4115d660-6d43-11ed-a314-7b0b65c280e3</t>
  </si>
  <si>
    <t>567b6140-6d49-11ed-a314-7b0b65c280e3</t>
  </si>
  <si>
    <t>b0498ef0-6d52-11ed-a314-7b0b65c280e3</t>
  </si>
  <si>
    <t>88f20500-6d5a-11ed-a314-7b0b65c280e3</t>
  </si>
  <si>
    <t>edd23de0-6d60-11ed-a314-7b0b65c280e3</t>
  </si>
  <si>
    <t>eb299270-6d68-11ed-a314-7b0b65c280e3</t>
  </si>
  <si>
    <t>e2559e20-6d70-11ed-a314-7b0b65c280e3</t>
  </si>
  <si>
    <t>99f305d0-6d77-11ed-a314-7b0b65c280e3</t>
  </si>
  <si>
    <t>c62ac7c0-6d7f-11ed-a314-7b0b65c280e3</t>
  </si>
  <si>
    <t>0568cf30-6d8b-11ed-a314-7b0b65c280e3</t>
  </si>
  <si>
    <t>4f916730-6d94-11ed-a314-7b0b65c280e3</t>
  </si>
  <si>
    <t>3b33d8a0-6d9d-11ed-a314-7b0b65c280e3</t>
  </si>
  <si>
    <t>27789d30-6da9-11ed-a314-7b0b65c280e3</t>
  </si>
  <si>
    <t>aca51dc0-6daf-11ed-a314-7b0b65c280e3</t>
  </si>
  <si>
    <t>d08d9ad0-6db6-11ed-a314-7b0b65c280e3</t>
  </si>
  <si>
    <t>d0927140-6dc0-11ed-a314-7b0b65c280e3</t>
  </si>
  <si>
    <t>cd274b10-6dc6-11ed-a314-7b0b65c280e3</t>
  </si>
  <si>
    <t>05294f30-6dcd-11ed-a314-7b0b65c280e3</t>
  </si>
  <si>
    <t>6b85f970-6dd4-11ed-a314-7b0b65c280e3</t>
  </si>
  <si>
    <t>649d76e0-6ddb-11ed-a314-7b0b65c280e3</t>
  </si>
  <si>
    <t>5ae4b2c0-6de1-11ed-a314-7b0b65c280e3</t>
  </si>
  <si>
    <t>2ba30e60-6de8-11ed-a314-7b0b65c280e3</t>
  </si>
  <si>
    <t>8e308830-6def-11ed-a314-7b0b65c280e3</t>
  </si>
  <si>
    <t>eea5bb40-6df4-11ed-a314-7b0b65c280e3</t>
  </si>
  <si>
    <t>c2020530-6df9-11ed-a314-7b0b65c280e3</t>
  </si>
  <si>
    <t>9190f6a0-6e02-11ed-a314-7b0b65c280e3</t>
  </si>
  <si>
    <t>84196050-6e09-11ed-a314-7b0b65c280e3</t>
  </si>
  <si>
    <t>9dd4c5e0-6e11-11ed-a314-7b0b65c280e3</t>
  </si>
  <si>
    <t>e9d01780-6e19-11ed-a314-7b0b65c280e3</t>
  </si>
  <si>
    <t>f3b026d0-6e20-11ed-a314-7b0b65c280e3</t>
  </si>
  <si>
    <t>a42eda60-6e26-11ed-a314-7b0b65c280e3</t>
  </si>
  <si>
    <t>20f145a0-6e2d-11ed-a314-7b0b65c280e3</t>
  </si>
  <si>
    <t>9e7054b0-6e34-11ed-a314-7b0b65c280e3</t>
  </si>
  <si>
    <t>d98b45b0-6e47-11ed-a314-7b0b65c280e3</t>
  </si>
  <si>
    <t>b2da6690-6e50-11ed-a314-7b0b65c280e3</t>
  </si>
  <si>
    <t>27e8c610-6e57-11ed-a314-7b0b65c280e3</t>
  </si>
  <si>
    <t>42bfff10-6e63-11ed-a314-7b0b65c280e3</t>
  </si>
  <si>
    <t>bba2b490-6e68-11ed-a314-7b0b65c280e3</t>
  </si>
  <si>
    <t>d5109660-6e70-11ed-a314-7b0b65c280e3</t>
  </si>
  <si>
    <t>a6b84090-6e77-11ed-a314-7b0b65c280e3</t>
  </si>
  <si>
    <t>dea18c90-6e7d-11ed-a314-7b0b65c280e3</t>
  </si>
  <si>
    <t>b5db0950-6e85-11ed-a314-7b0b65c280e3</t>
  </si>
  <si>
    <t>952c35a0-6e8d-11ed-a314-7b0b65c280e3</t>
  </si>
  <si>
    <t>b4613890-6e9b-11ed-a314-7b0b65c280e3</t>
  </si>
  <si>
    <t>65d79290-6ea1-11ed-a314-7b0b65c280e3</t>
  </si>
  <si>
    <t>90d22b80-6ea7-11ed-a314-7b0b65c280e3</t>
  </si>
  <si>
    <t>fc46ab70-6eb1-11ed-a314-7b0b65c280e3</t>
  </si>
  <si>
    <t>5df11840-6eb9-11ed-a314-7b0b65c280e3</t>
  </si>
  <si>
    <t>7824b080-6ec0-11ed-a314-7b0b65c280e3</t>
  </si>
  <si>
    <t>e23111c0-6ec6-11ed-a314-7b0b65c280e3</t>
  </si>
  <si>
    <t>139fc6f0-6ece-11ed-a314-7b0b65c280e3</t>
  </si>
  <si>
    <t>5928c680-6ed4-11ed-a314-7b0b65c280e3</t>
  </si>
  <si>
    <t>5adfcee0-6ee0-11ed-a314-7b0b65c280e3</t>
  </si>
  <si>
    <t>cd41e400-6eef-11ed-a314-7b0b65c280e3</t>
  </si>
  <si>
    <t>46e0e4a0-6ef5-11ed-a314-7b0b65c280e3</t>
  </si>
  <si>
    <t>67f86760-6efc-11ed-a314-7b0b65c280e3</t>
  </si>
  <si>
    <t>92a16870-6f03-11ed-a314-7b0b65c280e3</t>
  </si>
  <si>
    <t>a13f81c0-6f1a-11ed-a314-7b0b65c280e3</t>
  </si>
  <si>
    <t>0a322a10-6f2b-11ed-a314-7b0b65c280e3</t>
  </si>
  <si>
    <t>8f72d110-6f40-11ed-a314-7b0b65c280e3</t>
  </si>
  <si>
    <t>7a97b570-6f46-11ed-a314-7b0b65c280e3</t>
  </si>
  <si>
    <t>9603b890-6f4b-11ed-a314-7b0b65c280e3</t>
  </si>
  <si>
    <t>3e6c62e0-6f54-11ed-a314-7b0b65c280e3</t>
  </si>
  <si>
    <t>cb2308f0-6f6e-11ed-a314-7b0b65c280e3</t>
  </si>
  <si>
    <t>50232ce0-6f76-11ed-a314-7b0b65c280e3</t>
  </si>
  <si>
    <t>1c887550-6f82-11ed-a314-7b0b65c280e3</t>
  </si>
  <si>
    <t>18adbd10-6f8b-11ed-a314-7b0b65c280e3</t>
  </si>
  <si>
    <t>b06fe3d0-6f90-11ed-a314-7b0b65c280e3</t>
  </si>
  <si>
    <t>a7a417c0-6f96-11ed-a314-7b0b65c280e3</t>
  </si>
  <si>
    <t>ee5889e0-6f9a-11ed-a314-7b0b65c280e3</t>
  </si>
  <si>
    <t>89ad90d0-6f9f-11ed-a314-7b0b65c280e3</t>
  </si>
  <si>
    <t>f32e5b40-6fa2-11ed-a314-7b0b65c280e3</t>
  </si>
  <si>
    <t>51f54ca0-6fa9-11ed-a314-7b0b65c280e3</t>
  </si>
  <si>
    <t>9c35a7d0-6fb1-11ed-a314-7b0b65c280e3</t>
  </si>
  <si>
    <t>3d223bc0-6fb9-11ed-a314-7b0b65c280e3</t>
  </si>
  <si>
    <t>e1a49610-6fbf-11ed-a314-7b0b65c280e3</t>
  </si>
  <si>
    <t>84b14ae0-6fc7-11ed-a314-7b0b65c280e3</t>
  </si>
  <si>
    <t>45d73030-6fce-11ed-a314-7b0b65c280e3</t>
  </si>
  <si>
    <t>5e8d1400-6fd3-11ed-a314-7b0b65c280e3</t>
  </si>
  <si>
    <t>5dade880-6fdc-11ed-a314-7b0b65c280e3</t>
  </si>
  <si>
    <t>c2b770c0-6fe1-11ed-a314-7b0b65c280e3</t>
  </si>
  <si>
    <t>f2180670-6fe8-11ed-a314-7b0b65c280e3</t>
  </si>
  <si>
    <t>f8301140-6fef-11ed-a314-7b0b65c280e3</t>
  </si>
  <si>
    <t>0c64a120-640c-11ed-bb15-cd4123ff73e3</t>
  </si>
  <si>
    <t>02ac3d10-6410-11ed-bb15-cd4123ff73e3</t>
  </si>
  <si>
    <t>7460c330-6416-11ed-bb15-cd4123ff73e3</t>
  </si>
  <si>
    <t>7a1124d0-6418-11ed-bb15-cd4123ff73e3</t>
  </si>
  <si>
    <t>a34c9380-641c-11ed-bb15-cd4123ff73e3</t>
  </si>
  <si>
    <t>ca2bf450-6421-11ed-bb15-cd4123ff73e3</t>
  </si>
  <si>
    <t>7c814400-6424-11ed-bb15-cd4123ff73e3</t>
  </si>
  <si>
    <t>eb59e540-6428-11ed-bb15-cd4123ff73e3</t>
  </si>
  <si>
    <t>690ae880-642a-11ed-bb15-cd4123ff73e3</t>
  </si>
  <si>
    <t>7d7578f0-642d-11ed-bb15-cd4123ff73e3</t>
  </si>
  <si>
    <t>567f3090-642f-11ed-bb15-cd4123ff73e3</t>
  </si>
  <si>
    <t>30c73490-6431-11ed-bb15-cd4123ff73e3</t>
  </si>
  <si>
    <t>f210cb50-6433-11ed-bb15-cd4123ff73e3</t>
  </si>
  <si>
    <t>6800a6a0-6439-11ed-bb15-cd4123ff73e3</t>
  </si>
  <si>
    <t>edfa2d70-643a-11ed-bb15-cd4123ff73e3</t>
  </si>
  <si>
    <t>70b997e0-643c-11ed-bb15-cd4123ff73e3</t>
  </si>
  <si>
    <t>223d18a0-643f-11ed-bb15-cd4123ff73e3</t>
  </si>
  <si>
    <t>65b3ba50-6442-11ed-bb15-cd4123ff73e3</t>
  </si>
  <si>
    <t>f88a19e0-6443-11ed-bb15-cd4123ff73e3</t>
  </si>
  <si>
    <t>26c6b0b0-6445-11ed-bb15-cd4123ff73e3</t>
  </si>
  <si>
    <t>9a072040-6446-11ed-bb15-cd4123ff73e3</t>
  </si>
  <si>
    <t>6a144690-6448-11ed-bb15-cd4123ff73e3</t>
  </si>
  <si>
    <t>f3f7ffe0-6449-11ed-bb15-cd4123ff73e3</t>
  </si>
  <si>
    <t>ddaa6550-644b-11ed-bb15-cd4123ff73e3</t>
  </si>
  <si>
    <t>90ae4f10-644f-11ed-bb15-cd4123ff73e3</t>
  </si>
  <si>
    <t>b7e39f70-6451-11ed-bb15-cd4123ff73e3</t>
  </si>
  <si>
    <t>d3ecad40-6453-11ed-bb15-cd4123ff73e3</t>
  </si>
  <si>
    <t>3688f0f0-6457-11ed-bb15-cd4123ff73e3</t>
  </si>
  <si>
    <t>bc70d570-6461-11ed-bb15-cd4123ff73e3</t>
  </si>
  <si>
    <t>5dcaa6f0-6465-11ed-bb15-cd4123ff73e3</t>
  </si>
  <si>
    <t>63760a10-6468-11ed-bb15-cd4123ff73e3</t>
  </si>
  <si>
    <t>84a4d7a0-646a-11ed-bb15-cd4123ff73e3</t>
  </si>
  <si>
    <t>6e1f7c80-6472-11ed-bb15-cd4123ff73e3</t>
  </si>
  <si>
    <t>dbf6a160-6478-11ed-bb15-cd4123ff73e3</t>
  </si>
  <si>
    <t>d1fb0f40-647b-11ed-bb15-cd4123ff73e3</t>
  </si>
  <si>
    <t>e0955d30-6480-11ed-bb15-cd4123ff73e3</t>
  </si>
  <si>
    <t>5478b190-6484-11ed-bb15-cd4123ff73e3</t>
  </si>
  <si>
    <t>d7f24440-6485-11ed-bb15-cd4123ff73e3</t>
  </si>
  <si>
    <t>f80827c0-6487-11ed-bb15-cd4123ff73e3</t>
  </si>
  <si>
    <t>6b990140-6489-11ed-bb15-cd4123ff73e3</t>
  </si>
  <si>
    <t>2a87df20-648c-11ed-bb15-cd4123ff73e3</t>
  </si>
  <si>
    <t>80b2c0a0-6490-11ed-bb15-cd4123ff73e3</t>
  </si>
  <si>
    <t>fd9eed40-6491-11ed-bb15-cd4123ff73e3</t>
  </si>
  <si>
    <t>7cfeb1f0-6493-11ed-bb15-cd4123ff73e3</t>
  </si>
  <si>
    <t>d023f490-6497-11ed-bb15-cd4123ff73e3</t>
  </si>
  <si>
    <t>7e204300-649d-11ed-bb15-cd4123ff73e3</t>
  </si>
  <si>
    <t>bfc22f40-64a1-11ed-bb15-cd4123ff73e3</t>
  </si>
  <si>
    <t>f5c54860-64a2-11ed-bb15-cd4123ff73e3</t>
  </si>
  <si>
    <t>394ec0b0-64a4-11ed-bb15-cd4123ff73e3</t>
  </si>
  <si>
    <t>f9d59920-64a5-11ed-bb15-cd4123ff73e3</t>
  </si>
  <si>
    <t>838ac860-64a7-11ed-bb15-cd4123ff73e3</t>
  </si>
  <si>
    <t>7dcf1f50-64a9-11ed-bb15-cd4123ff73e3</t>
  </si>
  <si>
    <t>4a7d8a40-64ab-11ed-bb15-cd4123ff73e3</t>
  </si>
  <si>
    <t>202181a0-64ad-11ed-bb15-cd4123ff73e3</t>
  </si>
  <si>
    <t>e0682750-64af-11ed-bb15-cd4123ff73e3</t>
  </si>
  <si>
    <t>bd40c140-64b1-11ed-bb15-cd4123ff73e3</t>
  </si>
  <si>
    <t>a8d65f80-640c-11ed-bd32-2564817d98c8</t>
  </si>
  <si>
    <t>f5da5970-6412-11ed-bd32-2564817d98c8</t>
  </si>
  <si>
    <t>d0e59eb0-641a-11ed-bd32-2564817d98c8</t>
  </si>
  <si>
    <t>5b96dd00-6423-11ed-bd32-2564817d98c8</t>
  </si>
  <si>
    <t>d23ba1b0-642e-11ed-bd32-2564817d98c8</t>
  </si>
  <si>
    <t>3c9cf630-6434-11ed-bd32-2564817d98c8</t>
  </si>
  <si>
    <t>de3a31f0-643a-11ed-bd32-2564817d98c8</t>
  </si>
  <si>
    <t>2e172dc0-6447-11ed-bd32-2564817d98c8</t>
  </si>
  <si>
    <t>ef012610-644e-11ed-bd32-2564817d98c8</t>
  </si>
  <si>
    <t>524fd790-6457-11ed-bd32-2564817d98c8</t>
  </si>
  <si>
    <t>cb9a6840-64ac-11ed-a6a6-3dca0cf32aaa</t>
  </si>
  <si>
    <t>571ff440-64ba-11ed-a6a6-3dca0cf32aaa</t>
  </si>
  <si>
    <t>0040e780-64c2-11ed-a6a6-3dca0cf32aaa</t>
  </si>
  <si>
    <t>1ac75020-64c8-11ed-a6a6-3dca0cf32aaa</t>
  </si>
  <si>
    <t>3df57350-64ce-11ed-a6a6-3dca0cf32aaa</t>
  </si>
  <si>
    <t>bd4e8f00-64d4-11ed-a6a6-3dca0cf32aaa</t>
  </si>
  <si>
    <t>33e91eb0-64d9-11ed-a6a6-3dca0cf32aaa</t>
  </si>
  <si>
    <t>af05c1d0-64e2-11ed-a6a6-3dca0cf32aaa</t>
  </si>
  <si>
    <t>33afeba0-64ec-11ed-a6a6-3dca0cf32aaa</t>
  </si>
  <si>
    <t>bd5039b0-64f5-11ed-a6a6-3dca0cf32aaa</t>
  </si>
  <si>
    <t>e3f1e350-64fc-11ed-a6a6-3dca0cf32aaa</t>
  </si>
  <si>
    <t>fbd227a0-6501-11ed-a6a6-3dca0cf32aaa</t>
  </si>
  <si>
    <t>dc450280-6507-11ed-a6a6-3dca0cf32aaa</t>
  </si>
  <si>
    <t>a6a16a50-650d-11ed-a6a6-3dca0cf32aaa</t>
  </si>
  <si>
    <t>8a6bf450-6516-11ed-a6a6-3dca0cf32aaa</t>
  </si>
  <si>
    <t>d6b3e280-6522-11ed-a6a6-3dca0cf32aaa</t>
  </si>
  <si>
    <t>2a635930-6526-11ed-a6a6-3dca0cf32aaa</t>
  </si>
  <si>
    <t>efb2e7d0-6528-11ed-a6a6-3dca0cf32aaa</t>
  </si>
  <si>
    <t>8e18f850-657a-11ed-b8e1-214053451cfc</t>
  </si>
  <si>
    <t>37ed59e0-657e-11ed-b8e1-214053451cfc</t>
  </si>
  <si>
    <t>83e593b0-6585-11ed-b8e1-214053451cfc</t>
  </si>
  <si>
    <t>91dcd5c0-6588-11ed-b8e1-214053451cfc</t>
  </si>
  <si>
    <t>5a4fe750-6592-11ed-b8e1-214053451cfc</t>
  </si>
  <si>
    <t>c33e1940-6596-11ed-b8e1-214053451cfc</t>
  </si>
  <si>
    <t>a4363ba0-659a-11ed-b8e1-214053451cfc</t>
  </si>
  <si>
    <t>35143780-65a5-11ed-b8e1-214053451cfc</t>
  </si>
  <si>
    <t>4e6b0780-65b0-11ed-b8e1-214053451cfc</t>
  </si>
  <si>
    <t>a5c58b30-65bb-11ed-b8e1-214053451cfc</t>
  </si>
  <si>
    <t>f3211b00-65c1-11ed-b8e1-214053451cfc</t>
  </si>
  <si>
    <t>b98924e0-65cc-11ed-b8e1-214053451cfc</t>
  </si>
  <si>
    <t>ca197670-65d1-11ed-b8e1-214053451cfc</t>
  </si>
  <si>
    <t>7b8e7f30-664b-11ed-9839-210bb1b2c16c</t>
  </si>
  <si>
    <t>4c1f93d0-6653-11ed-9839-210bb1b2c16c</t>
  </si>
  <si>
    <t>464e1c00-6659-11ed-9839-210bb1b2c16c</t>
  </si>
  <si>
    <t>e8f3ee20-665f-11ed-9839-210bb1b2c16c</t>
  </si>
  <si>
    <t>df7efbb0-6663-11ed-9839-210bb1b2c16c</t>
  </si>
  <si>
    <t>3f9131c0-666a-11ed-9839-210bb1b2c16c</t>
  </si>
  <si>
    <t>40f56df0-6670-11ed-9839-210bb1b2c16c</t>
  </si>
  <si>
    <t>af85d810-6673-11ed-9839-210bb1b2c16c</t>
  </si>
  <si>
    <t>3a24e690-667f-11ed-9839-210bb1b2c16c</t>
  </si>
  <si>
    <t>071b4b00-6705-11ed-b848-11b56b75d19e</t>
  </si>
  <si>
    <t>7e68bf40-6772-11ed-9d05-8d8054377cac</t>
  </si>
  <si>
    <t>356deab0-67de-11ed-9f8c-d5ab0a89e7cc</t>
  </si>
  <si>
    <t>8711aeb0-67e8-11ed-9f8c-d5ab0a89e7cc</t>
  </si>
  <si>
    <t>45755700-6800-11ed-9f8c-d5ab0a89e7cc</t>
  </si>
  <si>
    <t>baab7080-680b-11ed-9f8c-d5ab0a89e7cc</t>
  </si>
  <si>
    <t>51b5aa30-6817-11ed-9f8c-d5ab0a89e7cc</t>
  </si>
  <si>
    <t>e4ee49d0-681f-11ed-9f8c-d5ab0a89e7cc</t>
  </si>
  <si>
    <t>56defc50-682b-11ed-9f8c-d5ab0a89e7cc</t>
  </si>
  <si>
    <t>d40bbdf0-6838-11ed-9f8c-d5ab0a89e7cc</t>
  </si>
  <si>
    <t>015bed60-6844-11ed-9f8c-d5ab0a89e7cc</t>
  </si>
  <si>
    <t>917c87e0-68aa-11ed-b607-6174dfc92b8a</t>
  </si>
  <si>
    <t>d4f79560-68b8-11ed-b607-6174dfc92b8a</t>
  </si>
  <si>
    <t>d1d7cbe0-68c5-11ed-b607-6174dfc92b8a</t>
  </si>
  <si>
    <t>df00a3f0-68d4-11ed-b607-6174dfc92b8a</t>
  </si>
  <si>
    <t>f4e2e9d0-68e3-11ed-b607-6174dfc92b8a</t>
  </si>
  <si>
    <t>fea0a740-68ee-11ed-b607-6174dfc92b8a</t>
  </si>
  <si>
    <t>ea161ba0-68ff-11ed-b607-6174dfc92b8a</t>
  </si>
  <si>
    <t>96f55290-690b-11ed-b607-6174dfc92b8a</t>
  </si>
  <si>
    <t>df4d1a30-696c-11ed-90e4-b182ff142f9f</t>
  </si>
  <si>
    <t>c25954e0-6983-11ed-90e4-b182ff142f9f</t>
  </si>
  <si>
    <t>663001b0-6991-11ed-90e4-b182ff142f9f</t>
  </si>
  <si>
    <t>0fb4ff30-699f-11ed-90e4-b182ff142f9f</t>
  </si>
  <si>
    <t>87566170-69ac-11ed-90e4-b182ff142f9f</t>
  </si>
  <si>
    <t>23c94890-69be-11ed-90e4-b182ff142f9f</t>
  </si>
  <si>
    <t>1c4189b0-69ce-11ed-90e4-b182ff142f9f</t>
  </si>
  <si>
    <t>20ec7380-6a23-11ed-8d6c-1b75f60f28af</t>
  </si>
  <si>
    <t>9a5da600-6a2b-11ed-8d6c-1b75f60f28af</t>
  </si>
  <si>
    <t>6864e1d0-6a3b-11ed-8d6c-1b75f60f28af</t>
  </si>
  <si>
    <t>7e8ecd20-6a4c-11ed-8d6c-1b75f60f28af</t>
  </si>
  <si>
    <t>7b2ee600-6a5c-11ed-8d6c-1b75f60f28af</t>
  </si>
  <si>
    <t>6bdc0a90-6a64-11ed-8d6c-1b75f60f28af</t>
  </si>
  <si>
    <t>4d04b600-6a6c-11ed-8d6c-1b75f60f28af</t>
  </si>
  <si>
    <t>6c4a33b0-6a7a-11ed-8d6c-1b75f60f28af</t>
  </si>
  <si>
    <t>d83669c0-6a86-11ed-8d6c-1b75f60f28af</t>
  </si>
  <si>
    <t>80587480-6a97-11ed-8d6c-1b75f60f28af</t>
  </si>
  <si>
    <t>15c0d320-6aa5-11ed-8d6c-1b75f60f28af</t>
  </si>
  <si>
    <t>b3579740-6aaa-11ed-8d6c-1b75f60f28af</t>
  </si>
  <si>
    <t>f6851f30-6af3-11ed-8a05-9d3d1f44ce1a</t>
  </si>
  <si>
    <t>5df4fc40-6afd-11ed-8a05-9d3d1f44ce1a</t>
  </si>
  <si>
    <t>a43b2d20-6b0a-11ed-8a05-9d3d1f44ce1a</t>
  </si>
  <si>
    <t>12d53330-6b19-11ed-8a05-9d3d1f44ce1a</t>
  </si>
  <si>
    <t>91dbec50-6b23-11ed-8a05-9d3d1f44ce1a</t>
  </si>
  <si>
    <t>83e6c4c0-6b2e-11ed-8a05-9d3d1f44ce1a</t>
  </si>
  <si>
    <t>843c7620-6b3f-11ed-8a05-9d3d1f44ce1a</t>
  </si>
  <si>
    <t>ca4c42d0-6b4e-11ed-8a05-9d3d1f44ce1a</t>
  </si>
  <si>
    <t>dd4c6670-6b54-11ed-8a05-9d3d1f44ce1a</t>
  </si>
  <si>
    <t>f5841cc0-6b5d-11ed-8a05-9d3d1f44ce1a</t>
  </si>
  <si>
    <t>127f9220-6b66-11ed-8a05-9d3d1f44ce1a</t>
  </si>
  <si>
    <t>05eeee80-6b6f-11ed-8a05-9d3d1f44ce1a</t>
  </si>
  <si>
    <t>8a62d200-6bb8-11ed-8547-4dfcd4ca7caa</t>
  </si>
  <si>
    <t>f9ffb0d0-6bc0-11ed-8547-4dfcd4ca7caa</t>
  </si>
  <si>
    <t>c96e41a0-6bcc-11ed-8547-4dfcd4ca7caa</t>
  </si>
  <si>
    <t>4c045bb0-6bda-11ed-8547-4dfcd4ca7caa</t>
  </si>
  <si>
    <t>88501340-6be7-11ed-8547-4dfcd4ca7caa</t>
  </si>
  <si>
    <t>8fd7fd90-6bf5-11ed-8547-4dfcd4ca7caa</t>
  </si>
  <si>
    <t>38c9a370-6bfd-11ed-8547-4dfcd4ca7caa</t>
  </si>
  <si>
    <t>ac76e4f0-6c06-11ed-8547-4dfcd4ca7caa</t>
  </si>
  <si>
    <t>bf6dd970-6c0f-11ed-8547-4dfcd4ca7caa</t>
  </si>
  <si>
    <t>2f7fac10-6c16-11ed-8547-4dfcd4ca7caa</t>
  </si>
  <si>
    <t>1264c2a0-6c20-11ed-8547-4dfcd4ca7caa</t>
  </si>
  <si>
    <t>1fbd0390-6c39-11ed-8547-4dfcd4ca7caa</t>
  </si>
  <si>
    <t>81824130-6c89-11ed-954d-27c35f68868d</t>
  </si>
  <si>
    <t>08d43b00-6caa-11ed-954d-27c35f68868d</t>
  </si>
  <si>
    <t>535b7850-6cb4-11ed-954d-27c35f68868d</t>
  </si>
  <si>
    <t>b7dcc0f0-6cbd-11ed-954d-27c35f68868d</t>
  </si>
  <si>
    <t>662a0070-6cc1-11ed-954d-27c35f68868d</t>
  </si>
  <si>
    <t>501be310-6cc7-11ed-954d-27c35f68868d</t>
  </si>
  <si>
    <t>681d5c40-6cd2-11ed-954d-27c35f68868d</t>
  </si>
  <si>
    <t>363867d0-6cda-11ed-954d-27c35f68868d</t>
  </si>
  <si>
    <t>0a11cee0-64b9-11ed-9639-a159efc3cd28</t>
  </si>
  <si>
    <t>37d80af0-64bf-11ed-9639-a159efc3cd28</t>
  </si>
  <si>
    <t>bd937a80-64c4-11ed-9639-a159efc3cd28</t>
  </si>
  <si>
    <t>0ac9eb90-64ca-11ed-9639-a159efc3cd28</t>
  </si>
  <si>
    <t>ad0993c0-64ce-11ed-9639-a159efc3cd28</t>
  </si>
  <si>
    <t>c1c8b760-64d2-11ed-9639-a159efc3cd28</t>
  </si>
  <si>
    <t>c216be10-64d7-11ed-9639-a159efc3cd28</t>
  </si>
  <si>
    <t>2eb8b6f0-64e1-11ed-9639-a159efc3cd28</t>
  </si>
  <si>
    <t>62e63370-64e7-11ed-9639-a159efc3cd28</t>
  </si>
  <si>
    <t>9cb8ead0-64eb-11ed-9639-a159efc3cd28</t>
  </si>
  <si>
    <t>fcb3c850-64f1-11ed-9639-a159efc3cd28</t>
  </si>
  <si>
    <t>1910d040-64f9-11ed-9639-a159efc3cd28</t>
  </si>
  <si>
    <t>a77e2c30-6501-11ed-9639-a159efc3cd28</t>
  </si>
  <si>
    <t>96e782f0-6505-11ed-9639-a159efc3cd28</t>
  </si>
  <si>
    <t>4c4c9bf0-650e-11ed-9639-a159efc3cd28</t>
  </si>
  <si>
    <t>e82df9d0-6511-11ed-9639-a159efc3cd28</t>
  </si>
  <si>
    <t>ff7c2cc0-6515-11ed-9639-a159efc3cd28</t>
  </si>
  <si>
    <t>8c2db9d0-651c-11ed-9639-a159efc3cd28</t>
  </si>
  <si>
    <t>dec143c0-6520-11ed-9639-a159efc3cd28</t>
  </si>
  <si>
    <t>f6703ee0-6525-11ed-9639-a159efc3cd28</t>
  </si>
  <si>
    <t>b5781440-652e-11ed-9639-a159efc3cd28</t>
  </si>
  <si>
    <t>0c9fba60-6535-11ed-9639-a159efc3cd28</t>
  </si>
  <si>
    <t>1de8df30-653b-11ed-9639-a159efc3cd28</t>
  </si>
  <si>
    <t>a1a65150-653f-11ed-9639-a159efc3cd28</t>
  </si>
  <si>
    <t>0fed8800-6544-11ed-9639-a159efc3cd28</t>
  </si>
  <si>
    <t>978a9df0-654b-11ed-9639-a159efc3cd28</t>
  </si>
  <si>
    <t>7aefc8b0-654f-11ed-9639-a159efc3cd28</t>
  </si>
  <si>
    <t>ad5009d0-6556-11ed-9639-a159efc3cd28</t>
  </si>
  <si>
    <t>99bd1080-655a-11ed-9639-a159efc3cd28</t>
  </si>
  <si>
    <t>c7447960-6561-11ed-9639-a159efc3cd28</t>
  </si>
  <si>
    <t>286fab70-6566-11ed-9639-a159efc3cd28</t>
  </si>
  <si>
    <t>d2238550-656c-11ed-9639-a159efc3cd28</t>
  </si>
  <si>
    <t>74711030-6571-11ed-9639-a159efc3cd28</t>
  </si>
  <si>
    <t>6d4d9cf0-6577-11ed-9639-a159efc3cd28</t>
  </si>
  <si>
    <t>b657c970-657c-11ed-9639-a159efc3cd28</t>
  </si>
  <si>
    <t>3a127c70-6581-11ed-9639-a159efc3cd28</t>
  </si>
  <si>
    <t>a5f9f460-6589-11ed-9639-a159efc3cd28</t>
  </si>
  <si>
    <t>57987a60-6590-11ed-9639-a159efc3cd28</t>
  </si>
  <si>
    <t>10fb86e0-6597-11ed-9639-a159efc3cd28</t>
  </si>
  <si>
    <t>1d882320-659f-11ed-9639-a159efc3cd28</t>
  </si>
  <si>
    <t>7272d8f0-65a2-11ed-9639-a159efc3cd28</t>
  </si>
  <si>
    <t>87ec4be0-65a6-11ed-9639-a159efc3cd28</t>
  </si>
  <si>
    <t>1b48ce90-65ac-11ed-9639-a159efc3cd28</t>
  </si>
  <si>
    <t>2d0a4d20-65b1-11ed-9639-a159efc3cd28</t>
  </si>
  <si>
    <t>8d14d780-65b6-11ed-9639-a159efc3cd28</t>
  </si>
  <si>
    <t>324d42c0-65ba-11ed-9639-a159efc3cd28</t>
  </si>
  <si>
    <t>38380690-65c2-11ed-9639-a159efc3cd28</t>
  </si>
  <si>
    <t>261b5990-65c6-11ed-9639-a159efc3cd28</t>
  </si>
  <si>
    <t>38223e30-65ce-11ed-9639-a159efc3cd28</t>
  </si>
  <si>
    <t>766ccca0-65d3-11ed-9639-a159efc3cd28</t>
  </si>
  <si>
    <t>4cb54490-65d9-11ed-9639-a159efc3cd28</t>
  </si>
  <si>
    <t>cc9264b0-65dc-11ed-9639-a159efc3cd28</t>
  </si>
  <si>
    <t>636fe5e0-65e4-11ed-9639-a159efc3cd28</t>
  </si>
  <si>
    <t>8d355a30-65ea-11ed-9639-a159efc3cd28</t>
  </si>
  <si>
    <t>5baac220-65ef-11ed-9639-a159efc3cd28</t>
  </si>
  <si>
    <t>38381ae0-65f4-11ed-9639-a159efc3cd28</t>
  </si>
  <si>
    <t>bbf07200-65fa-11ed-9639-a159efc3cd28</t>
  </si>
  <si>
    <t>ac74c3c0-6600-11ed-9639-a159efc3cd28</t>
  </si>
  <si>
    <t>5ce40370-6605-11ed-9639-a159efc3cd28</t>
  </si>
  <si>
    <t>332f76b0-660d-11ed-9639-a159efc3cd28</t>
  </si>
  <si>
    <t>6bd5d120-6613-11ed-9639-a159efc3cd28</t>
  </si>
  <si>
    <t>08974e70-661a-11ed-9639-a159efc3cd28</t>
  </si>
  <si>
    <t>4bf67b10-661e-11ed-9639-a159efc3cd28</t>
  </si>
  <si>
    <t>86190ab0-6623-11ed-9639-a159efc3cd28</t>
  </si>
  <si>
    <t>d1cc1aa0-6629-11ed-9639-a159efc3cd28</t>
  </si>
  <si>
    <t>71890f90-662e-11ed-9639-a159efc3cd28</t>
  </si>
  <si>
    <t>b152e070-6632-11ed-9639-a159efc3cd28</t>
  </si>
  <si>
    <t>638e90d0-6639-11ed-9639-a159efc3cd28</t>
  </si>
  <si>
    <t>1ebb75f0-6642-11ed-9639-a159efc3cd28</t>
  </si>
  <si>
    <t>5b4a2390-6647-11ed-9639-a159efc3cd28</t>
  </si>
  <si>
    <t>92afd290-664b-11ed-9639-a159efc3cd28</t>
  </si>
  <si>
    <t>568dbde0-6650-11ed-9639-a159efc3cd28</t>
  </si>
  <si>
    <t>3e5ce790-6656-11ed-9639-a159efc3cd28</t>
  </si>
  <si>
    <t>a1c88c60-665d-11ed-9639-a159efc3cd28</t>
  </si>
  <si>
    <t>88002620-6663-11ed-9639-a159efc3cd28</t>
  </si>
  <si>
    <t>df0a9230-6667-11ed-9639-a159efc3cd28</t>
  </si>
  <si>
    <t>89cc39f0-666b-11ed-9639-a159efc3cd28</t>
  </si>
  <si>
    <t>d87bd2f0-666f-11ed-9639-a159efc3cd28</t>
  </si>
  <si>
    <t>7ff97dd0-6674-11ed-9639-a159efc3cd28</t>
  </si>
  <si>
    <t>7f6b9c10-667c-11ed-9639-a159efc3cd28</t>
  </si>
  <si>
    <t>0f815830-6682-11ed-9639-a159efc3cd28</t>
  </si>
  <si>
    <t>457643b0-6687-11ed-9639-a159efc3cd28</t>
  </si>
  <si>
    <t>ad7935d0-668c-11ed-9639-a159efc3cd28</t>
  </si>
  <si>
    <t>aa3710e0-6691-11ed-9639-a159efc3cd28</t>
  </si>
  <si>
    <t>e6b7dbd0-6696-11ed-9639-a159efc3cd28</t>
  </si>
  <si>
    <t>d9eaef50-669b-11ed-9639-a159efc3cd28</t>
  </si>
  <si>
    <t>2b96b150-66a0-11ed-9639-a159efc3cd28</t>
  </si>
  <si>
    <t>c7c09470-66a4-11ed-9639-a159efc3cd28</t>
  </si>
  <si>
    <t>74a00ef0-66af-11ed-9639-a159efc3cd28</t>
  </si>
  <si>
    <t>f34d0190-66b4-11ed-9639-a159efc3cd28</t>
  </si>
  <si>
    <t>9f4334e0-66bc-11ed-9639-a159efc3cd28</t>
  </si>
  <si>
    <t>c1d8c190-66c2-11ed-9639-a159efc3cd28</t>
  </si>
  <si>
    <t>fa312da0-66c9-11ed-9639-a159efc3cd28</t>
  </si>
  <si>
    <t>d58babb0-66ce-11ed-9639-a159efc3cd28</t>
  </si>
  <si>
    <t>76c7aa10-66d4-11ed-9639-a159efc3cd28</t>
  </si>
  <si>
    <t>7f71fbb0-66df-11ed-9639-a159efc3cd28</t>
  </si>
  <si>
    <t>eba37c50-66e4-11ed-9639-a159efc3cd28</t>
  </si>
  <si>
    <t>f51929b0-66ee-11ed-9639-a159efc3cd28</t>
  </si>
  <si>
    <t>18f714e0-66f5-11ed-9639-a159efc3cd28</t>
  </si>
  <si>
    <t>130332e0-66f9-11ed-9639-a159efc3cd28</t>
  </si>
  <si>
    <t>b310d550-66fc-11ed-9639-a159efc3cd28</t>
  </si>
  <si>
    <t>0a1749c0-6701-11ed-9639-a159efc3cd28</t>
  </si>
  <si>
    <t>ab0a29d0-6709-11ed-9639-a159efc3cd28</t>
  </si>
  <si>
    <t>db9ff610-670e-11ed-9639-a159efc3cd28</t>
  </si>
  <si>
    <t>c11ce7d0-6713-11ed-9639-a159efc3cd28</t>
  </si>
  <si>
    <t>d0ed1db0-6718-11ed-9639-a159efc3cd28</t>
  </si>
  <si>
    <t>d2157440-671c-11ed-9639-a159efc3cd28</t>
  </si>
  <si>
    <t>225c9d30-6721-11ed-9639-a159efc3cd28</t>
  </si>
  <si>
    <t>9a1d52d0-6724-11ed-9639-a159efc3cd28</t>
  </si>
  <si>
    <t>92f69620-6728-11ed-9639-a159efc3cd28</t>
  </si>
  <si>
    <t>051df7c0-672e-11ed-9639-a159efc3cd28</t>
  </si>
  <si>
    <t>04907940-6738-11ed-9639-a159efc3cd28</t>
  </si>
  <si>
    <t>ad3d0730-673c-11ed-9639-a159efc3cd28</t>
  </si>
  <si>
    <t>3bb3d900-6745-11ed-9639-a159efc3cd28</t>
  </si>
  <si>
    <t>9227b4f0-674a-11ed-9639-a159efc3cd28</t>
  </si>
  <si>
    <t>d177c1f0-674e-11ed-9639-a159efc3cd28</t>
  </si>
  <si>
    <t>f00b8760-6752-11ed-9639-a159efc3cd28</t>
  </si>
  <si>
    <t>c95e1cf0-6756-11ed-9639-a159efc3cd28</t>
  </si>
  <si>
    <t>58de9df0-675c-11ed-9639-a159efc3cd28</t>
  </si>
  <si>
    <t>235d5040-6761-11ed-9639-a159efc3cd28</t>
  </si>
  <si>
    <t>671519a0-6764-11ed-9639-a159efc3cd28</t>
  </si>
  <si>
    <t>91b21eb0-6769-11ed-9639-a159efc3cd28</t>
  </si>
  <si>
    <t>2f472000-676d-11ed-9639-a159efc3cd28</t>
  </si>
  <si>
    <t>9ca524a0-6770-11ed-9639-a159efc3cd28</t>
  </si>
  <si>
    <t>f0b23260-6778-11ed-9639-a159efc3cd28</t>
  </si>
  <si>
    <t>a9c65100-677e-11ed-9639-a159efc3cd28</t>
  </si>
  <si>
    <t>e34ec380-6783-11ed-9639-a159efc3cd28</t>
  </si>
  <si>
    <t>257a5220-6788-11ed-9639-a159efc3cd28</t>
  </si>
  <si>
    <t>303649e0-678c-11ed-9639-a159efc3cd28</t>
  </si>
  <si>
    <t>a0de05d0-6790-11ed-9639-a159efc3cd28</t>
  </si>
  <si>
    <t>f9183f50-6794-11ed-9639-a159efc3cd28</t>
  </si>
  <si>
    <t>ae4d9290-6799-11ed-9639-a159efc3cd28</t>
  </si>
  <si>
    <t>56b0d7f0-679d-11ed-9639-a159efc3cd28</t>
  </si>
  <si>
    <t>7e0ba2f0-67a5-11ed-9639-a159efc3cd28</t>
  </si>
  <si>
    <t>69c97de0-67a9-11ed-9639-a159efc3cd28</t>
  </si>
  <si>
    <t>e6aa14f0-67ae-11ed-9639-a159efc3cd28</t>
  </si>
  <si>
    <t>e8c5a0f0-67b9-11ed-9639-a159efc3cd28</t>
  </si>
  <si>
    <t>cd37cee0-67bd-11ed-9639-a159efc3cd28</t>
  </si>
  <si>
    <t>d60336b0-67c0-11ed-9639-a159efc3cd28</t>
  </si>
  <si>
    <t>40b8d040-67c7-11ed-9639-a159efc3cd28</t>
  </si>
  <si>
    <t>cf4570d0-67cb-11ed-9639-a159efc3cd28</t>
  </si>
  <si>
    <t>95cf5430-67ce-11ed-9639-a159efc3cd28</t>
  </si>
  <si>
    <t>1cb99f70-67d7-11ed-9639-a159efc3cd28</t>
  </si>
  <si>
    <t>48e3b050-67e0-11ed-9639-a159efc3cd28</t>
  </si>
  <si>
    <t>c0962330-67e5-11ed-9639-a159efc3cd28</t>
  </si>
  <si>
    <t>d9a36e70-67ed-11ed-9639-a159efc3cd28</t>
  </si>
  <si>
    <t>f0566840-67f0-11ed-9639-a159efc3cd28</t>
  </si>
  <si>
    <t>9a930180-67f4-11ed-9639-a159efc3cd28</t>
  </si>
  <si>
    <t>7d4fc1d0-67f9-11ed-9639-a159efc3cd28</t>
  </si>
  <si>
    <t>70ea0620-67ff-11ed-9639-a159efc3cd28</t>
  </si>
  <si>
    <t>6f96ae50-6803-11ed-9639-a159efc3cd28</t>
  </si>
  <si>
    <t>83577f50-6808-11ed-9639-a159efc3cd28</t>
  </si>
  <si>
    <t>d4b2f3e0-680b-11ed-9639-a159efc3cd28</t>
  </si>
  <si>
    <t>2b0ed070-6810-11ed-9639-a159efc3cd28</t>
  </si>
  <si>
    <t>678e7f60-6814-11ed-9639-a159efc3cd28</t>
  </si>
  <si>
    <t>730baed0-6819-11ed-9639-a159efc3cd28</t>
  </si>
  <si>
    <t>2d4f37a0-681d-11ed-9639-a159efc3cd28</t>
  </si>
  <si>
    <t>885fb810-6820-11ed-9639-a159efc3cd28</t>
  </si>
  <si>
    <t>a6be9560-6825-11ed-9639-a159efc3cd28</t>
  </si>
  <si>
    <t>97cd6950-682a-11ed-9639-a159efc3cd28</t>
  </si>
  <si>
    <t>053f15a0-6831-11ed-9639-a159efc3cd28</t>
  </si>
  <si>
    <t>23360fc0-683e-11ed-9639-a159efc3cd28</t>
  </si>
  <si>
    <t>4c89a4e0-6843-11ed-9639-a159efc3cd28</t>
  </si>
  <si>
    <t>aa7629e0-684b-11ed-9639-a159efc3cd28</t>
  </si>
  <si>
    <t>97828430-6857-11ed-9639-a159efc3cd28</t>
  </si>
  <si>
    <t>a7d7e0e0-6862-11ed-9639-a159efc3cd28</t>
  </si>
  <si>
    <t>394ab070-6872-11ed-9639-a159efc3cd28</t>
  </si>
  <si>
    <t>790f2a20-6876-11ed-9639-a159efc3cd28</t>
  </si>
  <si>
    <t>ab5872c0-687b-11ed-9639-a159efc3cd28</t>
  </si>
  <si>
    <t>a7e85140-6886-11ed-9639-a159efc3cd28</t>
  </si>
  <si>
    <t>9ffdd9f0-688b-11ed-9639-a159efc3cd28</t>
  </si>
  <si>
    <t>33b1b650-688f-11ed-9639-a159efc3cd28</t>
  </si>
  <si>
    <t>fd148670-6895-11ed-9639-a159efc3cd28</t>
  </si>
  <si>
    <t>36e1d4b0-689c-11ed-9639-a159efc3cd28</t>
  </si>
  <si>
    <t>39ad2580-68a3-11ed-9639-a159efc3cd28</t>
  </si>
  <si>
    <t>aaf61ff0-68a6-11ed-9639-a159efc3cd28</t>
  </si>
  <si>
    <t>4364f6e0-68ab-11ed-9639-a159efc3cd28</t>
  </si>
  <si>
    <t>ecb27530-68ae-11ed-9639-a159efc3cd28</t>
  </si>
  <si>
    <t>f02aeb60-68b4-11ed-9639-a159efc3cd28</t>
  </si>
  <si>
    <t>5c8daaa0-68b9-11ed-9639-a159efc3cd28</t>
  </si>
  <si>
    <t>3b2f59e0-68bd-11ed-9639-a159efc3cd28</t>
  </si>
  <si>
    <t>9b12bf20-68c0-11ed-9639-a159efc3cd28</t>
  </si>
  <si>
    <t>143cefd0-68c4-11ed-9639-a159efc3cd28</t>
  </si>
  <si>
    <t>49dbb6f0-68c7-11ed-9639-a159efc3cd28</t>
  </si>
  <si>
    <t>464bf920-68ca-11ed-9639-a159efc3cd28</t>
  </si>
  <si>
    <t>8919b0a0-68cd-11ed-9639-a159efc3cd28</t>
  </si>
  <si>
    <t>cc3d5050-68d0-11ed-9639-a159efc3cd28</t>
  </si>
  <si>
    <t>8a24dae0-68d4-11ed-9639-a159efc3cd28</t>
  </si>
  <si>
    <t>6784db00-68db-11ed-9639-a159efc3cd28</t>
  </si>
  <si>
    <t>1d6238a0-68e1-11ed-9639-a159efc3cd28</t>
  </si>
  <si>
    <t>29b3c480-68e5-11ed-9639-a159efc3cd28</t>
  </si>
  <si>
    <t>521a1370-68ea-11ed-9639-a159efc3cd28</t>
  </si>
  <si>
    <t>2be761d0-68ef-11ed-9639-a159efc3cd28</t>
  </si>
  <si>
    <t>8c5e69a0-68f4-11ed-9639-a159efc3cd28</t>
  </si>
  <si>
    <t>aea0a630-68fa-11ed-9639-a159efc3cd28</t>
  </si>
  <si>
    <t>47b51720-6ffe-11ed-95a3-d120f673b6bc</t>
  </si>
  <si>
    <t>caf02090-7007-11ed-95a3-d120f673b6bc</t>
  </si>
  <si>
    <t>e398af30-7012-11ed-95a3-d120f673b6bc</t>
  </si>
  <si>
    <t>3cfdcff0-701e-11ed-95a3-d120f673b6bc</t>
  </si>
  <si>
    <t>fdd9f020-7026-11ed-95a3-d120f673b6bc</t>
  </si>
  <si>
    <t>58adae50-702d-11ed-95a3-d120f673b6bc</t>
  </si>
  <si>
    <t>6c805cd0-7036-11ed-95a3-d120f673b6bc</t>
  </si>
  <si>
    <t>ecd62800-703c-11ed-95a3-d120f673b6bc</t>
  </si>
  <si>
    <t>e3ed9a40-7044-11ed-95a3-d120f673b6bc</t>
  </si>
  <si>
    <t>8b59f520-704b-11ed-95a3-d120f673b6bc</t>
  </si>
  <si>
    <t>3f0f6250-7054-11ed-95a3-d120f673b6bc</t>
  </si>
  <si>
    <t>d49ce3e0-705b-11ed-95a3-d120f673b6bc</t>
  </si>
  <si>
    <t>3ea2d520-7065-11ed-95a3-d120f673b6bc</t>
  </si>
  <si>
    <t>2bac3420-706f-11ed-95a3-d120f673b6bc</t>
  </si>
  <si>
    <t>35f9caf0-7079-11ed-95a3-d120f673b6bc</t>
  </si>
  <si>
    <t>d930c410-7080-11ed-95a3-d120f673b6bc</t>
  </si>
  <si>
    <t>4e289180-708b-11ed-95a3-d120f673b6bc</t>
  </si>
  <si>
    <t>70151ab0-7096-11ed-95a3-d120f673b6bc</t>
  </si>
  <si>
    <t>ed9d6f20-717a-11ed-9121-6322e14b6e50</t>
  </si>
  <si>
    <t>3c412f00-7184-11ed-9121-6322e14b6e50</t>
  </si>
  <si>
    <t>f4280650-718b-11ed-9121-6322e14b6e50</t>
  </si>
  <si>
    <t>39e17270-7197-11ed-9121-6322e14b6e50</t>
  </si>
  <si>
    <t>0ca242e0-71a0-11ed-9121-6322e14b6e50</t>
  </si>
  <si>
    <t>31987be0-71a6-11ed-9121-6322e14b6e50</t>
  </si>
  <si>
    <t>264b3840-71b0-11ed-9121-6322e14b6e50</t>
  </si>
  <si>
    <t>01540c80-71b8-11ed-9121-6322e14b6e50</t>
  </si>
  <si>
    <t>02432340-71bf-11ed-9121-6322e14b6e50</t>
  </si>
  <si>
    <t>f6116880-71c7-11ed-9121-6322e14b6e50</t>
  </si>
  <si>
    <t>40e0d9c0-71cf-11ed-9121-6322e14b6e50</t>
  </si>
  <si>
    <t>f2d359e0-71da-11ed-9121-6322e14b6e50</t>
  </si>
  <si>
    <t>8ddc3540-71e2-11ed-9121-6322e14b6e50</t>
  </si>
  <si>
    <t>78178020-71ec-11ed-9121-6322e14b6e50</t>
  </si>
  <si>
    <t>79007f90-71f7-11ed-9121-6322e14b6e50</t>
  </si>
  <si>
    <t>c8ded7c0-71ff-11ed-9121-6322e14b6e50</t>
  </si>
  <si>
    <t>3e92f7b0-7207-11ed-9121-6322e14b6e50</t>
  </si>
  <si>
    <t>22079220-7213-11ed-9121-6322e14b6e50</t>
  </si>
  <si>
    <t>e9ff4410-721a-11ed-9121-6322e14b6e50</t>
  </si>
  <si>
    <t>9fd96530-7253-11ed-9052-2ddfed7ecdba</t>
  </si>
  <si>
    <t>230efaf0-725e-11ed-9052-2ddfed7ecdba</t>
  </si>
  <si>
    <t>93538410-7269-11ed-9052-2ddfed7ecdba</t>
  </si>
  <si>
    <t>fffc2920-7271-11ed-9052-2ddfed7ecdba</t>
  </si>
  <si>
    <t>bacf6770-7278-11ed-9052-2ddfed7ecdba</t>
  </si>
  <si>
    <t>cfc2cf90-727e-11ed-9052-2ddfed7ecdba</t>
  </si>
  <si>
    <t>bbc2df70-7289-11ed-9052-2ddfed7ecdba</t>
  </si>
  <si>
    <t>ea739800-728e-11ed-9052-2ddfed7ecdba</t>
  </si>
  <si>
    <t>d6e07040-7295-11ed-9052-2ddfed7ecdba</t>
  </si>
  <si>
    <t>c18da1b0-729d-11ed-9052-2ddfed7ecdba</t>
  </si>
  <si>
    <t>a8bf6800-72a5-11ed-9052-2ddfed7ecdba</t>
  </si>
  <si>
    <t>13650690-72ad-11ed-9052-2ddfed7ecdba</t>
  </si>
  <si>
    <t>9b585a30-72b1-11ed-9052-2ddfed7ecdba</t>
  </si>
  <si>
    <t>d6df1410-72be-11ed-9052-2ddfed7ecdba</t>
  </si>
  <si>
    <t>74ad9490-72c5-11ed-9052-2ddfed7ecdba</t>
  </si>
  <si>
    <t>a83e8620-72cf-11ed-9052-2ddfed7ecdba</t>
  </si>
  <si>
    <t>b2219820-72d5-11ed-9052-2ddfed7ecdba</t>
  </si>
  <si>
    <t>1ac2d3d0-72e0-11ed-9052-2ddfed7ecdba</t>
  </si>
  <si>
    <t>9ec69dc0-72e4-11ed-9052-2ddfed7ecdba</t>
  </si>
  <si>
    <t>8b5a7410-72ed-11ed-9052-2ddfed7ecdba</t>
  </si>
  <si>
    <t>2f91f7d0-72f6-11ed-9052-2ddfed7ecdba</t>
  </si>
  <si>
    <t>53b6c1f0-72fa-11ed-9052-2ddfed7ecdba</t>
  </si>
  <si>
    <t>3a46f870-72ff-11ed-9052-2ddfed7ecdba</t>
  </si>
  <si>
    <t>4477b540-7305-11ed-9052-2ddfed7ecdba</t>
  </si>
  <si>
    <t>fe19eda0-730b-11ed-9052-2ddfed7ecdba</t>
  </si>
  <si>
    <t>34304e60-7312-11ed-9052-2ddfed7ecdba</t>
  </si>
  <si>
    <t>de142a30-731e-11ed-9052-2ddfed7ecdba</t>
  </si>
  <si>
    <t>b35a42c0-7323-11ed-9052-2ddfed7ecdba</t>
  </si>
  <si>
    <t>2d16e0b0-732d-11ed-9052-2ddfed7ecdba</t>
  </si>
  <si>
    <t>3b418770-7333-11ed-9052-2ddfed7ecdba</t>
  </si>
  <si>
    <t>a0e832b0-733b-11ed-9052-2ddfed7ecdba</t>
  </si>
  <si>
    <t>8d882c10-7346-11ed-9052-2ddfed7ecdba</t>
  </si>
  <si>
    <t>b7b98c20-734d-11ed-9052-2ddfed7ecdba</t>
  </si>
  <si>
    <t>f5af8000-7354-11ed-9052-2ddfed7ecdba</t>
  </si>
  <si>
    <t>b01e4ca0-735a-11ed-9052-2ddfed7ecdba</t>
  </si>
  <si>
    <t>38730f40-7361-11ed-9052-2ddfed7ecdba</t>
  </si>
  <si>
    <t>732cce70-7369-11ed-9052-2ddfed7ecdba</t>
  </si>
  <si>
    <t>15a98a30-736f-11ed-9052-2ddfed7ecdba</t>
  </si>
  <si>
    <t>d465e990-7375-11ed-9052-2ddfed7ecdba</t>
  </si>
  <si>
    <t>8afb1390-737d-11ed-9052-2ddfed7ecdba</t>
  </si>
  <si>
    <t>b66dd7d0-7385-11ed-9052-2ddfed7ecdba</t>
  </si>
  <si>
    <t>75ec8050-738d-11ed-9052-2ddfed7ecdba</t>
  </si>
  <si>
    <t>debf6540-7395-11ed-9052-2ddfed7ecdba</t>
  </si>
  <si>
    <t>8c08f390-739d-11ed-9052-2ddfed7ecdba</t>
  </si>
  <si>
    <t>259dd720-73a6-11ed-9052-2ddfed7ecdba</t>
  </si>
  <si>
    <t>42bac1c0-73af-11ed-9052-2ddfed7ecdba</t>
  </si>
  <si>
    <t>d663b9f0-73b8-11ed-9052-2ddfed7ecdba</t>
  </si>
  <si>
    <t>37abc600-73c1-11ed-9052-2ddfed7ecdba</t>
  </si>
  <si>
    <t>d78e0e80-73cb-11ed-9052-2ddfed7ecdba</t>
  </si>
  <si>
    <t>cc300c90-73d6-11ed-9052-2ddfed7ecdba</t>
  </si>
  <si>
    <t>b8671ce0-73df-11ed-9052-2ddfed7ecdba</t>
  </si>
  <si>
    <t>104d5b40-73ea-11ed-9052-2ddfed7ecdba</t>
  </si>
  <si>
    <t>75223790-73f2-11ed-9052-2ddfed7ecdba</t>
  </si>
  <si>
    <t>33753150-73fa-11ed-9052-2ddfed7ecdba</t>
  </si>
  <si>
    <t>82d0f9c0-7407-11ed-9052-2ddfed7ecdba</t>
  </si>
  <si>
    <t>1c9af710-7410-11ed-9052-2ddfed7ecdba</t>
  </si>
  <si>
    <t>4b50e2f0-7419-11ed-9052-2ddfed7ecdba</t>
  </si>
  <si>
    <t>e7261660-741d-11ed-9052-2ddfed7ecdba</t>
  </si>
  <si>
    <t>96279fd0-7423-11ed-9052-2ddfed7ecdba</t>
  </si>
  <si>
    <t>a0ff7540-742d-11ed-9052-2ddfed7ecdba</t>
  </si>
  <si>
    <t>6d569ed0-7437-11ed-9052-2ddfed7ecdba</t>
  </si>
  <si>
    <t>03d4cb80-744b-11ed-9052-2ddfed7ecdba</t>
  </si>
  <si>
    <t>107d4f00-7465-11ed-9052-2ddfed7ecdba</t>
  </si>
  <si>
    <t>e3656770-7476-11ed-9052-2ddfed7ecdba</t>
  </si>
  <si>
    <t>14c2bd10-6d63-11ed-8daa-7da0f9891774</t>
  </si>
  <si>
    <t>539daf30-6d69-11ed-8daa-7da0f9891774</t>
  </si>
  <si>
    <t>68299000-6d7c-11ed-8daa-7da0f9891774</t>
  </si>
  <si>
    <t>e881afb0-6d83-11ed-8daa-7da0f9891774</t>
  </si>
  <si>
    <t>fdd0ec10-6d8c-11ed-8daa-7da0f9891774</t>
  </si>
  <si>
    <t>7a7e72f0-6d97-11ed-8daa-7da0f9891774</t>
  </si>
  <si>
    <t>2e74ced0-6da2-11ed-8daa-7da0f9891774</t>
  </si>
  <si>
    <t>0c341b10-6dab-11ed-8daa-7da0f9891774</t>
  </si>
  <si>
    <t>164e69b0-6db1-11ed-8daa-7da0f9891774</t>
  </si>
  <si>
    <t>af400fc0-6db6-11ed-8daa-7da0f9891774</t>
  </si>
  <si>
    <t>b757f750-6dbf-11ed-8daa-7da0f9891774</t>
  </si>
  <si>
    <t>e8d160a0-6e23-11ed-997d-aff29156bc06</t>
  </si>
  <si>
    <t>62c3f0c0-6e2f-11ed-997d-aff29156bc06</t>
  </si>
  <si>
    <t>97c80c40-6e37-11ed-997d-aff29156bc06</t>
  </si>
  <si>
    <t>8816a3d0-6e44-11ed-a097-63877b79060f</t>
  </si>
  <si>
    <t>ba1128d0-6e4c-11ed-a097-63877b79060f</t>
  </si>
  <si>
    <t>b240d3c0-6e52-11ed-a097-63877b79060f</t>
  </si>
  <si>
    <t>f493fcb0-6e58-11ed-a097-63877b79060f</t>
  </si>
  <si>
    <t>5465f570-6e5f-11ed-a097-63877b79060f</t>
  </si>
  <si>
    <t>8303c570-6e68-11ed-a097-63877b79060f</t>
  </si>
  <si>
    <t>43d65010-6e6e-11ed-a097-63877b79060f</t>
  </si>
  <si>
    <t>061ee370-6e75-11ed-a097-63877b79060f</t>
  </si>
  <si>
    <t>16622cd0-6e82-11ed-a097-63877b79060f</t>
  </si>
  <si>
    <t>13923530-6e88-11ed-a097-63877b79060f</t>
  </si>
  <si>
    <t>d5921c40-6e8d-11ed-a097-63877b79060f</t>
  </si>
  <si>
    <t>6808d600-6e97-11ed-a097-63877b79060f</t>
  </si>
  <si>
    <t>3dd92960-6eed-11ed-a6d2-df4e66a3e44c</t>
  </si>
  <si>
    <t>8ca9efe0-6efa-11ed-a6d2-df4e66a3e44c</t>
  </si>
  <si>
    <t>ba0afd50-6f07-11ed-a6d2-df4e66a3e44c</t>
  </si>
  <si>
    <t>7cd3e440-6f0e-11ed-a6d2-df4e66a3e44c</t>
  </si>
  <si>
    <t>61382e80-6f1d-11ed-a6d2-df4e66a3e44c</t>
  </si>
  <si>
    <t>6c37a5a0-6f26-11ed-a6d2-df4e66a3e44c</t>
  </si>
  <si>
    <t>2cf8a410-6f2c-11ed-a6d2-df4e66a3e44c</t>
  </si>
  <si>
    <t>3f508450-6f33-11ed-a6d2-df4e66a3e44c</t>
  </si>
  <si>
    <t>a35b1550-6f47-11ed-888d-6501192a8ef8</t>
  </si>
  <si>
    <t>74e7ab80-6f50-11ed-888d-6501192a8ef8</t>
  </si>
  <si>
    <t>9b5430d0-6f56-11ed-888d-6501192a8ef8</t>
  </si>
  <si>
    <t>b1fa2390-6f5f-11ed-888d-6501192a8ef8</t>
  </si>
  <si>
    <t>b7b47700-6fb3-11ed-9c37-0350cf1679b5</t>
  </si>
  <si>
    <t>14f5bd50-6fbb-11ed-9c37-0350cf1679b5</t>
  </si>
  <si>
    <t>e0ef9df0-6fbf-11ed-9c37-0350cf1679b5</t>
  </si>
  <si>
    <t>77897480-6fc9-11ed-9c37-0350cf1679b5</t>
  </si>
  <si>
    <t>2de72c10-6fd7-11ed-9c37-0350cf1679b5</t>
  </si>
  <si>
    <t>3edf4020-6fdc-11ed-9c37-0350cf1679b5</t>
  </si>
  <si>
    <t>8be76de0-6fe4-11ed-9c37-0350cf1679b5</t>
  </si>
  <si>
    <t>38336ce0-6fed-11ed-9c37-0350cf1679b5</t>
  </si>
  <si>
    <t>deebf630-6ff5-11ed-9c37-0350cf1679b5</t>
  </si>
  <si>
    <t>9282f0d0-6ffc-11ed-9c37-0350cf1679b5</t>
  </si>
  <si>
    <t>fd7e53b0-7007-11ed-9c37-0350cf1679b5</t>
  </si>
  <si>
    <t>68caeb30-7010-11ed-9c37-0350cf1679b5</t>
  </si>
  <si>
    <t>8a91aed0-7019-11ed-9c37-0350cf1679b5</t>
  </si>
  <si>
    <t>faf7d7d0-7073-11ed-b500-55539bf2db67</t>
  </si>
  <si>
    <t>7cb85590-7085-11ed-b500-55539bf2db67</t>
  </si>
  <si>
    <t>a049ee20-708e-11ed-b500-55539bf2db67</t>
  </si>
  <si>
    <t>9ece1f60-7095-11ed-b500-55539bf2db67</t>
  </si>
  <si>
    <t>c8936fd0-709f-11ed-b500-55539bf2db67</t>
  </si>
  <si>
    <t>b3a88040-70a6-11ed-b500-55539bf2db67</t>
  </si>
  <si>
    <t>1dbfc180-70ae-11ed-b500-55539bf2db67</t>
  </si>
  <si>
    <t>96ea4380-70b5-11ed-b500-55539bf2db67</t>
  </si>
  <si>
    <t>0e6cccc0-70bb-11ed-b500-55539bf2db67</t>
  </si>
  <si>
    <t>922535d0-70bf-11ed-b500-55539bf2db67</t>
  </si>
  <si>
    <t>8c9b1220-70c3-11ed-b500-55539bf2db67</t>
  </si>
  <si>
    <t>63dcd3a0-70c8-11ed-b500-55539bf2db67</t>
  </si>
  <si>
    <t>d8ed3980-70cf-11ed-b500-55539bf2db67</t>
  </si>
  <si>
    <t>e9c420a0-713a-11ed-93d4-2fe82357f0b6</t>
  </si>
  <si>
    <t>1d3d24c0-7142-11ed-93d4-2fe82357f0b6</t>
  </si>
  <si>
    <t>36f778e0-714a-11ed-93d4-2fe82357f0b6</t>
  </si>
  <si>
    <t>edf06330-7150-11ed-93d4-2fe82357f0b6</t>
  </si>
  <si>
    <t>3981ebf0-7158-11ed-93d4-2fe82357f0b6</t>
  </si>
  <si>
    <t>b7e39d60-7160-11ed-93d4-2fe82357f0b6</t>
  </si>
  <si>
    <t>bf07fd30-7169-11ed-93d4-2fe82357f0b6</t>
  </si>
  <si>
    <t>fbb137b0-716e-11ed-93d4-2fe82357f0b6</t>
  </si>
  <si>
    <t>a05041c0-7175-11ed-93d4-2fe82357f0b6</t>
  </si>
  <si>
    <t>f96124d0-717c-11ed-93d4-2fe82357f0b6</t>
  </si>
  <si>
    <t>a72c6640-7184-11ed-93d4-2fe82357f0b6</t>
  </si>
  <si>
    <t>5fd85e20-7193-11ed-93d4-2fe82357f0b6</t>
  </si>
  <si>
    <t>5ec85410-719b-11ed-93d4-2fe82357f0b6</t>
  </si>
  <si>
    <t>ca055b30-71a3-11ed-93d4-2fe82357f0b6</t>
  </si>
  <si>
    <t>8168b200-71a8-11ed-93d4-2fe82357f0b6</t>
  </si>
  <si>
    <t>81382eb0-7201-11ed-a72f-9f2759847b99</t>
  </si>
  <si>
    <t>570ce0c0-7208-11ed-a72f-9f2759847b99</t>
  </si>
  <si>
    <t>26342c30-7210-11ed-a72f-9f2759847b99</t>
  </si>
  <si>
    <t>b9168af0-7217-11ed-a72f-9f2759847b99</t>
  </si>
  <si>
    <t>245da430-7220-11ed-a72f-9f2759847b99</t>
  </si>
  <si>
    <t>22542980-7229-11ed-a72f-9f2759847b99</t>
  </si>
  <si>
    <t>e28eeeb0-7233-11ed-a72f-9f2759847b99</t>
  </si>
  <si>
    <t>32311320-723a-11ed-a72f-9f2759847b99</t>
  </si>
  <si>
    <t>8de6cce0-7240-11ed-a72f-9f2759847b99</t>
  </si>
  <si>
    <t>a2e96880-724c-11ed-a72f-9f2759847b99</t>
  </si>
  <si>
    <t>579990c0-7252-11ed-a72f-9f2759847b99</t>
  </si>
  <si>
    <t>df464900-7257-11ed-a72f-9f2759847b99</t>
  </si>
  <si>
    <t>cb27edb0-725d-11ed-a72f-9f2759847b99</t>
  </si>
  <si>
    <t>a9e824a0-7265-11ed-a72f-9f2759847b99</t>
  </si>
  <si>
    <t>0b6cb9f0-726d-11ed-a72f-9f2759847b99</t>
  </si>
  <si>
    <t>553f69c0-7276-11ed-a72f-9f2759847b99</t>
  </si>
  <si>
    <t>472128a0-727c-11ed-a72f-9f2759847b99</t>
  </si>
  <si>
    <t>bc636060-72e5-11ed-b0bb-a5699da5fc27</t>
  </si>
  <si>
    <t>d189f430-72f0-11ed-b0bb-a5699da5fc27</t>
  </si>
  <si>
    <t>e69725e0-72f6-11ed-b0bb-a5699da5fc27</t>
  </si>
  <si>
    <t>21cbd6e0-72fe-11ed-b0bb-a5699da5fc27</t>
  </si>
  <si>
    <t>f1c47c10-7305-11ed-b0bb-a5699da5fc27</t>
  </si>
  <si>
    <t>6300f690-730d-11ed-b0bb-a5699da5fc27</t>
  </si>
  <si>
    <t>4f0c3bf0-7316-11ed-b0bb-a5699da5fc27</t>
  </si>
  <si>
    <t>ef8264f0-73ad-11ed-a615-497e80830061</t>
  </si>
  <si>
    <t>0d681670-73ba-11ed-a615-497e80830061</t>
  </si>
  <si>
    <t>20d32550-73ca-11ed-a615-497e80830061</t>
  </si>
  <si>
    <t>fdb4bbc0-73d2-11ed-a615-497e80830061</t>
  </si>
  <si>
    <t>6cbec4e0-73e5-11ed-a615-497e80830061</t>
  </si>
  <si>
    <t>9efcf8e0-7409-11ed-a615-497e80830061</t>
  </si>
  <si>
    <t>26ac9f70-74a0-11ed-8731-a5d498338d20</t>
  </si>
  <si>
    <t>83baebb0-74a3-11ed-8731-a5d498338d20</t>
  </si>
  <si>
    <t>f22d0950-74af-11ed-8731-a5d498338d20</t>
  </si>
  <si>
    <t>85c6b4b0-74b8-11ed-8731-a5d498338d20</t>
  </si>
  <si>
    <t>e6ea6550-74bf-11ed-8731-a5d498338d20</t>
  </si>
  <si>
    <t>6a3534f0-74c3-11ed-8731-a5d498338d20</t>
  </si>
  <si>
    <t>0a855210-74dc-11ed-8731-a5d498338d20</t>
  </si>
  <si>
    <t>ca7bad80-74e1-11ed-8731-a5d498338d20</t>
  </si>
  <si>
    <t>03049020-7480-11ed-ad7f-155559e7ecc7</t>
  </si>
  <si>
    <t>86cd5340-748c-11ed-ad7f-155559e7ecc7</t>
  </si>
  <si>
    <t>0ccbf210-74ad-11ed-99c4-15af4016f55b</t>
  </si>
  <si>
    <t>28163630-74cf-11ed-b9d9-f3ff0369140a</t>
  </si>
  <si>
    <t>66c774b0-74df-11ed-b9d9-f3ff0369140a</t>
  </si>
  <si>
    <t>6a2b4910-74f3-11ed-b9d9-f3ff0369140a</t>
  </si>
  <si>
    <t>56930650-74fc-11ed-b9d9-f3ff0369140a</t>
  </si>
  <si>
    <t>6fae98b0-7520-11ed-b9d9-f3ff0369140a</t>
  </si>
  <si>
    <t>feabf510-7527-11ed-b9d9-f3ff0369140a</t>
  </si>
  <si>
    <t>1e445fa0-7534-11ed-b9d9-f3ff0369140a</t>
  </si>
  <si>
    <t>6efda950-754e-11ed-8db7-05deb036e229</t>
  </si>
  <si>
    <t>265d92d0-7555-11ed-a635-b11cf7e38a16</t>
  </si>
  <si>
    <t>c1eec2f0-755a-11ed-b4aa-07294548060e</t>
  </si>
  <si>
    <t>da38d020-7560-11ed-ab99-4b021ded69d8</t>
  </si>
  <si>
    <t>bb6b3f90-7568-11ed-82b8-e5a3bd3c4a69</t>
  </si>
  <si>
    <t>71478bc0-756e-11ed-82b8-e5a3bd3c4a69</t>
  </si>
  <si>
    <t>f9729ef0-7577-11ed-82b8-e5a3bd3c4a69</t>
  </si>
  <si>
    <t>a5020350-7541-11ed-989e-a5ffa3b476bd</t>
  </si>
  <si>
    <t>b23a8940-7544-11ed-989e-a5ffa3b476bd</t>
  </si>
  <si>
    <t>1bdc75a0-755b-11ed-989e-a5ffa3b476bd</t>
  </si>
  <si>
    <t>9c8ffac0-756d-11ed-989e-a5ffa3b476bd</t>
  </si>
  <si>
    <t>567b7120-7574-11ed-989e-a5ffa3b476bd</t>
  </si>
  <si>
    <t>a2995b60-757b-11ed-989e-a5ffa3b476bd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</si>
</sst>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/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3" borderId="1" xfId="0" applyFill="1" applyBorder="1"/>
    <xf numFmtId="0" fontId="0" fillId="0" borderId="1" xfId="0" applyBorder="1"/>
    <xf numFmtId="10" fontId="0" fillId="0" borderId="0" xfId="0" applyNumberFormat="1"/>
    <xf numFmtId="0" fontId="1" fillId="0" borderId="2" xfId="0" applyFont="1" applyBorder="1"/>
    <xf numFmtId="0" fontId="1" fillId="0" borderId="5" xfId="0" applyFont="1" applyBorder="1"/>
    <xf numFmtId="2" fontId="1" fillId="0" borderId="6" xfId="0" applyNumberFormat="1" applyFont="1" applyBorder="1"/>
    <xf numFmtId="1" fontId="0" fillId="0" borderId="0" xfId="0" applyNumberFormat="1"/>
    <xf numFmtId="0" fontId="2" fillId="2" borderId="7" xfId="0" applyFont="1" applyFill="1" applyBorder="1"/>
    <xf numFmtId="10" fontId="2" fillId="2" borderId="7" xfId="0" applyNumberFormat="1" applyFont="1" applyFill="1" applyBorder="1"/>
    <xf numFmtId="0" fontId="0" fillId="0" borderId="8" xfId="0" applyBorder="1"/>
    <xf numFmtId="0" fontId="0" fillId="3" borderId="8" xfId="0" applyFill="1" applyBorder="1"/>
    <xf numFmtId="10" fontId="0" fillId="0" borderId="1" xfId="0" applyNumberFormat="1" applyBorder="1"/>
    <xf numFmtId="10" fontId="0" fillId="0" borderId="8" xfId="0" applyNumberFormat="1" applyBorder="1"/>
    <xf numFmtId="10" fontId="0" fillId="3" borderId="1" xfId="0" applyNumberFormat="1" applyFill="1" applyBorder="1"/>
    <xf numFmtId="10" fontId="0" fillId="3" borderId="8" xfId="0" applyNumberFormat="1" applyFill="1" applyBorder="1"/>
    <xf numFmtId="10" fontId="0" fillId="4" borderId="0" xfId="0" applyNumberFormat="1" applyFill="1"/>
    <xf numFmtId="0" fontId="0" fillId="0" borderId="9" xfId="0" applyBorder="1"/>
    <xf numFmtId="0" fontId="0" fillId="0" borderId="10" xfId="0" applyBorder="1"/>
    <xf numFmtId="0" fontId="2" fillId="2" borderId="11" xfId="0" applyFont="1" applyFill="1" applyBorder="1"/>
    <xf numFmtId="0" fontId="0" fillId="0" borderId="12" xfId="0" applyBorder="1"/>
    <xf numFmtId="0" fontId="0" fillId="0" borderId="13" xfId="0" applyBorder="1"/>
    <xf numFmtId="0" fontId="0" fillId="3" borderId="12" xfId="0" applyFill="1" applyBorder="1"/>
    <xf numFmtId="0" fontId="0" fillId="3" borderId="13" xfId="0" applyFill="1" applyBorder="1"/>
    <xf numFmtId="0" fontId="0" fillId="0" borderId="14" xfId="0" applyBorder="1"/>
    <xf numFmtId="0" fontId="0" fillId="0" borderId="15" xfId="0" applyBorder="1"/>
    <xf numFmtId="10" fontId="0" fillId="0" borderId="15" xfId="0" applyNumberFormat="1" applyBorder="1"/>
    <xf numFmtId="0" fontId="0" fillId="0" borderId="16" xfId="0" applyBorder="1"/>
    <xf numFmtId="0" fontId="0" fillId="0" borderId="6" xfId="0" applyBorder="1"/>
    <xf numFmtId="0" fontId="1" fillId="0" borderId="0" xfId="0" applyFont="1"/>
    <xf numFmtId="1" fontId="1" fillId="0" borderId="4" xfId="0" applyNumberFormat="1" applyFont="1" applyBorder="1"/>
    <xf numFmtId="1" fontId="1" fillId="0" borderId="6" xfId="0" applyNumberFormat="1" applyFont="1" applyBorder="1"/>
    <xf numFmtId="0" fontId="2" fillId="2" borderId="1" xfId="0" applyFont="1" applyFill="1" applyBorder="1"/>
    <xf numFmtId="2" fontId="0" fillId="0" borderId="0" xfId="0" applyNumberFormat="1"/>
    <xf numFmtId="0" fontId="2" fillId="2" borderId="0" xfId="0" applyFont="1" applyFill="1"/>
    <xf numFmtId="10" fontId="1" fillId="0" borderId="0" xfId="0" applyNumberFormat="1" applyFont="1"/>
    <xf numFmtId="11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18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/>
        <charset val="204"/>
      </font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cenario0" displayName="Scenario0" ref="A1:AJ211" totalsRowShown="0">
  <autoFilter ref="A1:AJ211" xr:uid="{00000000-0009-0000-0100-000001000000}"/>
  <tableColumns count="36">
    <tableColumn id="1" xr3:uid="{00000000-0010-0000-0000-000001000000}" name="battle" dataDxfId="1814"/>
    <tableColumn id="2" xr3:uid="{EC22C882-CCA9-4A5D-A1B2-DC7B6299BB2E}" name="setup"/>
    <tableColumn id="3" xr3:uid="{00000000-0010-0000-0000-000003000000}" name="winner1"/>
    <tableColumn id="4" xr3:uid="{00000000-0010-0000-0000-000004000000}" name="winner1-pw"/>
    <tableColumn id="5" xr3:uid="{00000000-0010-0000-0000-000005000000}" name="winner1-sw"/>
    <tableColumn id="6" xr3:uid="{00000000-0010-0000-0000-000006000000}" name="winner1-cp"/>
    <tableColumn id="7" xr3:uid="{00000000-0010-0000-0000-000007000000}" name="winner1-ability1"/>
    <tableColumn id="8" xr3:uid="{00000000-0010-0000-0000-000008000000}" name="winner1-ability2"/>
    <tableColumn id="9" xr3:uid="{00000000-0010-0000-0000-000009000000}" name="winner1-ability3"/>
    <tableColumn id="10" xr3:uid="{00000000-0010-0000-0000-00000A000000}" name="winner1-ability4"/>
    <tableColumn id="11" xr3:uid="{00000000-0010-0000-0000-00000B000000}" name="winner2"/>
    <tableColumn id="12" xr3:uid="{00000000-0010-0000-0000-00000C000000}" name="winner2-pw"/>
    <tableColumn id="13" xr3:uid="{00000000-0010-0000-0000-00000D000000}" name="winner2-sw"/>
    <tableColumn id="14" xr3:uid="{00000000-0010-0000-0000-00000E000000}" name="winner2-cp"/>
    <tableColumn id="15" xr3:uid="{00000000-0010-0000-0000-00000F000000}" name="winner2-ability1"/>
    <tableColumn id="16" xr3:uid="{00000000-0010-0000-0000-000010000000}" name="winner2-ability2"/>
    <tableColumn id="17" xr3:uid="{00000000-0010-0000-0000-000011000000}" name="winner2-ability3"/>
    <tableColumn id="18" xr3:uid="{00000000-0010-0000-0000-000012000000}" name="winner2-ability4"/>
    <tableColumn id="19" xr3:uid="{00000000-0010-0000-0000-000013000000}" name="loser1"/>
    <tableColumn id="20" xr3:uid="{00000000-0010-0000-0000-000014000000}" name="loser1-pw"/>
    <tableColumn id="21" xr3:uid="{00000000-0010-0000-0000-000015000000}" name="loser1-sw"/>
    <tableColumn id="22" xr3:uid="{00000000-0010-0000-0000-000016000000}" name="loser1-cp"/>
    <tableColumn id="23" xr3:uid="{00000000-0010-0000-0000-000017000000}" name="loser1-ability1"/>
    <tableColumn id="24" xr3:uid="{00000000-0010-0000-0000-000018000000}" name="loser1-ability2"/>
    <tableColumn id="25" xr3:uid="{00000000-0010-0000-0000-000019000000}" name="loser1-ability3"/>
    <tableColumn id="26" xr3:uid="{00000000-0010-0000-0000-00001A000000}" name="loser1-ability4"/>
    <tableColumn id="27" xr3:uid="{00000000-0010-0000-0000-00001B000000}" name="loser2"/>
    <tableColumn id="28" xr3:uid="{00000000-0010-0000-0000-00001C000000}" name="loser2-pw"/>
    <tableColumn id="29" xr3:uid="{00000000-0010-0000-0000-00001D000000}" name="loser2-sw"/>
    <tableColumn id="30" xr3:uid="{00000000-0010-0000-0000-00001E000000}" name="loser2-cp"/>
    <tableColumn id="31" xr3:uid="{00000000-0010-0000-0000-00001F000000}" name="loser2-ability1"/>
    <tableColumn id="32" xr3:uid="{00000000-0010-0000-0000-000020000000}" name="loser2-ability2"/>
    <tableColumn id="33" xr3:uid="{00000000-0010-0000-0000-000021000000}" name="loser2-ability3"/>
    <tableColumn id="34" xr3:uid="{00000000-0010-0000-0000-000022000000}" name="loser2-ability4"/>
    <tableColumn id="35" xr3:uid="{00000000-0010-0000-0000-000023000000}" name="crystals"/>
    <tableColumn id="36" xr3:uid="{E1119BD8-51D7-48B0-8C81-27D4F50C3BB6}" name="turn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A37D882-915B-4F32-966C-A3240A4949F4}" name="Scenario3" displayName="Scenario3" ref="A1:AB57" totalsRowShown="0">
  <autoFilter ref="A1:AB57" xr:uid="{00000000-0009-0000-0100-000001000000}"/>
  <tableColumns count="28">
    <tableColumn id="1" xr3:uid="{BC50D7B9-B62B-437D-84CB-40D98C013997}" name="battle" dataDxfId="1791"/>
    <tableColumn id="2" xr3:uid="{E037AE3E-4C61-466A-9A35-E12638F198D4}" name="setup"/>
    <tableColumn id="3" xr3:uid="{F703D474-C155-46B5-BEA3-37709EA1DE37}" name="winner1"/>
    <tableColumn id="4" xr3:uid="{58E3129B-84D9-4084-9A1C-10FDFE543A00}" name="winner1-pw"/>
    <tableColumn id="5" xr3:uid="{3736152E-4745-4498-832E-068532DB5BF8}" name="winner1-sw"/>
    <tableColumn id="6" xr3:uid="{AC5030AE-4C17-4EBE-92C1-C1A0AC2F395B}" name="winner1-cp"/>
    <tableColumn id="7" xr3:uid="{E2EF6021-804F-44B6-9ABA-3C73776883B4}" name="winner1-ability1"/>
    <tableColumn id="8" xr3:uid="{6C80C8A4-AA04-4C5B-95EC-C01CC24D6BD5}" name="winner1-ability2"/>
    <tableColumn id="9" xr3:uid="{AB7863CD-0DEF-42AF-BA9E-781C8BA398E1}" name="winner1-ability3"/>
    <tableColumn id="10" xr3:uid="{15D6AE7E-C1E9-4B94-94A5-4965349B9FCC}" name="winner1-ability4"/>
    <tableColumn id="19" xr3:uid="{14A0237C-AE94-45A8-93F1-6CE7380EA986}" name="loser1"/>
    <tableColumn id="20" xr3:uid="{496AC580-593F-4AFB-8379-D72543465E8D}" name="loser1-pw"/>
    <tableColumn id="21" xr3:uid="{FA3FA11F-19F9-4D39-8343-3EA5D1742E1B}" name="loser1-sw"/>
    <tableColumn id="22" xr3:uid="{D93E56D4-1118-4B99-81A4-E51C4C34DFDC}" name="loser1-cp"/>
    <tableColumn id="23" xr3:uid="{6E972574-5EBF-4C05-9EF8-1E47000ED6F5}" name="loser1-ability1"/>
    <tableColumn id="24" xr3:uid="{26D05EDA-FE40-477D-BB18-98E978C3BC92}" name="loser1-ability2"/>
    <tableColumn id="25" xr3:uid="{BCDAE0F4-C1A1-45BB-BB8A-DD08C6D9209D}" name="loser1-ability3"/>
    <tableColumn id="26" xr3:uid="{6E05F10F-B38B-4E1E-80B4-93A104E01B69}" name="loser1-ability4"/>
    <tableColumn id="18" xr3:uid="{7126E4CB-D471-4658-8015-4F2D3D952001}" name="loser2"/>
    <tableColumn id="17" xr3:uid="{40C4D6CE-B7F8-4F2B-8A08-67820E46985B}" name="loser2-pw"/>
    <tableColumn id="16" xr3:uid="{0A1579CC-8D92-492A-8F57-5BA8D67FCD19}" name="loser2-sw"/>
    <tableColumn id="15" xr3:uid="{9DBD5E9B-FC71-410F-9A02-35E8820D225F}" name="loser2-cp"/>
    <tableColumn id="14" xr3:uid="{9B0D481E-A94F-4BE4-95D3-93011AE230AD}" name="loser2-ability1"/>
    <tableColumn id="13" xr3:uid="{DF34DCA1-3405-471A-A342-9A7F3CB6106B}" name="loser2-ability2"/>
    <tableColumn id="12" xr3:uid="{FEE2EAA5-EABB-4FD5-8F94-E8C810EE6C56}" name="loser2-ability3"/>
    <tableColumn id="11" xr3:uid="{55C98754-E847-4AC4-918C-A0D962F80667}" name="loser2-ability4"/>
    <tableColumn id="35" xr3:uid="{3EB9EA77-711A-4791-B698-3D7D2412C023}" name="crystals"/>
    <tableColumn id="36" xr3:uid="{62FB488E-8952-4C9F-83C3-F5E6AA849A0D}" name="turns"/>
  </tableColumns>
  <tableStyleInfo name="TableStyleMedium2" showFirstColumn="0" showLastColumn="0" showRowStripes="1" showColumnStripes="0"/>
</table>
</file>

<file path=xl/tables/table1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0" xr:uid="{9C438AE7-1237-4D7E-A8FB-E4C2CD188770}" name="DruidAbilities4Scenario0" displayName="DruidAbilities4Scenario0" ref="K17:O20" totalsRowShown="0" headerRowDxfId="1277" headerRowBorderDxfId="1276" tableBorderDxfId="1275" totalsRowBorderDxfId="1274">
  <autoFilter ref="K17:O20" xr:uid="{01E0B516-A92C-45D4-946B-0FCF2F31D98A}"/>
  <tableColumns count="5">
    <tableColumn id="1" xr3:uid="{F1A34086-91B1-448A-A581-8C7A371A6B38}" name="ability" dataDxfId="1273"/>
    <tableColumn id="2" xr3:uid="{1CA216CA-0230-4993-9DF5-190FC3A6530D}" name="takes" dataDxfId="1272">
      <calculatedColumnFormula>COUNTIF(Scenario0[winner1-ability4],DruidAbilities4Scenario0[[#This Row],[ability]])+COUNTIF(Scenario0[winner2-ability4],DruidAbilities4Scenario0[[#This Row],[ability]])+COUNTIF(Scenario0[loser1-ability4],DruidAbilities4Scenario0[[#This Row],[ability]])+COUNTIF(Scenario0[loser2-ability4],DruidAbilities4Scenario0[[#This Row],[ability]])</calculatedColumnFormula>
    </tableColumn>
    <tableColumn id="3" xr3:uid="{3FE68981-4182-44F2-B379-18A22F892EA1}" name="wins" dataDxfId="1271">
      <calculatedColumnFormula>COUNTIF(Scenario0[winner1-ability4],DruidAbilities4Scenario0[[#This Row],[ability]])+COUNTIF(Scenario0[winner2-ability4],DruidAbilities4Scenario0[[#This Row],[ability]])</calculatedColumnFormula>
    </tableColumn>
    <tableColumn id="4" xr3:uid="{DE3B5744-304C-4D30-8262-6220F69226C8}" name="battles-take-rate" dataDxfId="1270">
      <calculatedColumnFormula>IF(SUM(DruidAbilities4Scenario0[[#This Row],[takes]]) &gt; 0,DruidAbilities4Scenario0[[#This Row],[takes]]/SUM(DruidAbilities4Scenario0[takes]),0)</calculatedColumnFormula>
    </tableColumn>
    <tableColumn id="5" xr3:uid="{F8133BE8-9677-4172-9CE4-1A01B1A5F7B8}" name="take-win-rate" dataDxfId="1269">
      <calculatedColumnFormula>IF(DruidAbilities4Scenario0[[#This Row],[takes]]&gt;0,DruidAbilities4Scenario0[[#This Row],[wins]]/DruidAbilities4Scenario0[[#This Row],[takes]],0)</calculatedColumnFormula>
    </tableColumn>
  </tableColumns>
  <tableStyleInfo name="TableStyleMedium2" showFirstColumn="0" showLastColumn="0" showRowStripes="1" showColumnStripes="0"/>
</table>
</file>

<file path=xl/tables/table1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1" xr:uid="{10D15A51-86BE-4845-A63E-4FCF51B034D2}" name="DruidEquipScenario0" displayName="DruidEquipScenario0" ref="Q2:S5" totalsRowShown="0">
  <autoFilter ref="Q2:S5" xr:uid="{E84D91C4-DFF3-43B9-932F-3FEFFBEA9FF1}"/>
  <tableColumns count="3">
    <tableColumn id="1" xr3:uid="{1F6D937D-F7B5-4BEB-942A-52C533D9BD42}" name="level"/>
    <tableColumn id="2" xr3:uid="{DF36CC27-76C5-4288-AFB9-8A7D0BDE79EA}" name="staff" dataDxfId="1268">
      <calculatedColumnFormula>COUNTIFS(Scenario0[winner1],"druid",Scenario0[winner1-pw],DruidEquipScenario0[[#This Row],[level]])+COUNTIFS(Scenario0[winner2],"druid",Scenario0[winner2-pw],DruidEquipScenario0[[#This Row],[level]])+COUNTIFS(Scenario0[loser1],"druid",Scenario0[loser1-pw],DruidEquipScenario0[[#This Row],[level]])+COUNTIFS(Scenario0[loser2],"druid",Scenario0[loser2-pw],DruidEquipScenario0[[#This Row],[level]])</calculatedColumnFormula>
    </tableColumn>
    <tableColumn id="4" xr3:uid="{7AA12247-C283-4AC1-A9D3-AB30173ABE9A}" name="chestpiece" dataDxfId="1267">
      <calculatedColumnFormula>COUNTIFS(Scenario0[winner1],"druid",Scenario0[winner1-cp],DruidEquipScenario0[[#This Row],[level]])+COUNTIFS(Scenario0[winner2],"druid",Scenario0[winner2-cp],DruidEquipScenario0[[#This Row],[level]])+COUNTIFS(Scenario0[loser1],"druid",Scenario0[loser1-cp],DruidEquipScenario0[[#This Row],[level]])+COUNTIFS(Scenario0[loser2],"druid",Scenario0[loser2-cp],DruidEquipScenario0[[#This Row],[level]])</calculatedColumnFormula>
    </tableColumn>
  </tableColumns>
  <tableStyleInfo name="TableStyleMedium2" showFirstColumn="0" showLastColumn="0" showRowStripes="1" showColumnStripes="0"/>
</table>
</file>

<file path=xl/tables/table1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2" xr:uid="{BCEC32CA-F677-463E-93B7-5C34289E1030}" name="DruidAbilities1Scenario1" displayName="DruidAbilities1Scenario1" ref="K23:O26" totalsRowShown="0">
  <autoFilter ref="K23:O26" xr:uid="{A0A97CA7-01BF-4D92-A7D1-F51028CD7758}"/>
  <tableColumns count="5">
    <tableColumn id="2" xr3:uid="{B1AA029D-7544-465D-A3DA-C0AF99FE7FFE}" name="ability"/>
    <tableColumn id="6" xr3:uid="{4B9D742A-9430-4484-8932-F8E3D527A2FE}" name="takes" dataDxfId="1266">
      <calculatedColumnFormula>COUNTIF(Scenario1[winner1-ability1],DruidAbilities1Scenario1[[#This Row],[ability]])+COUNTIF(Scenario1[winner2-ability1],DruidAbilities1Scenario1[[#This Row],[ability]])+COUNTIF(Scenario1[loser1-ability1],DruidAbilities1Scenario1[[#This Row],[ability]])+COUNTIF(Scenario1[loser2-ability1],DruidAbilities1Scenario1[[#This Row],[ability]])</calculatedColumnFormula>
    </tableColumn>
    <tableColumn id="4" xr3:uid="{AF51F963-1418-45B1-B496-287C1FF17C47}" name="wins" dataDxfId="1265">
      <calculatedColumnFormula>COUNTIF(Scenario1[winner1-ability1],DruidAbilities1Scenario1[[#This Row],[ability]])+COUNTIF(Scenario1[winner2-ability1],DruidAbilities1Scenario1[[#This Row],[ability]])</calculatedColumnFormula>
    </tableColumn>
    <tableColumn id="5" xr3:uid="{5D1CC046-EE60-414F-BBC0-327C5A60C051}" name="battles-take-rate" dataDxfId="1264">
      <calculatedColumnFormula>IF(SUM(DruidAbilities1Scenario1[[#This Row],[takes]]) &gt; 0,DruidAbilities1Scenario1[[#This Row],[takes]]/SUM(DruidAbilities1Scenario1[takes]),0)</calculatedColumnFormula>
    </tableColumn>
    <tableColumn id="7" xr3:uid="{CAC312C4-9496-419E-9E08-13834AC19F4A}" name="take-win-rate" dataDxfId="1263">
      <calculatedColumnFormula>IF(DruidAbilities1Scenario1[[#This Row],[takes]]&gt;0,DruidAbilities1Scenario1[[#This Row],[wins]]/DruidAbilities1Scenario1[[#This Row],[takes]],0)</calculatedColumnFormula>
    </tableColumn>
  </tableColumns>
  <tableStyleInfo name="TableStyleMedium2" showFirstColumn="0" showLastColumn="0" showRowStripes="1" showColumnStripes="0"/>
</table>
</file>

<file path=xl/tables/table1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3" xr:uid="{79C1A1C3-E8C4-48E6-9700-2ABC05FA72B6}" name="DruidAbilities2Scenario1" displayName="DruidAbilities2Scenario1" ref="K28:O31" totalsRowShown="0" headerRowDxfId="1262" headerRowBorderDxfId="1261" tableBorderDxfId="1260" totalsRowBorderDxfId="1259">
  <autoFilter ref="K28:O31" xr:uid="{A29CF70A-0B84-46BB-A412-712C2F594795}"/>
  <tableColumns count="5">
    <tableColumn id="1" xr3:uid="{1A559255-6613-44B2-BD57-5F8158C8EE71}" name="ability"/>
    <tableColumn id="2" xr3:uid="{7FD2A0F5-5C1A-4D26-A0A5-DB5B0369B3B3}" name="takes" dataDxfId="1258">
      <calculatedColumnFormula>COUNTIF(Scenario1[winner1-ability2],DruidAbilities2Scenario1[[#This Row],[ability]])+COUNTIF(Scenario1[winner2-ability2],DruidAbilities2Scenario1[[#This Row],[ability]])+COUNTIF(Scenario1[loser1-ability2],DruidAbilities2Scenario1[[#This Row],[ability]])+COUNTIF(Scenario1[loser2-ability2],DruidAbilities2Scenario1[[#This Row],[ability]])</calculatedColumnFormula>
    </tableColumn>
    <tableColumn id="3" xr3:uid="{9BCBE7CF-4BC2-48E6-874F-AE968C5246F1}" name="wins" dataDxfId="1257">
      <calculatedColumnFormula>COUNTIF(Scenario1[winner1-ability2],DruidAbilities2Scenario1[[#This Row],[ability]])+COUNTIF(Scenario1[winner2-ability2],DruidAbilities2Scenario1[[#This Row],[ability]])</calculatedColumnFormula>
    </tableColumn>
    <tableColumn id="4" xr3:uid="{3BD32B80-7820-4DDF-896B-4533BFC0F81C}" name="battles-take-rate" dataDxfId="1256">
      <calculatedColumnFormula>IF(SUM(DruidAbilities2Scenario1[[#This Row],[takes]]) &gt; 0,DruidAbilities2Scenario1[[#This Row],[takes]]/SUM(DruidAbilities2Scenario1[takes]),0)</calculatedColumnFormula>
    </tableColumn>
    <tableColumn id="5" xr3:uid="{17CA25E3-F495-4F09-87A8-921884DC389E}" name="take-win-rate" dataDxfId="1255">
      <calculatedColumnFormula>IF(DruidAbilities2Scenario1[[#This Row],[takes]]&gt;0,DruidAbilities2Scenario1[[#This Row],[wins]]/DruidAbilities2Scenario1[[#This Row],[takes]],0)</calculatedColumnFormula>
    </tableColumn>
  </tableColumns>
  <tableStyleInfo name="TableStyleMedium2" showFirstColumn="0" showLastColumn="0" showRowStripes="1" showColumnStripes="0"/>
</table>
</file>

<file path=xl/tables/table1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4" xr:uid="{E23CC0F0-92EC-41DC-ADB3-7FC2D49CF1A1}" name="DruidAbilities3Scenario1" displayName="DruidAbilities3Scenario1" ref="K33:O36" totalsRowShown="0" headerRowDxfId="1254" headerRowBorderDxfId="1253" tableBorderDxfId="1252" totalsRowBorderDxfId="1251">
  <autoFilter ref="K33:O36" xr:uid="{CBC18F4E-86CD-4BE3-9377-2B862ED3B826}"/>
  <tableColumns count="5">
    <tableColumn id="1" xr3:uid="{40A29338-0F99-4951-B4FB-476ED4DF9AEC}" name="ability"/>
    <tableColumn id="2" xr3:uid="{A7FAD50E-A417-47E5-A56F-9D4AD78558E1}" name="takes" dataDxfId="1250">
      <calculatedColumnFormula>COUNTIF(Scenario1[winner1-ability3],DruidAbilities3Scenario1[[#This Row],[ability]])+COUNTIF(Scenario1[winner2-ability3],DruidAbilities3Scenario1[[#This Row],[ability]])+COUNTIF(Scenario1[loser1-ability3],DruidAbilities3Scenario1[[#This Row],[ability]])+COUNTIF(Scenario1[loser2-ability3],DruidAbilities3Scenario1[[#This Row],[ability]])</calculatedColumnFormula>
    </tableColumn>
    <tableColumn id="3" xr3:uid="{C16DC73D-230C-45D1-BCB8-3D417FEB0C01}" name="wins" dataDxfId="1249">
      <calculatedColumnFormula>COUNTIF(Scenario1[winner1-ability3],DruidAbilities3Scenario1[[#This Row],[ability]])+COUNTIF(Scenario1[winner2-ability3],DruidAbilities3Scenario1[[#This Row],[ability]])</calculatedColumnFormula>
    </tableColumn>
    <tableColumn id="4" xr3:uid="{29A3F1A4-44E4-4885-93DB-61045BDC9368}" name="battles-take-rate" dataDxfId="1248">
      <calculatedColumnFormula>IF(SUM(DruidAbilities3Scenario1[[#This Row],[takes]]) &gt; 0,DruidAbilities3Scenario1[[#This Row],[takes]]/SUM(DruidAbilities3Scenario1[takes]),0)</calculatedColumnFormula>
    </tableColumn>
    <tableColumn id="5" xr3:uid="{CBE6FC3E-1398-4792-9960-05DB2E29A086}" name="take-win-rate" dataDxfId="1247">
      <calculatedColumnFormula>IF(DruidAbilities3Scenario1[[#This Row],[takes]]&gt;0,DruidAbilities3Scenario1[[#This Row],[wins]]/DruidAbilities3Scenario1[[#This Row],[takes]],0)</calculatedColumnFormula>
    </tableColumn>
  </tableColumns>
  <tableStyleInfo name="TableStyleMedium2" showFirstColumn="0" showLastColumn="0" showRowStripes="1" showColumnStripes="0"/>
</table>
</file>

<file path=xl/tables/table1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5" xr:uid="{B0E502D9-A178-4E68-AD47-91A77FF0026D}" name="DruidAbilities4Scenario1" displayName="DruidAbilities4Scenario1" ref="K38:O41" totalsRowShown="0" headerRowDxfId="1246" headerRowBorderDxfId="1245" tableBorderDxfId="1244" totalsRowBorderDxfId="1243">
  <autoFilter ref="K38:O41" xr:uid="{A1F38E75-59DE-4DB4-B81C-C0322397F6F7}"/>
  <tableColumns count="5">
    <tableColumn id="1" xr3:uid="{74357A07-E8F9-4439-8A7D-C51B3289B074}" name="ability" dataDxfId="1242"/>
    <tableColumn id="2" xr3:uid="{2B46AB72-5070-479E-BA92-0EA40B2FAD9A}" name="takes" dataDxfId="1241">
      <calculatedColumnFormula>COUNTIF(Scenario1[winner1-ability4],DruidAbilities4Scenario1[[#This Row],[ability]])+COUNTIF(Scenario1[winner2-ability4],DruidAbilities4Scenario1[[#This Row],[ability]])+COUNTIF(Scenario1[loser1-ability4],DruidAbilities4Scenario1[[#This Row],[ability]])+COUNTIF(Scenario1[loser2-ability4],DruidAbilities4Scenario1[[#This Row],[ability]])</calculatedColumnFormula>
    </tableColumn>
    <tableColumn id="3" xr3:uid="{BC4834DC-D82E-4A73-AD41-DF77BDA0A581}" name="wins" dataDxfId="1240">
      <calculatedColumnFormula>COUNTIF(Scenario1[winner1-ability4],DruidAbilities4Scenario1[[#This Row],[ability]])+COUNTIF(Scenario1[winner2-ability4],DruidAbilities4Scenario1[[#This Row],[ability]])</calculatedColumnFormula>
    </tableColumn>
    <tableColumn id="4" xr3:uid="{415002C4-75F0-46C7-99A9-D681BB21F0B5}" name="battles-take-rate" dataDxfId="1239">
      <calculatedColumnFormula>IF(SUM(DruidAbilities4Scenario1[[#This Row],[takes]]) &gt; 0,DruidAbilities4Scenario1[[#This Row],[takes]]/SUM(DruidAbilities4Scenario1[takes]),0)</calculatedColumnFormula>
    </tableColumn>
    <tableColumn id="5" xr3:uid="{74D4EFF7-5FDB-4060-8CE9-E85223B14F54}" name="take-win-rate" dataDxfId="1238">
      <calculatedColumnFormula>IF(DruidAbilities4Scenario1[[#This Row],[takes]]&gt;0,DruidAbilities4Scenario1[[#This Row],[wins]]/DruidAbilities4Scenario1[[#This Row],[takes]],0)</calculatedColumnFormula>
    </tableColumn>
  </tableColumns>
  <tableStyleInfo name="TableStyleMedium2" showFirstColumn="0" showLastColumn="0" showRowStripes="1" showColumnStripes="0"/>
</table>
</file>

<file path=xl/tables/table1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6" xr:uid="{85F3ACFA-B469-4D94-827A-B74FEF6FD456}" name="DruidEquipScenario1" displayName="DruidEquipScenario1" ref="Q23:S26" totalsRowShown="0">
  <autoFilter ref="Q23:S26" xr:uid="{18EECD25-0AE5-4756-B5E1-492D523A2929}"/>
  <tableColumns count="3">
    <tableColumn id="1" xr3:uid="{D52248FE-CC95-4895-8CF8-5DF27E0221DE}" name="level"/>
    <tableColumn id="2" xr3:uid="{C4058735-8D3E-4A8C-92D4-D10D2A7C9422}" name="staff" dataDxfId="1237">
      <calculatedColumnFormula>COUNTIFS(Scenario1[winner1],"druid",Scenario1[winner1-pw],DruidEquipScenario1[[#This Row],[level]])+COUNTIFS(Scenario1[winner2],"druid",Scenario1[winner2-pw],DruidEquipScenario1[[#This Row],[level]])+COUNTIFS(Scenario1[loser1],"druid",Scenario1[loser1-pw],DruidEquipScenario1[[#This Row],[level]])+COUNTIFS(Scenario1[loser2],"druid",Scenario1[loser2-pw],DruidEquipScenario1[[#This Row],[level]])</calculatedColumnFormula>
    </tableColumn>
    <tableColumn id="4" xr3:uid="{BDECDF88-053E-465B-AC18-4541231D051F}" name="chestpiece" dataDxfId="1236">
      <calculatedColumnFormula>COUNTIFS(Scenario1[winner1],"druid",Scenario1[winner1-cp],DruidEquipScenario1[[#This Row],[level]])+COUNTIFS(Scenario1[winner2],"druid",Scenario1[winner2-cp],DruidEquipScenario1[[#This Row],[level]])+COUNTIFS(Scenario1[loser1],"druid",Scenario1[loser1-cp],DruidEquipScenario1[[#This Row],[level]])+COUNTIFS(Scenario1[loser2],"druid",Scenario1[loser2-cp],DruidEquipScenario1[[#This Row],[level]])</calculatedColumnFormula>
    </tableColumn>
  </tableColumns>
  <tableStyleInfo name="TableStyleMedium2" showFirstColumn="0" showLastColumn="0" showRowStripes="1" showColumnStripes="0"/>
</table>
</file>

<file path=xl/tables/table1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7" xr:uid="{CBE95669-37D6-4B0F-AD60-E21606A477C2}" name="DruidAbilities1Scenario2" displayName="DruidAbilities1Scenario2" ref="K44:O47" totalsRowShown="0">
  <autoFilter ref="K44:O47" xr:uid="{81D76695-EE53-4A07-9351-842AC55F2540}"/>
  <tableColumns count="5">
    <tableColumn id="2" xr3:uid="{2C08616F-4B29-42C2-9FAF-BEDCE1BE6512}" name="ability"/>
    <tableColumn id="6" xr3:uid="{A4E514AE-74ED-4CBD-8BAA-DDBDD93343ED}" name="takes" dataDxfId="1235">
      <calculatedColumnFormula>COUNTIF(Scenario2[winner1-ability1],DruidAbilities1Scenario2[[#This Row],[ability]])+COUNTIF(Scenario2[loser1-ability1],DruidAbilities1Scenario2[[#This Row],[ability]])</calculatedColumnFormula>
    </tableColumn>
    <tableColumn id="4" xr3:uid="{9E406F64-0021-46DF-9A24-710653B29DB1}" name="wins" dataDxfId="1234">
      <calculatedColumnFormula>COUNTIF(Scenario2[winner1-ability1],DruidAbilities1Scenario2[[#This Row],[ability]])</calculatedColumnFormula>
    </tableColumn>
    <tableColumn id="5" xr3:uid="{8E619ED0-484C-4412-A819-C4816A1E0005}" name="battles-take-rate" dataDxfId="1233">
      <calculatedColumnFormula>IF(SUM(DruidAbilities1Scenario2[[#This Row],[takes]]) &gt; 0,DruidAbilities1Scenario2[[#This Row],[takes]]/SUM(DruidAbilities1Scenario2[takes]),0)</calculatedColumnFormula>
    </tableColumn>
    <tableColumn id="7" xr3:uid="{9C917808-F812-41BD-BE7A-1E3FC2991E2A}" name="take-win-rate" dataDxfId="1232">
      <calculatedColumnFormula>IF(DruidAbilities1Scenario2[[#This Row],[takes]]&gt;0,DruidAbilities1Scenario2[[#This Row],[wins]]/DruidAbilities1Scenario2[[#This Row],[takes]],0)</calculatedColumnFormula>
    </tableColumn>
  </tableColumns>
  <tableStyleInfo name="TableStyleMedium2" showFirstColumn="0" showLastColumn="0" showRowStripes="1" showColumnStripes="0"/>
</table>
</file>

<file path=xl/tables/table1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8" xr:uid="{E80D3A66-4530-4787-B90C-530981D21F9F}" name="DruidAbilities2Scenario2" displayName="DruidAbilities2Scenario2" ref="K49:O52" totalsRowShown="0" headerRowDxfId="1231" headerRowBorderDxfId="1230" tableBorderDxfId="1229" totalsRowBorderDxfId="1228">
  <autoFilter ref="K49:O52" xr:uid="{B5828340-8DA1-4B65-ACEB-BDDDED872E64}"/>
  <tableColumns count="5">
    <tableColumn id="1" xr3:uid="{AAFEA2B4-5173-4F9C-A6AB-AAF8F9CB0DC9}" name="ability"/>
    <tableColumn id="2" xr3:uid="{37BF47CF-D5F7-4EEC-BF5D-8D8A7FDCDB71}" name="takes" dataDxfId="1227">
      <calculatedColumnFormula>COUNTIF(Scenario2[winner1-ability2],DruidAbilities2Scenario2[[#This Row],[ability]])+COUNTIF(Scenario2[loser1-ability2],DruidAbilities2Scenario2[[#This Row],[ability]])</calculatedColumnFormula>
    </tableColumn>
    <tableColumn id="3" xr3:uid="{A10AD064-6A51-435F-B148-566D6EC7E1CD}" name="wins" dataDxfId="1226">
      <calculatedColumnFormula>COUNTIF(Scenario2[winner1-ability2],DruidAbilities2Scenario2[[#This Row],[ability]])</calculatedColumnFormula>
    </tableColumn>
    <tableColumn id="4" xr3:uid="{DD2FBF56-CB12-4887-A4B2-BB3C9B0B611A}" name="battles-take-rate" dataDxfId="1225">
      <calculatedColumnFormula>IF(SUM(DruidAbilities2Scenario2[[#This Row],[takes]]) &gt; 0,DruidAbilities2Scenario2[[#This Row],[takes]]/SUM(DruidAbilities2Scenario2[takes]),0)</calculatedColumnFormula>
    </tableColumn>
    <tableColumn id="5" xr3:uid="{0B81485C-0A15-4440-AFC6-41A4C60560D2}" name="take-win-rate" dataDxfId="1224">
      <calculatedColumnFormula>IF(DruidAbilities2Scenario2[[#This Row],[takes]]&gt;0,DruidAbilities2Scenario2[[#This Row],[wins]]/DruidAbilities2Scenario2[[#This Row],[takes]],0)</calculatedColumnFormula>
    </tableColumn>
  </tableColumns>
  <tableStyleInfo name="TableStyleMedium2" showFirstColumn="0" showLastColumn="0" showRowStripes="1" showColumnStripes="0"/>
</table>
</file>

<file path=xl/tables/table1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9" xr:uid="{7BB90E73-629A-493B-9BF4-0BF8EB99C055}" name="DruidAbilities3Scenario2" displayName="DruidAbilities3Scenario2" ref="K54:O57" totalsRowShown="0" headerRowDxfId="1223" headerRowBorderDxfId="1222" tableBorderDxfId="1221" totalsRowBorderDxfId="1220">
  <autoFilter ref="K54:O57" xr:uid="{34ED10E5-B169-4BBA-8F2C-73FF473D0922}"/>
  <tableColumns count="5">
    <tableColumn id="1" xr3:uid="{EFF39CA2-890C-42A9-9155-4219A2407443}" name="ability"/>
    <tableColumn id="2" xr3:uid="{BDCCCB89-81E5-4E90-B565-096C821C3796}" name="takes" dataDxfId="1219">
      <calculatedColumnFormula>COUNTIF(Scenario2[winner1-ability3],DruidAbilities3Scenario2[[#This Row],[ability]])+COUNTIF(Scenario2[loser1-ability3],DruidAbilities3Scenario2[[#This Row],[ability]])</calculatedColumnFormula>
    </tableColumn>
    <tableColumn id="3" xr3:uid="{002B3C7D-EA7B-446F-B715-09FE178F988F}" name="wins" dataDxfId="1218">
      <calculatedColumnFormula>COUNTIF(Scenario2[winner1-ability3],DruidAbilities3Scenario2[[#This Row],[ability]])</calculatedColumnFormula>
    </tableColumn>
    <tableColumn id="4" xr3:uid="{17A59155-4BEE-4B00-A77D-54C7568B711B}" name="battles-take-rate" dataDxfId="1217">
      <calculatedColumnFormula>IF(SUM(DruidAbilities3Scenario2[[#This Row],[takes]]) &gt; 0,DruidAbilities3Scenario2[[#This Row],[takes]]/SUM(DruidAbilities3Scenario2[takes]),0)</calculatedColumnFormula>
    </tableColumn>
    <tableColumn id="5" xr3:uid="{B7047AE6-3B28-47F0-A9D7-9CF02FED99D8}" name="take-win-rate" dataDxfId="1216">
      <calculatedColumnFormula>IF(DruidAbilities3Scenario2[[#This Row],[takes]]&gt;0,DruidAbilities3Scenario2[[#This Row],[wins]]/DruidAbilities3Scenario2[[#This Row],[takes]],0)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1874CDD-E91F-4053-8787-FAF301D21A1E}" name="ScenarioStat3" displayName="ScenarioStat3" ref="A2:G58" totalsRowShown="0">
  <autoFilter ref="A2:G58" xr:uid="{00000000-0009-0000-0100-000002000000}"/>
  <tableColumns count="7">
    <tableColumn id="1" xr3:uid="{768E8866-D096-42A8-8945-023F2727FDAD}" name="hero-1"/>
    <tableColumn id="4" xr3:uid="{848F0152-FF75-4526-9B37-4C18B7BDEAF3}" name="team-1-win" dataDxfId="1790">
      <calculatedColumnFormula>COUNTIFS(Scenario3[winner1],ScenarioStat3[[#This Row],[hero-1]],Scenario3[loser1],ScenarioStat3[[#This Row],[hero-2]],Scenario3[loser2],ScenarioStat3[[#This Row],[hero-3]])</calculatedColumnFormula>
    </tableColumn>
    <tableColumn id="5" xr3:uid="{836A67B7-9874-46AF-8947-2E6379B20A71}" name="hero-2"/>
    <tableColumn id="8" xr3:uid="{F88A7067-B63D-40F0-9D8A-AEB6BD9F0A66}" name="team-2-win" dataDxfId="1789">
      <calculatedColumnFormula>COUNTIFS(Scenario3[winner1],ScenarioStat3[[#This Row],[hero-2]],Scenario3[loser1],ScenarioStat3[[#This Row],[hero-1]],Scenario3[loser2],ScenarioStat3[[#This Row],[hero-3]])</calculatedColumnFormula>
    </tableColumn>
    <tableColumn id="3" xr3:uid="{A661F12E-8B47-4667-99B6-9896128C3630}" name="hero-3"/>
    <tableColumn id="6" xr3:uid="{62A6905D-CD5B-4824-902A-20DD9630B11F}" name="team-3-win">
      <calculatedColumnFormula>COUNTIFS(Scenario3[winner1],ScenarioStat3[[#This Row],[hero-3]],Scenario3[loser1],ScenarioStat3[[#This Row],[hero-1]],Scenario3[loser2],ScenarioStat3[[#This Row],[hero-2]])</calculatedColumnFormula>
    </tableColumn>
    <tableColumn id="2" xr3:uid="{65A1CB4F-A22D-4F9D-887D-EAD9D6EE60C6}" name="battles" dataDxfId="1788">
      <calculatedColumnFormula>ScenarioStat3[[#This Row],[team-1-win]]+ScenarioStat3[[#This Row],[team-2-win]]+ScenarioStat3[[#This Row],[team-3-win]]</calculatedColumnFormula>
    </tableColumn>
  </tableColumns>
  <tableStyleInfo name="TableStyleMedium2" showFirstColumn="0" showLastColumn="0" showRowStripes="1" showColumnStripes="0"/>
</table>
</file>

<file path=xl/tables/table1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0" xr:uid="{66ABDDAF-FB53-47E0-BEB9-2F447A3D5569}" name="DruidAbilities4Scenario2" displayName="DruidAbilities4Scenario2" ref="K59:O62" totalsRowShown="0" headerRowDxfId="1215" headerRowBorderDxfId="1214" tableBorderDxfId="1213" totalsRowBorderDxfId="1212">
  <autoFilter ref="K59:O62" xr:uid="{DDB7F110-02A6-4F67-8266-251AF48CB7C0}"/>
  <tableColumns count="5">
    <tableColumn id="1" xr3:uid="{963218A6-E2C8-468F-A480-18EABD6D01C3}" name="ability" dataDxfId="1211"/>
    <tableColumn id="2" xr3:uid="{B7AE8A89-2A8C-49AF-8D96-6C1AB2DACE14}" name="takes" dataDxfId="1210">
      <calculatedColumnFormula>COUNTIF(Scenario2[winner1-ability4],DruidAbilities4Scenario2[[#This Row],[ability]])+COUNTIF(Scenario2[loser1-ability4],DruidAbilities4Scenario2[[#This Row],[ability]])</calculatedColumnFormula>
    </tableColumn>
    <tableColumn id="3" xr3:uid="{7BE83CB3-1688-4157-A509-6D6BCE4C2D8A}" name="wins" dataDxfId="1209">
      <calculatedColumnFormula>COUNTIF(Scenario2[winner1-ability4],DruidAbilities4Scenario2[[#This Row],[ability]])</calculatedColumnFormula>
    </tableColumn>
    <tableColumn id="4" xr3:uid="{AA29BEEB-A7D2-4818-96D2-39227A3BFA6F}" name="battles-take-rate" dataDxfId="1208">
      <calculatedColumnFormula>IF(SUM(DruidAbilities4Scenario2[[#This Row],[takes]]) &gt; 0,DruidAbilities4Scenario2[[#This Row],[takes]]/SUM(DruidAbilities4Scenario2[takes]),0)</calculatedColumnFormula>
    </tableColumn>
    <tableColumn id="5" xr3:uid="{80265759-5A29-4280-A08B-09A68AC89775}" name="take-win-rate" dataDxfId="1207">
      <calculatedColumnFormula>IF(DruidAbilities4Scenario2[[#This Row],[takes]]&gt;0,DruidAbilities4Scenario2[[#This Row],[wins]]/DruidAbilities4Scenario2[[#This Row],[takes]],0)</calculatedColumnFormula>
    </tableColumn>
  </tableColumns>
  <tableStyleInfo name="TableStyleMedium2" showFirstColumn="0" showLastColumn="0" showRowStripes="1" showColumnStripes="0"/>
</table>
</file>

<file path=xl/tables/table1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1" xr:uid="{AEDE881E-7282-43D0-8F91-4685895F6625}" name="DruidEquipScenario2" displayName="DruidEquipScenario2" ref="Q44:S47" totalsRowShown="0">
  <autoFilter ref="Q44:S47" xr:uid="{BDEC3E9D-FA56-4E08-A52D-2A8BEB87833A}"/>
  <tableColumns count="3">
    <tableColumn id="1" xr3:uid="{97A63FDB-8D0A-4D5B-B398-DE16DDB6E5AE}" name="level"/>
    <tableColumn id="2" xr3:uid="{B1B2AEE4-7EFB-465F-9897-F74BFA184CF9}" name="staff" dataDxfId="1206">
      <calculatedColumnFormula>COUNTIFS(Scenario2[winner1],"druid",Scenario2[winner1-pw],DruidEquipScenario2[[#This Row],[level]])+COUNTIFS(Scenario2[loser1],"druid",Scenario2[loser1-pw],DruidEquipScenario2[[#This Row],[level]])</calculatedColumnFormula>
    </tableColumn>
    <tableColumn id="4" xr3:uid="{F39C90B6-69C0-4F1C-B324-F0E21A6085AC}" name="chestpiece" dataDxfId="1205">
      <calculatedColumnFormula>COUNTIFS(Scenario2[winner1],"druid",Scenario2[winner1-cp],DruidEquipScenario2[[#This Row],[level]])+COUNTIFS(Scenario2[loser1],"druid",Scenario2[loser1-cp],DruidEquipScenario2[[#This Row],[level]])</calculatedColumnFormula>
    </tableColumn>
  </tableColumns>
  <tableStyleInfo name="TableStyleMedium2" showFirstColumn="0" showLastColumn="0" showRowStripes="1" showColumnStripes="0"/>
</table>
</file>

<file path=xl/tables/table1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417140E-3039-400F-A2B4-F56655CB63C3}" name="UpgradeStatistics192021" displayName="UpgradeStatistics192021" ref="U1:V9" totalsRowShown="0">
  <autoFilter ref="U1:V9" xr:uid="{5417140E-3039-400F-A2B4-F56655CB63C3}"/>
  <tableColumns count="2">
    <tableColumn id="1" xr3:uid="{63B8D156-7829-48A7-AFF3-A00395B62308}" name="upgrade"/>
    <tableColumn id="3" xr3:uid="{020C299C-8D4C-4605-833B-336B832A94E2}" name="rate" dataDxfId="1204"/>
  </tableColumns>
  <tableStyleInfo name="TableStyleMedium2" showFirstColumn="0" showLastColumn="0" showRowStripes="1" showColumnStripes="0"/>
</table>
</file>

<file path=xl/tables/table1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E2AE8D1C-C88A-4C38-85AE-265777F1DB64}" name="DruidAbilities1Scenario3" displayName="DruidAbilities1Scenario3" ref="K65:O68" totalsRowShown="0">
  <autoFilter ref="K65:O68" xr:uid="{E2AE8D1C-C88A-4C38-85AE-265777F1DB64}"/>
  <tableColumns count="5">
    <tableColumn id="2" xr3:uid="{B4781F8C-B3F2-4709-B7B1-62740C9497B7}" name="ability"/>
    <tableColumn id="6" xr3:uid="{5F9D7297-F806-44A1-849F-EEB61239CE1F}" name="takes" dataDxfId="1203">
      <calculatedColumnFormula>COUNTIF(Scenario3[winner1-ability1],DruidAbilities1Scenario3[[#This Row],[ability]])+COUNTIF(Scenario3[loser1-ability1],DruidAbilities1Scenario3[[#This Row],[ability]])+COUNTIF(Scenario3[loser2-ability1],DruidAbilities1Scenario3[[#This Row],[ability]])</calculatedColumnFormula>
    </tableColumn>
    <tableColumn id="4" xr3:uid="{F84EB2DB-EA2F-4445-86C5-DE1CF37D6874}" name="wins" dataDxfId="1202">
      <calculatedColumnFormula>COUNTIF(Scenario3[winner1-ability1],DruidAbilities1Scenario3[[#This Row],[ability]])</calculatedColumnFormula>
    </tableColumn>
    <tableColumn id="5" xr3:uid="{4FF89EE2-8630-4141-AE21-A771AD1A9EF8}" name="battles-take-rate" dataDxfId="1201">
      <calculatedColumnFormula>IF(SUM(DruidAbilities1Scenario3[[#This Row],[takes]]) &gt; 0,DruidAbilities1Scenario3[[#This Row],[takes]]/SUM(DruidAbilities1Scenario3[takes]),0)</calculatedColumnFormula>
    </tableColumn>
    <tableColumn id="7" xr3:uid="{BBD89900-CC0C-4EE2-8C2F-0901751BCE84}" name="take-win-rate" dataDxfId="1200">
      <calculatedColumnFormula>IF(DruidAbilities1Scenario3[[#This Row],[takes]]&gt;0,DruidAbilities1Scenario3[[#This Row],[wins]]/DruidAbilities1Scenario3[[#This Row],[takes]],0)</calculatedColumnFormula>
    </tableColumn>
  </tableColumns>
  <tableStyleInfo name="TableStyleMedium2" showFirstColumn="0" showLastColumn="0" showRowStripes="1" showColumnStripes="0"/>
</table>
</file>

<file path=xl/tables/table1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D274278E-4AD9-4E51-9A51-FE3A58DB7C27}" name="DruidAbilities2Scenario3" displayName="DruidAbilities2Scenario3" ref="K70:O73" totalsRowShown="0" headerRowDxfId="1199" headerRowBorderDxfId="1198" tableBorderDxfId="1197" totalsRowBorderDxfId="1196">
  <autoFilter ref="K70:O73" xr:uid="{D274278E-4AD9-4E51-9A51-FE3A58DB7C27}"/>
  <tableColumns count="5">
    <tableColumn id="1" xr3:uid="{321BFA07-99BD-443A-B8A1-6ABBFC552955}" name="ability"/>
    <tableColumn id="2" xr3:uid="{313D29C3-28A9-4E4B-9374-B3CC9B0C5F4C}" name="takes" dataDxfId="1195">
      <calculatedColumnFormula>COUNTIF(Scenario3[winner1-ability2],DruidAbilities2Scenario3[[#This Row],[ability]])+COUNTIF(Scenario3[loser1-ability2],DruidAbilities2Scenario3[[#This Row],[ability]])+COUNTIF(Scenario3[loser2-ability2],DruidAbilities2Scenario3[[#This Row],[ability]])</calculatedColumnFormula>
    </tableColumn>
    <tableColumn id="3" xr3:uid="{85B70045-F1BD-46B5-8836-01ADFCF2ACED}" name="wins" dataDxfId="1194">
      <calculatedColumnFormula>COUNTIF(Scenario3[winner1-ability2],DruidAbilities2Scenario3[[#This Row],[ability]])</calculatedColumnFormula>
    </tableColumn>
    <tableColumn id="4" xr3:uid="{59808BF5-1BB2-4D2F-A36A-8FCA1917F73C}" name="battles-take-rate" dataDxfId="1193">
      <calculatedColumnFormula>IF(SUM(DruidAbilities2Scenario3[[#This Row],[takes]]) &gt; 0,DruidAbilities2Scenario3[[#This Row],[takes]]/SUM(DruidAbilities2Scenario3[takes]),0)</calculatedColumnFormula>
    </tableColumn>
    <tableColumn id="5" xr3:uid="{E3108102-AFDC-48DA-8308-A964A9E7A30B}" name="take-win-rate" dataDxfId="1192">
      <calculatedColumnFormula>IF(DruidAbilities2Scenario3[[#This Row],[takes]]&gt;0,DruidAbilities2Scenario3[[#This Row],[wins]]/DruidAbilities2Scenario3[[#This Row],[takes]],0)</calculatedColumnFormula>
    </tableColumn>
  </tableColumns>
  <tableStyleInfo name="TableStyleMedium2" showFirstColumn="0" showLastColumn="0" showRowStripes="1" showColumnStripes="0"/>
</table>
</file>

<file path=xl/tables/table1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717BF15B-E01C-4B5F-88CC-AFF6B65494BF}" name="DruidAbilities3Scenario3" displayName="DruidAbilities3Scenario3" ref="K75:O78" totalsRowShown="0" headerRowDxfId="1191" headerRowBorderDxfId="1190" tableBorderDxfId="1189" totalsRowBorderDxfId="1188">
  <autoFilter ref="K75:O78" xr:uid="{717BF15B-E01C-4B5F-88CC-AFF6B65494BF}"/>
  <tableColumns count="5">
    <tableColumn id="1" xr3:uid="{7583E585-DA6F-4B28-A439-6436B9C13C80}" name="ability"/>
    <tableColumn id="2" xr3:uid="{E33FCEE2-7D04-4685-A8E7-09E00F0A82C8}" name="takes" dataDxfId="1187">
      <calculatedColumnFormula>COUNTIF(Scenario3[winner1-ability3],DruidAbilities3Scenario3[[#This Row],[ability]])+COUNTIF(Scenario3[loser1-ability3],DruidAbilities3Scenario3[[#This Row],[ability]])+COUNTIF(Scenario3[loser2-ability3],DruidAbilities3Scenario3[[#This Row],[ability]])</calculatedColumnFormula>
    </tableColumn>
    <tableColumn id="3" xr3:uid="{4FA07E3E-F2D1-4DD1-8D26-DD2ADDFBB677}" name="wins" dataDxfId="1186">
      <calculatedColumnFormula>COUNTIF(Scenario3[winner1-ability3],DruidAbilities3Scenario3[[#This Row],[ability]])</calculatedColumnFormula>
    </tableColumn>
    <tableColumn id="4" xr3:uid="{56EE8E9D-0B38-4F3C-A706-DF801F6E782A}" name="battles-take-rate" dataDxfId="1185">
      <calculatedColumnFormula>IF(SUM(DruidAbilities3Scenario3[[#This Row],[takes]]) &gt; 0,DruidAbilities3Scenario3[[#This Row],[takes]]/SUM(DruidAbilities3Scenario3[takes]),0)</calculatedColumnFormula>
    </tableColumn>
    <tableColumn id="5" xr3:uid="{FE0FB108-1A9C-4BC3-A939-DE028175C726}" name="take-win-rate" dataDxfId="1184">
      <calculatedColumnFormula>IF(DruidAbilities3Scenario3[[#This Row],[takes]]&gt;0,DruidAbilities3Scenario3[[#This Row],[wins]]/DruidAbilities3Scenario3[[#This Row],[takes]],0)</calculatedColumnFormula>
    </tableColumn>
  </tableColumns>
  <tableStyleInfo name="TableStyleMedium2" showFirstColumn="0" showLastColumn="0" showRowStripes="1" showColumnStripes="0"/>
</table>
</file>

<file path=xl/tables/table1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6C814871-D00E-4AC2-ABE0-4B3892D7F0AE}" name="DruidAbilities4Scenario3" displayName="DruidAbilities4Scenario3" ref="K80:O83" totalsRowShown="0" headerRowDxfId="1183" headerRowBorderDxfId="1182" tableBorderDxfId="1181" totalsRowBorderDxfId="1180">
  <autoFilter ref="K80:O83" xr:uid="{6C814871-D00E-4AC2-ABE0-4B3892D7F0AE}"/>
  <tableColumns count="5">
    <tableColumn id="1" xr3:uid="{B336BFD3-C277-43F6-97B4-769FAB55ABA9}" name="ability" dataDxfId="1179"/>
    <tableColumn id="2" xr3:uid="{5DC7BD53-CE7F-4C9C-B8BB-D410EDE17928}" name="takes" dataDxfId="1178">
      <calculatedColumnFormula>COUNTIF(Scenario3[winner1-ability4],DruidAbilities4Scenario3[[#This Row],[ability]])+COUNTIF(Scenario3[loser1-ability4],DruidAbilities4Scenario3[[#This Row],[ability]])+COUNTIF(Scenario3[loser2-ability4],DruidAbilities4Scenario3[[#This Row],[ability]])</calculatedColumnFormula>
    </tableColumn>
    <tableColumn id="3" xr3:uid="{BF5BD6B1-D622-43B6-8CCB-E020C15BFB1B}" name="wins" dataDxfId="1177">
      <calculatedColumnFormula>COUNTIF(Scenario3[winner1-ability4],DruidAbilities4Scenario3[[#This Row],[ability]])</calculatedColumnFormula>
    </tableColumn>
    <tableColumn id="4" xr3:uid="{B9D09778-1506-47CB-BB1F-A00AE865D740}" name="battles-take-rate" dataDxfId="1176">
      <calculatedColumnFormula>IF(SUM(DruidAbilities4Scenario3[[#This Row],[takes]]) &gt; 0,DruidAbilities4Scenario3[[#This Row],[takes]]/SUM(DruidAbilities4Scenario3[takes]),0)</calculatedColumnFormula>
    </tableColumn>
    <tableColumn id="5" xr3:uid="{F7D4555E-1F6C-4C65-96EB-3A4D07F925C9}" name="take-win-rate" dataDxfId="1175">
      <calculatedColumnFormula>IF(DruidAbilities4Scenario3[[#This Row],[takes]]&gt;0,DruidAbilities4Scenario3[[#This Row],[wins]]/DruidAbilities4Scenario3[[#This Row],[takes]],0)</calculatedColumnFormula>
    </tableColumn>
  </tableColumns>
  <tableStyleInfo name="TableStyleMedium2" showFirstColumn="0" showLastColumn="0" showRowStripes="1" showColumnStripes="0"/>
</table>
</file>

<file path=xl/tables/table1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1A35E9E-ED48-4674-8D09-0AD5E6A80FD4}" name="DruidEquipScenario3" displayName="DruidEquipScenario3" ref="Q65:S68" totalsRowShown="0">
  <autoFilter ref="Q65:S68" xr:uid="{01A35E9E-ED48-4674-8D09-0AD5E6A80FD4}"/>
  <tableColumns count="3">
    <tableColumn id="1" xr3:uid="{667CCCAB-6AFF-43BA-9EF8-BF89EADCB160}" name="level"/>
    <tableColumn id="2" xr3:uid="{4D436888-0D2E-4E4A-996E-FF20D57391A4}" name="staff" dataDxfId="1174">
      <calculatedColumnFormula>COUNTIFS(Scenario3[winner1],"druid",Scenario3[winner1-pw],DruidEquipScenario3[[#This Row],[level]])+COUNTIFS(Scenario3[loser1],"druid",Scenario3[loser1-pw],DruidEquipScenario3[[#This Row],[level]])+COUNTIFS(Scenario3[loser2],"druid",Scenario3[loser2-pw],DruidEquipScenario3[[#This Row],[level]])</calculatedColumnFormula>
    </tableColumn>
    <tableColumn id="4" xr3:uid="{79F85740-9104-4C26-94F6-1F9E2E6FB767}" name="chestpiece" dataDxfId="1173">
      <calculatedColumnFormula>COUNTIFS(Scenario3[winner1],"druid",Scenario3[winner1-cp],DruidEquipScenario3[[#This Row],[level]])+COUNTIFS(Scenario3[loser1],"druid",Scenario3[loser1-cp],DruidEquipScenario3[[#This Row],[level]])+COUNTIFS(Scenario3[loser2],"druid",Scenario3[loser2-cp],DruidEquipScenario3[[#This Row],[level]])</calculatedColumnFormula>
    </tableColumn>
  </tableColumns>
  <tableStyleInfo name="TableStyleMedium2" showFirstColumn="0" showLastColumn="0" showRowStripes="1" showColumnStripes="0"/>
</table>
</file>

<file path=xl/tables/table1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5" xr:uid="{40638D7B-9CFA-4B44-A2DB-8B1AFEBF1788}" name="DruidAbilities1Scenario4" displayName="DruidAbilities1Scenario4" ref="K86:O89" totalsRowShown="0">
  <autoFilter ref="K86:O89" xr:uid="{40638D7B-9CFA-4B44-A2DB-8B1AFEBF1788}"/>
  <tableColumns count="5">
    <tableColumn id="2" xr3:uid="{46A21EC1-CC96-4C64-9EBB-0B57D5190869}" name="ability"/>
    <tableColumn id="6" xr3:uid="{9BE9F61A-140A-40A9-8ADC-013AD6E57924}" name="takes" dataDxfId="1172">
      <calculatedColumnFormula>COUNTIF(Scenario4[winner1-ability1],DruidAbilities1Scenario4[[#This Row],[ability]])+COUNTIF(Scenario4[loser1-ability1],DruidAbilities1Scenario4[[#This Row],[ability]])+COUNTIF(Scenario4[loser2-ability1],DruidAbilities1Scenario4[[#This Row],[ability]])+COUNTIF(Scenario4[loser3-ability1],DruidAbilities1Scenario4[[#This Row],[ability]])</calculatedColumnFormula>
    </tableColumn>
    <tableColumn id="4" xr3:uid="{CD674F5B-324A-4887-A567-51AEE8F56A73}" name="wins" dataDxfId="1171">
      <calculatedColumnFormula>COUNTIF(Scenario4[winner1-ability1],DruidAbilities1Scenario4[[#This Row],[ability]])</calculatedColumnFormula>
    </tableColumn>
    <tableColumn id="5" xr3:uid="{06AAF157-CF91-4862-9B21-2300847F6670}" name="battles-take-rate" dataDxfId="1170">
      <calculatedColumnFormula>IF(SUM(DruidAbilities1Scenario4[[#This Row],[takes]]) &gt; 0,DruidAbilities1Scenario4[[#This Row],[takes]]/SUM(DruidAbilities1Scenario4[takes]),0)</calculatedColumnFormula>
    </tableColumn>
    <tableColumn id="7" xr3:uid="{81B4661D-32B7-43E5-8856-E9A52C7C06B4}" name="take-win-rate" dataDxfId="1169">
      <calculatedColumnFormula>IF(DruidAbilities1Scenario4[[#This Row],[takes]]&gt;0,DruidAbilities1Scenario4[[#This Row],[wins]]/DruidAbilities1Scenario4[[#This Row],[takes]],0)</calculatedColumnFormula>
    </tableColumn>
  </tableColumns>
  <tableStyleInfo name="TableStyleMedium2" showFirstColumn="0" showLastColumn="0" showRowStripes="1" showColumnStripes="0"/>
</table>
</file>

<file path=xl/tables/table1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6" xr:uid="{71F7B578-5C02-45D2-9307-50A2D8C07EE4}" name="DruidAbilities2Scenario4" displayName="DruidAbilities2Scenario4" ref="K91:O94" totalsRowShown="0" headerRowDxfId="1168" headerRowBorderDxfId="1167" tableBorderDxfId="1166" totalsRowBorderDxfId="1165">
  <autoFilter ref="K91:O94" xr:uid="{71F7B578-5C02-45D2-9307-50A2D8C07EE4}"/>
  <tableColumns count="5">
    <tableColumn id="1" xr3:uid="{D393C5B7-E59F-4EB2-9BA7-B56645606921}" name="ability"/>
    <tableColumn id="2" xr3:uid="{9B1E7D00-606D-4B7A-91A5-E0649E6AE2B7}" name="takes" dataDxfId="1164">
      <calculatedColumnFormula>COUNTIF(Scenario4[winner1-ability2],DruidAbilities2Scenario4[[#This Row],[ability]])+COUNTIF(Scenario4[loser1-ability2],DruidAbilities2Scenario4[[#This Row],[ability]])+COUNTIF(Scenario4[loser2-ability2],DruidAbilities2Scenario4[[#This Row],[ability]])+COUNTIF(Scenario4[loser3-ability2],DruidAbilities2Scenario4[[#This Row],[ability]])</calculatedColumnFormula>
    </tableColumn>
    <tableColumn id="3" xr3:uid="{9F0C7EF6-B04B-4ED8-A215-C3EDE23E1D98}" name="wins" dataDxfId="1163">
      <calculatedColumnFormula>COUNTIF(Scenario4[winner1-ability2],DruidAbilities2Scenario4[[#This Row],[ability]])</calculatedColumnFormula>
    </tableColumn>
    <tableColumn id="4" xr3:uid="{FF69DC1A-7A6E-47CC-BBE3-E23DADEF715C}" name="battles-take-rate" dataDxfId="1162">
      <calculatedColumnFormula>IF(SUM(DruidAbilities2Scenario4[[#This Row],[takes]]) &gt; 0,DruidAbilities2Scenario4[[#This Row],[takes]]/SUM(DruidAbilities2Scenario4[takes]),0)</calculatedColumnFormula>
    </tableColumn>
    <tableColumn id="5" xr3:uid="{D4F08630-8AAE-42A5-B62D-A4173FD92EEC}" name="take-win-rate" dataDxfId="1161">
      <calculatedColumnFormula>IF(DruidAbilities2Scenario4[[#This Row],[takes]]&gt;0,DruidAbilities2Scenario4[[#This Row],[wins]]/DruidAbilities2Scenario4[[#This Row],[takes]],0)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98A59AF-6B69-445D-AF7E-497473B4225E}" name="ScenarioTeams3" displayName="ScenarioTeams3" ref="I2:L10">
  <autoFilter ref="I2:L10" xr:uid="{3BA29664-241D-4460-819F-8FE8E5CEB60F}"/>
  <tableColumns count="4">
    <tableColumn id="1" xr3:uid="{20599E8A-7D33-485F-9E13-E328F0C0DA49}" name="hero" totalsRowLabel="Total"/>
    <tableColumn id="7" xr3:uid="{A4ED510C-394F-4E40-9F41-59E7C25F3B54}" name="battles" totalsRowFunction="count" dataDxfId="1787">
      <calculatedColumnFormula>SUMIFS(ScenarioStat3[battles],ScenarioStat3[hero-1],ScenarioTeams3[[#This Row],[hero]])+SUMIFS(ScenarioStat3[battles],ScenarioStat3[hero-2],ScenarioTeams3[[#This Row],[hero]])+SUMIFS(ScenarioStat3[battles],ScenarioStat3[hero-3],ScenarioTeams3[[#This Row],[hero]])</calculatedColumnFormula>
    </tableColumn>
    <tableColumn id="3" xr3:uid="{4AD4396C-08BE-40F0-BA05-93CF71783244}" name="wins" dataDxfId="1786">
      <calculatedColumnFormula>SUMIFS(ScenarioStat3[team-1-win],ScenarioStat3[hero-1],ScenarioTeams3[[#This Row],[hero]])+SUMIFS(ScenarioStat3[team-2-win],ScenarioStat3[hero-2],ScenarioTeams3[[#This Row],[hero]])+SUMIFS(ScenarioStat3[team-3-win],ScenarioStat3[hero-3],ScenarioTeams3[[#This Row],[hero]])</calculatedColumnFormula>
    </tableColumn>
    <tableColumn id="5" xr3:uid="{D753F1A5-A1EF-4BA4-A1BD-CEB90D03D2E9}" name="win-rate" totalsRowFunction="sum" dataDxfId="1785" totalsRowDxfId="1784">
      <calculatedColumnFormula>IF(ScenarioTeams3[[#This Row],[battles]],ScenarioTeams3[[#This Row],[wins]]/ScenarioTeams3[[#This Row],[battles]],0)</calculatedColumnFormula>
    </tableColumn>
  </tableColumns>
  <tableStyleInfo name="TableStyleMedium2" showFirstColumn="0" showLastColumn="0" showRowStripes="1" showColumnStripes="0"/>
</table>
</file>

<file path=xl/tables/table1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7" xr:uid="{60A51B23-E1EC-46A4-86DD-B8952B470B5D}" name="DruidAbilities3Scenario4" displayName="DruidAbilities3Scenario4" ref="K96:O99" totalsRowShown="0" headerRowDxfId="1160" headerRowBorderDxfId="1159" tableBorderDxfId="1158" totalsRowBorderDxfId="1157">
  <autoFilter ref="K96:O99" xr:uid="{60A51B23-E1EC-46A4-86DD-B8952B470B5D}"/>
  <tableColumns count="5">
    <tableColumn id="1" xr3:uid="{BB9BA421-5048-4FEC-8419-53452611EF72}" name="ability"/>
    <tableColumn id="2" xr3:uid="{E6D2A5BE-0413-44E9-A96A-952DA88A2D9E}" name="takes" dataDxfId="1156">
      <calculatedColumnFormula>COUNTIF(Scenario4[winner1-ability3],DruidAbilities3Scenario4[[#This Row],[ability]])+COUNTIF(Scenario4[loser1-ability3],DruidAbilities3Scenario4[[#This Row],[ability]])+COUNTIF(Scenario4[loser2-ability3],DruidAbilities3Scenario4[[#This Row],[ability]])+COUNTIF(Scenario4[loser3-ability3],DruidAbilities3Scenario4[[#This Row],[ability]])</calculatedColumnFormula>
    </tableColumn>
    <tableColumn id="3" xr3:uid="{12D28CFE-8E3B-4715-8093-F9A43CA8CF9C}" name="wins" dataDxfId="1155">
      <calculatedColumnFormula>COUNTIF(Scenario4[winner1-ability3],DruidAbilities3Scenario4[[#This Row],[ability]])</calculatedColumnFormula>
    </tableColumn>
    <tableColumn id="4" xr3:uid="{E1D61A81-525A-4DC1-B6E9-25C258725BE6}" name="battles-take-rate" dataDxfId="1154">
      <calculatedColumnFormula>IF(SUM(DruidAbilities3Scenario4[[#This Row],[takes]]) &gt; 0,DruidAbilities3Scenario4[[#This Row],[takes]]/SUM(DruidAbilities3Scenario4[takes]),0)</calculatedColumnFormula>
    </tableColumn>
    <tableColumn id="5" xr3:uid="{529ADBF8-3ECE-4756-8D80-6E460021D95A}" name="take-win-rate" dataDxfId="1153">
      <calculatedColumnFormula>IF(DruidAbilities3Scenario4[[#This Row],[takes]]&gt;0,DruidAbilities3Scenario4[[#This Row],[wins]]/DruidAbilities3Scenario4[[#This Row],[takes]],0)</calculatedColumnFormula>
    </tableColumn>
  </tableColumns>
  <tableStyleInfo name="TableStyleMedium2" showFirstColumn="0" showLastColumn="0" showRowStripes="1" showColumnStripes="0"/>
</table>
</file>

<file path=xl/tables/table1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8" xr:uid="{BCDE9ED1-1F22-42AC-AE3B-C1EED0842896}" name="DruidAbilities4Scenario4" displayName="DruidAbilities4Scenario4" ref="K101:O104" totalsRowShown="0" headerRowDxfId="1152" headerRowBorderDxfId="1151" tableBorderDxfId="1150" totalsRowBorderDxfId="1149">
  <autoFilter ref="K101:O104" xr:uid="{BCDE9ED1-1F22-42AC-AE3B-C1EED0842896}"/>
  <tableColumns count="5">
    <tableColumn id="1" xr3:uid="{DB6EB367-D24F-401C-919C-82D3EAEA2086}" name="ability" dataDxfId="1148"/>
    <tableColumn id="2" xr3:uid="{BBEB468B-4705-4289-A434-105410CC5CFC}" name="takes" dataDxfId="1147">
      <calculatedColumnFormula>COUNTIF(Scenario4[winner1-ability4],DruidAbilities4Scenario4[[#This Row],[ability]])+COUNTIF(Scenario4[loser1-ability4],DruidAbilities4Scenario4[[#This Row],[ability]])+COUNTIF(Scenario4[loser2-ability4],DruidAbilities4Scenario4[[#This Row],[ability]])+COUNTIF(Scenario4[loser3-ability4],DruidAbilities4Scenario4[[#This Row],[ability]])</calculatedColumnFormula>
    </tableColumn>
    <tableColumn id="3" xr3:uid="{A1B34D10-59D6-41E9-9B0A-D297A8F4B690}" name="wins" dataDxfId="1146">
      <calculatedColumnFormula>COUNTIF(Scenario4[winner1-ability4],DruidAbilities4Scenario4[[#This Row],[ability]])</calculatedColumnFormula>
    </tableColumn>
    <tableColumn id="4" xr3:uid="{8295F0F3-E629-4A87-A950-FDB997C5BE5E}" name="battles-take-rate" dataDxfId="1145">
      <calculatedColumnFormula>IF(SUM(DruidAbilities4Scenario4[[#This Row],[takes]]) &gt; 0,DruidAbilities4Scenario4[[#This Row],[takes]]/SUM(DruidAbilities4Scenario4[takes]),0)</calculatedColumnFormula>
    </tableColumn>
    <tableColumn id="5" xr3:uid="{261C34F8-BE1A-4487-BAC9-3AC3B736E0F3}" name="take-win-rate" dataDxfId="1144">
      <calculatedColumnFormula>IF(DruidAbilities4Scenario4[[#This Row],[takes]]&gt;0,DruidAbilities4Scenario4[[#This Row],[wins]]/DruidAbilities4Scenario4[[#This Row],[takes]],0)</calculatedColumnFormula>
    </tableColumn>
  </tableColumns>
  <tableStyleInfo name="TableStyleMedium2" showFirstColumn="0" showLastColumn="0" showRowStripes="1" showColumnStripes="0"/>
</table>
</file>

<file path=xl/tables/table1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9" xr:uid="{F82E072E-3A0E-4A87-81DB-9DDFBB1877BB}" name="DruidEquipScenario4" displayName="DruidEquipScenario4" ref="Q86:S89" totalsRowShown="0">
  <autoFilter ref="Q86:S89" xr:uid="{F82E072E-3A0E-4A87-81DB-9DDFBB1877BB}"/>
  <tableColumns count="3">
    <tableColumn id="1" xr3:uid="{5A998658-4094-4DAE-873A-2A5A8C4751C7}" name="level"/>
    <tableColumn id="2" xr3:uid="{86BC5044-A575-4CB6-9424-F44C4975F915}" name="staff" dataDxfId="1143">
      <calculatedColumnFormula>COUNTIFS(Scenario4[winner1],"druid",Scenario4[winner1-pw],DruidEquipScenario4[[#This Row],[level]])+COUNTIFS(Scenario4[loser1],"druid",Scenario4[loser1-pw],DruidEquipScenario4[[#This Row],[level]])+COUNTIFS(Scenario4[loser2],"druid",Scenario4[loser2-pw],DruidEquipScenario4[[#This Row],[level]])+COUNTIFS(Scenario4[loser3],"druid",Scenario4[loser3-pw],DruidEquipScenario4[[#This Row],[level]])</calculatedColumnFormula>
    </tableColumn>
    <tableColumn id="4" xr3:uid="{49B32343-FED7-4472-8EDA-2C4278939A18}" name="chestpiece" dataDxfId="1142">
      <calculatedColumnFormula>COUNTIFS(Scenario4[winner1],"druid",Scenario4[winner1-cp],DruidEquipScenario4[[#This Row],[level]])+COUNTIFS(Scenario4[loser1],"druid",Scenario4[loser1-cp],DruidEquipScenario4[[#This Row],[level]])+COUNTIFS(Scenario4[loser2],"druid",Scenario4[loser2-cp],DruidEquipScenario4[[#This Row],[level]])+COUNTIFS(Scenario4[loser3],"druid",Scenario4[loser3-cp],DruidEquipScenario4[[#This Row],[level]])</calculatedColumnFormula>
    </tableColumn>
  </tableColumns>
  <tableStyleInfo name="TableStyleMedium2" showFirstColumn="0" showLastColumn="0" showRowStripes="1" showColumnStripes="0"/>
</table>
</file>

<file path=xl/tables/table1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3" xr:uid="{AD9B53CC-5392-47EA-9C40-B8030C23CE53}" name="DruidAbilities1Scenario5" displayName="DruidAbilities1Scenario5" ref="K107:O110" totalsRowShown="0">
  <autoFilter ref="K107:O110" xr:uid="{AD9B53CC-5392-47EA-9C40-B8030C23CE53}"/>
  <tableColumns count="5">
    <tableColumn id="2" xr3:uid="{BC661AF6-B4F2-4A35-8639-656A41C64A5C}" name="ability"/>
    <tableColumn id="6" xr3:uid="{7638FD7D-CA71-43CD-B9D8-8C9C01D8A3D6}" name="takes" dataDxfId="1141">
      <calculatedColumnFormula>COUNTIF(Scenario5[winner1-ability1],DruidAbilities1Scenario5[[#This Row],[ability]])+COUNTIF(Scenario5[winner2-ability1],DruidAbilities1Scenario5[[#This Row],[ability]])+COUNTIF(Scenario5[loser1-ability1],DruidAbilities1Scenario5[[#This Row],[ability]])+COUNTIF(Scenario5[loser2-ability1],DruidAbilities1Scenario5[[#This Row],[ability]])</calculatedColumnFormula>
    </tableColumn>
    <tableColumn id="4" xr3:uid="{86CEF010-F0D4-4500-94B6-B9985471B554}" name="wins" dataDxfId="1140">
      <calculatedColumnFormula>COUNTIF(Scenario5[winner1-ability1],DruidAbilities1Scenario5[[#This Row],[ability]])+COUNTIF(Scenario5[winner2-ability1],DruidAbilities1Scenario5[[#This Row],[ability]])</calculatedColumnFormula>
    </tableColumn>
    <tableColumn id="5" xr3:uid="{E75EFC67-0702-4227-A12A-ED26CDA551D6}" name="battles-take-rate" dataDxfId="1139">
      <calculatedColumnFormula>IF(SUM(DruidAbilities1Scenario5[[#This Row],[takes]]) &gt; 0,DruidAbilities1Scenario5[[#This Row],[takes]]/SUM(DruidAbilities1Scenario5[takes]),0)</calculatedColumnFormula>
    </tableColumn>
    <tableColumn id="7" xr3:uid="{21088685-031E-489B-BBAE-C893E1B6BF37}" name="take-win-rate" dataDxfId="1138">
      <calculatedColumnFormula>IF(DruidAbilities1Scenario5[[#This Row],[takes]]&gt;0,DruidAbilities1Scenario5[[#This Row],[wins]]/DruidAbilities1Scenario5[[#This Row],[takes]],0)</calculatedColumnFormula>
    </tableColumn>
  </tableColumns>
  <tableStyleInfo name="TableStyleMedium2" showFirstColumn="0" showLastColumn="0" showRowStripes="1" showColumnStripes="0"/>
</table>
</file>

<file path=xl/tables/table1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4" xr:uid="{AD47E9C3-BA0B-4D4B-AFAA-4C7ECFF19F83}" name="DruidAbilities2Scenario5" displayName="DruidAbilities2Scenario5" ref="K112:O115" totalsRowShown="0" headerRowDxfId="1137" headerRowBorderDxfId="1136" tableBorderDxfId="1135" totalsRowBorderDxfId="1134">
  <autoFilter ref="K112:O115" xr:uid="{AD47E9C3-BA0B-4D4B-AFAA-4C7ECFF19F83}"/>
  <tableColumns count="5">
    <tableColumn id="1" xr3:uid="{BA1D9E60-6A90-4FC2-9BBB-908C31F3FA44}" name="ability"/>
    <tableColumn id="2" xr3:uid="{80EAF131-8910-4440-A7D3-5AB0CCA126B0}" name="takes" dataDxfId="1133">
      <calculatedColumnFormula>COUNTIF(Scenario5[winner1-ability2],DruidAbilities2Scenario5[[#This Row],[ability]])+COUNTIF(Scenario5[winner2-ability2],DruidAbilities2Scenario5[[#This Row],[ability]])+COUNTIF(Scenario5[loser1-ability2],DruidAbilities2Scenario5[[#This Row],[ability]])+COUNTIF(Scenario5[loser2-ability2],DruidAbilities2Scenario5[[#This Row],[ability]])</calculatedColumnFormula>
    </tableColumn>
    <tableColumn id="3" xr3:uid="{B08BBB2F-150B-4F62-8635-DCF88DFEE5F2}" name="wins" dataDxfId="1132">
      <calculatedColumnFormula>COUNTIF(Scenario5[winner1-ability2],DruidAbilities2Scenario5[[#This Row],[ability]])+COUNTIF(Scenario5[winner2-ability2],DruidAbilities2Scenario5[[#This Row],[ability]])</calculatedColumnFormula>
    </tableColumn>
    <tableColumn id="4" xr3:uid="{C1B39B78-321B-4DFF-B309-5615A9BCA97F}" name="battles-take-rate" dataDxfId="1131">
      <calculatedColumnFormula>IF(SUM(DruidAbilities2Scenario5[[#This Row],[takes]]) &gt; 0,DruidAbilities2Scenario5[[#This Row],[takes]]/SUM(DruidAbilities2Scenario5[takes]),0)</calculatedColumnFormula>
    </tableColumn>
    <tableColumn id="5" xr3:uid="{9F7C8F49-B026-4B7A-AF2C-813CD46CB519}" name="take-win-rate" dataDxfId="1130">
      <calculatedColumnFormula>IF(DruidAbilities2Scenario5[[#This Row],[takes]]&gt;0,DruidAbilities2Scenario5[[#This Row],[wins]]/DruidAbilities2Scenario5[[#This Row],[takes]],0)</calculatedColumnFormula>
    </tableColumn>
  </tableColumns>
  <tableStyleInfo name="TableStyleMedium2" showFirstColumn="0" showLastColumn="0" showRowStripes="1" showColumnStripes="0"/>
</table>
</file>

<file path=xl/tables/table1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5" xr:uid="{D57616DC-6F15-472B-8AAC-7F4E20D257CB}" name="DruidAbilities3Scenario5" displayName="DruidAbilities3Scenario5" ref="K117:O120" totalsRowShown="0" headerRowDxfId="1129" headerRowBorderDxfId="1128" tableBorderDxfId="1127" totalsRowBorderDxfId="1126">
  <autoFilter ref="K117:O120" xr:uid="{D57616DC-6F15-472B-8AAC-7F4E20D257CB}"/>
  <tableColumns count="5">
    <tableColumn id="1" xr3:uid="{AF180CAF-3A35-4CC4-9426-56A4440EDFF0}" name="ability"/>
    <tableColumn id="2" xr3:uid="{AAB4A3F7-CB49-443C-B212-F4C09D46302E}" name="takes" dataDxfId="1125">
      <calculatedColumnFormula>COUNTIF(Scenario5[winner1-ability3],DruidAbilities3Scenario5[[#This Row],[ability]])+COUNTIF(Scenario5[winner2-ability3],DruidAbilities3Scenario5[[#This Row],[ability]])+COUNTIF(Scenario5[loser1-ability3],DruidAbilities3Scenario5[[#This Row],[ability]])+COUNTIF(Scenario5[loser2-ability3],DruidAbilities3Scenario5[[#This Row],[ability]])</calculatedColumnFormula>
    </tableColumn>
    <tableColumn id="3" xr3:uid="{1ED7F6A1-B5F2-4EA4-A461-2DB3002089E5}" name="wins" dataDxfId="1124">
      <calculatedColumnFormula>COUNTIF(Scenario5[winner1-ability3],DruidAbilities3Scenario5[[#This Row],[ability]])+COUNTIF(Scenario5[winner2-ability3],DruidAbilities3Scenario5[[#This Row],[ability]])</calculatedColumnFormula>
    </tableColumn>
    <tableColumn id="4" xr3:uid="{41CC0ED3-B5B1-4E57-ACE2-0B11011EBE29}" name="battles-take-rate" dataDxfId="1123">
      <calculatedColumnFormula>IF(SUM(DruidAbilities3Scenario5[[#This Row],[takes]]) &gt; 0,DruidAbilities3Scenario5[[#This Row],[takes]]/SUM(DruidAbilities3Scenario5[takes]),0)</calculatedColumnFormula>
    </tableColumn>
    <tableColumn id="5" xr3:uid="{EE1A7D37-EB2E-4F6C-9A63-FAAA26703A30}" name="take-win-rate" dataDxfId="1122">
      <calculatedColumnFormula>IF(DruidAbilities3Scenario5[[#This Row],[takes]]&gt;0,DruidAbilities3Scenario5[[#This Row],[wins]]/DruidAbilities3Scenario5[[#This Row],[takes]],0)</calculatedColumnFormula>
    </tableColumn>
  </tableColumns>
  <tableStyleInfo name="TableStyleMedium2" showFirstColumn="0" showLastColumn="0" showRowStripes="1" showColumnStripes="0"/>
</table>
</file>

<file path=xl/tables/table1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6" xr:uid="{2FAABC51-3ED7-410E-B39C-5A68AC6ED2E4}" name="DruidAbilities4Scenario5" displayName="DruidAbilities4Scenario5" ref="K122:O125" totalsRowShown="0" headerRowDxfId="1121" headerRowBorderDxfId="1120" tableBorderDxfId="1119" totalsRowBorderDxfId="1118">
  <autoFilter ref="K122:O125" xr:uid="{2FAABC51-3ED7-410E-B39C-5A68AC6ED2E4}"/>
  <tableColumns count="5">
    <tableColumn id="1" xr3:uid="{7F722AC3-75F6-45B3-9190-827293B02D4C}" name="ability" dataDxfId="1117"/>
    <tableColumn id="2" xr3:uid="{683FB055-6956-496F-A0E9-5C2E73881138}" name="takes" dataDxfId="1116">
      <calculatedColumnFormula>COUNTIF(Scenario5[winner1-ability4],DruidAbilities4Scenario5[[#This Row],[ability]])+COUNTIF(Scenario5[winner2-ability4],DruidAbilities4Scenario5[[#This Row],[ability]])+COUNTIF(Scenario5[loser1-ability4],DruidAbilities4Scenario5[[#This Row],[ability]])+COUNTIF(Scenario5[loser2-ability4],DruidAbilities4Scenario5[[#This Row],[ability]])</calculatedColumnFormula>
    </tableColumn>
    <tableColumn id="3" xr3:uid="{50DB7C12-A1F7-4F5B-B934-8CF4A23731C6}" name="wins" dataDxfId="1115">
      <calculatedColumnFormula>COUNTIF(Scenario5[winner1-ability4],DruidAbilities4Scenario5[[#This Row],[ability]])+COUNTIF(Scenario5[winner2-ability4],DruidAbilities4Scenario5[[#This Row],[ability]])</calculatedColumnFormula>
    </tableColumn>
    <tableColumn id="4" xr3:uid="{9E5512F7-2D64-4D14-A8FD-ED92A798E786}" name="battles-take-rate" dataDxfId="1114">
      <calculatedColumnFormula>IF(SUM(DruidAbilities4Scenario5[[#This Row],[takes]]) &gt; 0,DruidAbilities4Scenario5[[#This Row],[takes]]/SUM(DruidAbilities4Scenario5[takes]),0)</calculatedColumnFormula>
    </tableColumn>
    <tableColumn id="5" xr3:uid="{265B028E-E591-449E-9BD1-25A22D51F1D7}" name="take-win-rate" dataDxfId="1113">
      <calculatedColumnFormula>IF(DruidAbilities4Scenario5[[#This Row],[takes]]&gt;0,DruidAbilities4Scenario5[[#This Row],[wins]]/DruidAbilities4Scenario5[[#This Row],[takes]],0)</calculatedColumnFormula>
    </tableColumn>
  </tableColumns>
  <tableStyleInfo name="TableStyleMedium2" showFirstColumn="0" showLastColumn="0" showRowStripes="1" showColumnStripes="0"/>
</table>
</file>

<file path=xl/tables/table1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7" xr:uid="{28726FB7-63FC-4F39-BEF9-BA72699BD992}" name="DruidEquipScenario5" displayName="DruidEquipScenario5" ref="Q107:S110" totalsRowShown="0">
  <autoFilter ref="Q107:S110" xr:uid="{28726FB7-63FC-4F39-BEF9-BA72699BD992}"/>
  <tableColumns count="3">
    <tableColumn id="1" xr3:uid="{6DA49FAB-7964-4E44-9EB2-6EFC57BFD341}" name="level"/>
    <tableColumn id="2" xr3:uid="{D18EA27D-248E-45A2-8507-2D4367F925E2}" name="staff" dataDxfId="1112">
      <calculatedColumnFormula>COUNTIFS(Scenario5[winner1],"druid",Scenario5[winner1-pw],DruidEquipScenario5[[#This Row],[level]])+COUNTIFS(Scenario5[winner2],"druid",Scenario5[winner2-pw],DruidEquipScenario5[[#This Row],[level]])+COUNTIFS(Scenario5[loser1],"druid",Scenario5[loser1-pw],DruidEquipScenario5[[#This Row],[level]])+COUNTIFS(Scenario5[loser2],"druid",Scenario5[loser2-pw],DruidEquipScenario5[[#This Row],[level]])</calculatedColumnFormula>
    </tableColumn>
    <tableColumn id="4" xr3:uid="{B8BD7DE1-F66E-4408-9469-BE6C82AFAF24}" name="chestpiece" dataDxfId="1111">
      <calculatedColumnFormula>COUNTIFS(Scenario5[winner1],"druid",Scenario5[winner1-cp],DruidEquipScenario5[[#This Row],[level]])+COUNTIFS(Scenario5[winner2],"druid",Scenario5[winner2-cp],DruidEquipScenario5[[#This Row],[level]])+COUNTIFS(Scenario5[loser1],"druid",Scenario5[loser1-cp],DruidEquipScenario5[[#This Row],[level]])+COUNTIFS(Scenario5[loser2],"druid",Scenario5[loser2-cp],DruidEquipScenario5[[#This Row],[level]])</calculatedColumnFormula>
    </tableColumn>
  </tableColumns>
  <tableStyleInfo name="TableStyleMedium2" showFirstColumn="0" showLastColumn="0" showRowStripes="1" showColumnStripes="0"/>
</table>
</file>

<file path=xl/tables/table1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845D52E-07AF-4C3E-991E-C0BE35D5FC59}" name="OracleAbilities1" displayName="OracleAbilities1" ref="A2:E5" totalsRowShown="0">
  <autoFilter ref="A2:E5" xr:uid="{DCA301F1-E0F8-4700-BEE5-2688AF43F23A}"/>
  <tableColumns count="5">
    <tableColumn id="2" xr3:uid="{5C784B06-A37D-4CA4-8DEF-409C9B9AB08F}" name="ability"/>
    <tableColumn id="6" xr3:uid="{560EAA4F-A0DF-4F24-B4A6-644DEC16CC9D}" name="takes" dataDxfId="1110">
      <calculatedColumnFormula>L3+L24+L45+L66+L87+L108</calculatedColumnFormula>
    </tableColumn>
    <tableColumn id="4" xr3:uid="{EC3B8EC8-1BFA-48CF-8CDE-94C6F7C34CA6}" name="wins" dataDxfId="1109">
      <calculatedColumnFormula>M3+M24+M45+M66+M87+M108</calculatedColumnFormula>
    </tableColumn>
    <tableColumn id="5" xr3:uid="{F0960502-C6CE-4EB1-BD9C-74EF7F619CEB}" name="battles-take-rate" dataDxfId="1108">
      <calculatedColumnFormula>IF(SUM(OracleAbilities1[[#This Row],[takes]]) &gt; 0,OracleAbilities1[[#This Row],[takes]]/SUM(OracleAbilities1[takes]),0)</calculatedColumnFormula>
    </tableColumn>
    <tableColumn id="7" xr3:uid="{D57162F7-A951-498D-B7FA-BABAB174DFFA}" name="take-win-rate" dataDxfId="1107">
      <calculatedColumnFormula>IF(OracleAbilities1[[#This Row],[takes]]&gt;0,OracleAbilities1[[#This Row],[wins]]/OracleAbilities1[[#This Row],[takes]],0)</calculatedColumnFormula>
    </tableColumn>
  </tableColumns>
  <tableStyleInfo name="TableStyleMedium2" showFirstColumn="0" showLastColumn="0" showRowStripes="1" showColumnStripes="0"/>
</table>
</file>

<file path=xl/tables/table1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380D9C1-2DBD-48B6-B9B3-F097B532854D}" name="OracleAbilities2" displayName="OracleAbilities2" ref="A7:E10" totalsRowShown="0" headerRowDxfId="1106" headerRowBorderDxfId="1105" tableBorderDxfId="1104" totalsRowBorderDxfId="1103">
  <autoFilter ref="A7:E10" xr:uid="{8ADAEE31-4DDA-4DF2-9EAD-04808D53FFC1}"/>
  <tableColumns count="5">
    <tableColumn id="1" xr3:uid="{BFA7C9AB-3F83-4B30-A342-3A4C00BEC06A}" name="ability"/>
    <tableColumn id="2" xr3:uid="{73BA7D00-F29E-4ADA-B8D8-1A50A1E7DEA2}" name="takes" dataDxfId="1102">
      <calculatedColumnFormula>L8+L29+L50+L71+L92+L113</calculatedColumnFormula>
    </tableColumn>
    <tableColumn id="3" xr3:uid="{DC8F8E66-B8EB-483C-B2BE-7C9B2A81E076}" name="wins" dataDxfId="1101">
      <calculatedColumnFormula>M8+M29+M50+M71+M92+M113</calculatedColumnFormula>
    </tableColumn>
    <tableColumn id="4" xr3:uid="{5AD9DA06-82FA-4EF9-BFCA-BF0FFFF88911}" name="battles-take-rate" dataDxfId="1100">
      <calculatedColumnFormula>IF(SUM(OracleAbilities2[[#This Row],[takes]]) &gt; 0,OracleAbilities2[[#This Row],[takes]]/SUM(OracleAbilities2[takes]),0)</calculatedColumnFormula>
    </tableColumn>
    <tableColumn id="5" xr3:uid="{E56D220D-AA3D-4E94-B0A0-DA6A34FF8616}" name="take-win-rate" dataDxfId="1099">
      <calculatedColumnFormula>IF(OracleAbilities2[[#This Row],[takes]]&gt;0,OracleAbilities2[[#This Row],[wins]]/OracleAbilities2[[#This Row],[takes]],0)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2" xr:uid="{E0066DB7-E302-4BD9-99EC-44B1789C2339}" name="Scenario4" displayName="Scenario4" ref="A1:AJ71" totalsRowShown="0">
  <autoFilter ref="A1:AJ71" xr:uid="{00000000-0009-0000-0100-000001000000}"/>
  <tableColumns count="36">
    <tableColumn id="1" xr3:uid="{BCD668BC-EA15-4124-A76A-A95AB955ABF3}" name="battle" dataDxfId="1783"/>
    <tableColumn id="2" xr3:uid="{376269BA-9441-4206-89BA-564CB547ACE3}" name="setup"/>
    <tableColumn id="3" xr3:uid="{8A140910-892D-40A0-AB80-15BF51A88AB6}" name="winner1"/>
    <tableColumn id="4" xr3:uid="{7DBEA6E5-AFDD-4D66-8718-9B379E391649}" name="winner1-pw"/>
    <tableColumn id="5" xr3:uid="{3B346AE2-29E9-41B9-9DD3-0CD26050D700}" name="winner1-sw"/>
    <tableColumn id="6" xr3:uid="{13117771-89EB-4B76-8CF8-A2B8A570F850}" name="winner1-cp"/>
    <tableColumn id="7" xr3:uid="{89918B06-5A2E-4492-A94E-ACD93929BAFF}" name="winner1-ability1"/>
    <tableColumn id="8" xr3:uid="{27CB6015-4D19-4F3C-97F2-DD9038156587}" name="winner1-ability2"/>
    <tableColumn id="9" xr3:uid="{048AC022-7B41-4D0C-B3B8-3695728FFD6C}" name="winner1-ability3"/>
    <tableColumn id="10" xr3:uid="{2D9C10A0-C80A-4346-B299-075BA879E51C}" name="winner1-ability4"/>
    <tableColumn id="19" xr3:uid="{3DBBB587-B872-4636-92A1-8E252E86BB9E}" name="loser1"/>
    <tableColumn id="20" xr3:uid="{0012418A-0628-4798-BB52-D6DBC20B3B20}" name="loser1-pw"/>
    <tableColumn id="21" xr3:uid="{2E15BE71-CE7F-421E-8551-5C7407D28B96}" name="loser1-sw"/>
    <tableColumn id="22" xr3:uid="{1E2CBF13-6161-4444-97FD-D397A8299BB5}" name="loser1-cp"/>
    <tableColumn id="23" xr3:uid="{EC122196-F0A9-4F3D-A0A5-0011A1A5FC2E}" name="loser1-ability1"/>
    <tableColumn id="24" xr3:uid="{FF5452ED-1D30-4940-AA78-A08D6AF548EC}" name="loser1-ability2"/>
    <tableColumn id="25" xr3:uid="{C093D766-370C-4D14-8C66-50C76C38B822}" name="loser1-ability3"/>
    <tableColumn id="26" xr3:uid="{5535D9A8-3FB8-4848-84FE-661CA9D309C2}" name="loser1-ability4"/>
    <tableColumn id="18" xr3:uid="{0C565666-66AA-4181-ABBD-A89ABB4D2E76}" name="loser2"/>
    <tableColumn id="17" xr3:uid="{4FFD418A-D3C1-4F4D-9119-31A809515CF3}" name="loser2-pw"/>
    <tableColumn id="16" xr3:uid="{DEC08446-2056-4C26-B54D-0B3742F15C99}" name="loser2-sw"/>
    <tableColumn id="15" xr3:uid="{B3831209-DC13-428A-B54C-CA67B5988182}" name="loser2-cp"/>
    <tableColumn id="14" xr3:uid="{4BB5B4D5-C764-4F16-ADEC-8C02C20159CB}" name="loser2-ability1"/>
    <tableColumn id="13" xr3:uid="{B8DF6DBD-4401-4374-B1F3-4EC57C9CFB73}" name="loser2-ability2"/>
    <tableColumn id="12" xr3:uid="{109CE1A6-061B-452A-B6CF-5936C27C9042}" name="loser2-ability3"/>
    <tableColumn id="11" xr3:uid="{4BA5C019-C182-43B3-AF52-213E6FBD3BC8}" name="loser2-ability4"/>
    <tableColumn id="34" xr3:uid="{0C1F5711-C3AB-4C97-B9B6-A43B74C2CADF}" name="loser3"/>
    <tableColumn id="33" xr3:uid="{0763B933-C7B9-47DE-AB89-A17CD079FE29}" name="loser3-pw"/>
    <tableColumn id="32" xr3:uid="{44023FC4-6256-43E4-960D-63ACA8EAEB34}" name="loser3-sw"/>
    <tableColumn id="31" xr3:uid="{610E37E4-ED42-4511-9701-0AD962499C44}" name="loser3-cp"/>
    <tableColumn id="30" xr3:uid="{32826DE0-5406-4F5F-BE7A-82195B401D4C}" name="loser3-ability1"/>
    <tableColumn id="29" xr3:uid="{789672BF-6216-40A7-9B57-53B04A1A61B3}" name="loser3-ability2"/>
    <tableColumn id="28" xr3:uid="{3487555A-D9DC-4016-94D2-18D639E03551}" name="loser3-ability3"/>
    <tableColumn id="27" xr3:uid="{B36BEAB2-6B2D-4E73-945C-7EE87901BD5A}" name="loser3-ability4"/>
    <tableColumn id="35" xr3:uid="{26845B47-4A46-4C87-8E1C-72DC187F0BFC}" name="crystals"/>
    <tableColumn id="36" xr3:uid="{FACAA482-09CB-4AD1-955A-3B3361B0E2C3}" name="turns"/>
  </tableColumns>
  <tableStyleInfo name="TableStyleMedium2" showFirstColumn="0" showLastColumn="0" showRowStripes="1" showColumnStripes="0"/>
</table>
</file>

<file path=xl/tables/table1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2DBB12F-7951-4D77-B3A2-7D8D0FD14DED}" name="OracleAbilities3" displayName="OracleAbilities3" ref="A12:E15" totalsRowShown="0" headerRowDxfId="1098" headerRowBorderDxfId="1097" tableBorderDxfId="1096" totalsRowBorderDxfId="1095">
  <autoFilter ref="A12:E15" xr:uid="{1B0EA3CA-FA8E-4345-B52C-471D5C94AD38}"/>
  <tableColumns count="5">
    <tableColumn id="1" xr3:uid="{17068E2F-ED3B-4C49-9EDE-802EA88EE80F}" name="ability"/>
    <tableColumn id="2" xr3:uid="{916E9328-0FE5-4CF5-8767-EAB3C72EC7D2}" name="takes" dataDxfId="1094">
      <calculatedColumnFormula>L13+L34+L55+L76+L97+L118</calculatedColumnFormula>
    </tableColumn>
    <tableColumn id="3" xr3:uid="{C0F69861-77B3-4AAF-8D53-36D42207F13D}" name="wins" dataDxfId="1093">
      <calculatedColumnFormula>M13+M34+M55+M76+M97+M118</calculatedColumnFormula>
    </tableColumn>
    <tableColumn id="4" xr3:uid="{17EE2411-F535-4C09-9682-1BE2E263BF38}" name="battles-take-rate" dataDxfId="1092">
      <calculatedColumnFormula>IF(SUM(OracleAbilities3[[#This Row],[takes]]) &gt; 0,OracleAbilities3[[#This Row],[takes]]/SUM(OracleAbilities3[takes]),0)</calculatedColumnFormula>
    </tableColumn>
    <tableColumn id="5" xr3:uid="{229155FF-B56A-4B53-A912-3FAA27663DA3}" name="take-win-rate" dataDxfId="1091">
      <calculatedColumnFormula>IF(OracleAbilities3[[#This Row],[takes]]&gt;0,OracleAbilities3[[#This Row],[wins]]/OracleAbilities3[[#This Row],[takes]],0)</calculatedColumnFormula>
    </tableColumn>
  </tableColumns>
  <tableStyleInfo name="TableStyleMedium2" showFirstColumn="0" showLastColumn="0" showRowStripes="1" showColumnStripes="0"/>
</table>
</file>

<file path=xl/tables/table1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A209D14-B429-4B71-BECC-2FDBC36929F6}" name="OracleAbilities4" displayName="OracleAbilities4" ref="A17:E20" totalsRowShown="0" headerRowDxfId="1090" headerRowBorderDxfId="1089" tableBorderDxfId="1088" totalsRowBorderDxfId="1087">
  <autoFilter ref="A17:E20" xr:uid="{2AADA4A0-2F4A-4009-8ECF-0BECA693390C}"/>
  <tableColumns count="5">
    <tableColumn id="1" xr3:uid="{5859F4D6-E405-494D-9495-456C2A717042}" name="ability" dataDxfId="1086"/>
    <tableColumn id="2" xr3:uid="{13382877-AB77-41B2-B30F-FD8ADF1868AD}" name="takes" dataDxfId="1085">
      <calculatedColumnFormula>L18+L39+L60+L81+L102+L123</calculatedColumnFormula>
    </tableColumn>
    <tableColumn id="3" xr3:uid="{56A52BF0-1C62-4182-A5FB-18D3BE10282A}" name="wins" dataDxfId="1084">
      <calculatedColumnFormula>M18+M39+M60+M81+M102+M123</calculatedColumnFormula>
    </tableColumn>
    <tableColumn id="4" xr3:uid="{F15A1649-CD46-4B82-A2D9-FCA28362795D}" name="battles-take-rate" dataDxfId="1083">
      <calculatedColumnFormula>IF(SUM(OracleAbilities4[[#This Row],[takes]]) &gt; 0,OracleAbilities4[[#This Row],[takes]]/SUM(OracleAbilities4[takes]),0)</calculatedColumnFormula>
    </tableColumn>
    <tableColumn id="5" xr3:uid="{2B045368-A471-4E84-9C25-A1C1225281E8}" name="take-win-rate" dataDxfId="1082">
      <calculatedColumnFormula>IF(OracleAbilities4[[#This Row],[takes]]&gt;0,OracleAbilities4[[#This Row],[wins]]/OracleAbilities4[[#This Row],[takes]],0)</calculatedColumnFormula>
    </tableColumn>
  </tableColumns>
  <tableStyleInfo name="TableStyleMedium2" showFirstColumn="0" showLastColumn="0" showRowStripes="1" showColumnStripes="0"/>
</table>
</file>

<file path=xl/tables/table1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86218C3-763E-4D19-B099-56A2D6852D04}" name="OracleEquip" displayName="OracleEquip" ref="G2:I5" totalsRowShown="0">
  <autoFilter ref="G2:I5" xr:uid="{C15024E5-2A00-4F8B-BBEB-0FE7A036BC54}"/>
  <tableColumns count="3">
    <tableColumn id="1" xr3:uid="{134591AF-F53B-4113-8631-C1B208DEDF6E}" name="level"/>
    <tableColumn id="2" xr3:uid="{2E56C5C5-28FA-4C1F-B3C3-04ED354B22DD}" name="book" dataDxfId="1081">
      <calculatedColumnFormula>R3+R24+R45+R66+R87+R108</calculatedColumnFormula>
    </tableColumn>
    <tableColumn id="4" xr3:uid="{069713F1-C2CC-49D1-89BE-818384A2E4FD}" name="chestpiece" dataDxfId="1080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1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DBC6C944-4BF2-48BC-9A4D-7CBBABBF2040}" name="OracleAbilities1Scenario0" displayName="OracleAbilities1Scenario0" ref="K2:O5" totalsRowShown="0">
  <autoFilter ref="K2:O5" xr:uid="{4CDFB74F-734F-4444-929B-80D3797B5492}"/>
  <tableColumns count="5">
    <tableColumn id="2" xr3:uid="{5D8456F3-3CDF-428E-99D7-20E40B9D08E8}" name="ability"/>
    <tableColumn id="6" xr3:uid="{51503199-331A-4CF9-AF85-06AF38B73665}" name="takes" dataDxfId="1079">
      <calculatedColumnFormula>COUNTIF(Scenario0[winner1-ability1],OracleAbilities1Scenario0[[#This Row],[ability]])+COUNTIF(Scenario0[winner2-ability1],OracleAbilities1Scenario0[[#This Row],[ability]])+COUNTIF(Scenario0[loser1-ability1],OracleAbilities1Scenario0[[#This Row],[ability]])+COUNTIF(Scenario0[loser2-ability1],OracleAbilities1Scenario0[[#This Row],[ability]])</calculatedColumnFormula>
    </tableColumn>
    <tableColumn id="4" xr3:uid="{74FED3C1-5F6F-4D67-97A3-5CE9E53D1110}" name="wins" dataDxfId="1078">
      <calculatedColumnFormula>COUNTIF(Scenario0[winner1-ability1],OracleAbilities1Scenario0[[#This Row],[ability]])+COUNTIF(Scenario0[winner2-ability1],OracleAbilities1Scenario0[[#This Row],[ability]])</calculatedColumnFormula>
    </tableColumn>
    <tableColumn id="5" xr3:uid="{FFBB28B3-8185-43DE-AF96-8D7B77DD9AB1}" name="battles-take-rate" dataDxfId="1077">
      <calculatedColumnFormula>IF(SUM(OracleAbilities1Scenario0[[#This Row],[takes]]) &gt; 0,OracleAbilities1Scenario0[[#This Row],[takes]]/SUM(OracleAbilities1Scenario0[takes]),0)</calculatedColumnFormula>
    </tableColumn>
    <tableColumn id="7" xr3:uid="{E9E98CD5-3EEE-4580-981F-1F1356AC1A8E}" name="take-win-rate" dataDxfId="1076">
      <calculatedColumnFormula>IF(OracleAbilities1Scenario0[[#This Row],[takes]]&gt;0,OracleAbilities1Scenario0[[#This Row],[wins]]/OracleAbilities1Scenario0[[#This Row],[takes]],0)</calculatedColumnFormula>
    </tableColumn>
  </tableColumns>
  <tableStyleInfo name="TableStyleMedium2" showFirstColumn="0" showLastColumn="0" showRowStripes="1" showColumnStripes="0"/>
</table>
</file>

<file path=xl/tables/table1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DF8CF2BB-D672-495B-A58A-3B1627D8A3FC}" name="OracleAbilities2Scenario0" displayName="OracleAbilities2Scenario0" ref="K7:O10" totalsRowShown="0" headerRowDxfId="1075" headerRowBorderDxfId="1074" tableBorderDxfId="1073" totalsRowBorderDxfId="1072">
  <autoFilter ref="K7:O10" xr:uid="{07F4368A-34C9-4286-BBA2-89F699718525}"/>
  <tableColumns count="5">
    <tableColumn id="1" xr3:uid="{E527E3BD-2EEC-41D1-B3DF-AC2A5E8EEBF8}" name="ability"/>
    <tableColumn id="2" xr3:uid="{6C69826F-398B-4DCA-8860-DE45F6C1ED62}" name="takes" dataDxfId="1071">
      <calculatedColumnFormula>COUNTIF(Scenario0[winner1-ability2],OracleAbilities2Scenario0[[#This Row],[ability]])+COUNTIF(Scenario0[winner2-ability2],OracleAbilities2Scenario0[[#This Row],[ability]])+COUNTIF(Scenario0[loser1-ability2],OracleAbilities2Scenario0[[#This Row],[ability]])+COUNTIF(Scenario0[loser2-ability2],OracleAbilities2Scenario0[[#This Row],[ability]])</calculatedColumnFormula>
    </tableColumn>
    <tableColumn id="3" xr3:uid="{D4E46F53-57F5-4C18-AF6F-65BB8721D139}" name="wins" dataDxfId="1070">
      <calculatedColumnFormula>COUNTIF(Scenario0[winner1-ability2],OracleAbilities2Scenario0[[#This Row],[ability]])+COUNTIF(Scenario0[winner2-ability2],OracleAbilities2Scenario0[[#This Row],[ability]])</calculatedColumnFormula>
    </tableColumn>
    <tableColumn id="4" xr3:uid="{8DB86543-C68E-49E3-B4D9-340861CEEEDE}" name="battles-take-rate" dataDxfId="1069">
      <calculatedColumnFormula>IF(SUM(OracleAbilities2Scenario0[[#This Row],[takes]]) &gt; 0,OracleAbilities2Scenario0[[#This Row],[takes]]/SUM(OracleAbilities2Scenario0[takes]),0)</calculatedColumnFormula>
    </tableColumn>
    <tableColumn id="5" xr3:uid="{99272AA5-2299-4797-8A55-CAF5812E4980}" name="take-win-rate" dataDxfId="1068">
      <calculatedColumnFormula>IF(OracleAbilities2Scenario0[[#This Row],[takes]]&gt;0,OracleAbilities2Scenario0[[#This Row],[wins]]/OracleAbilities2Scenario0[[#This Row],[takes]],0)</calculatedColumnFormula>
    </tableColumn>
  </tableColumns>
  <tableStyleInfo name="TableStyleMedium2" showFirstColumn="0" showLastColumn="0" showRowStripes="1" showColumnStripes="0"/>
</table>
</file>

<file path=xl/tables/table1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34D40E4F-D5D7-4DF8-AF0C-573732687C18}" name="OracleAbilities3Scenario0" displayName="OracleAbilities3Scenario0" ref="K12:O15" totalsRowShown="0" headerRowDxfId="1067" headerRowBorderDxfId="1066" tableBorderDxfId="1065" totalsRowBorderDxfId="1064">
  <autoFilter ref="K12:O15" xr:uid="{E8520742-705B-4A78-A5FD-1F57726A369B}"/>
  <tableColumns count="5">
    <tableColumn id="1" xr3:uid="{3EEBBB3A-00A6-4E59-A1AC-5B19396CC8F3}" name="ability"/>
    <tableColumn id="2" xr3:uid="{2926E19E-4996-45B4-8D43-E1E50A1306A3}" name="takes" dataDxfId="1063">
      <calculatedColumnFormula>COUNTIF(Scenario0[winner1-ability3],OracleAbilities3Scenario0[[#This Row],[ability]])+COUNTIF(Scenario0[winner2-ability3],OracleAbilities3Scenario0[[#This Row],[ability]])+COUNTIF(Scenario0[loser1-ability3],OracleAbilities3Scenario0[[#This Row],[ability]])+COUNTIF(Scenario0[loser2-ability3],OracleAbilities3Scenario0[[#This Row],[ability]])</calculatedColumnFormula>
    </tableColumn>
    <tableColumn id="3" xr3:uid="{D9A91C47-5EB8-45C9-8247-5A331F9F423F}" name="wins" dataDxfId="1062">
      <calculatedColumnFormula>COUNTIF(Scenario0[winner1-ability3],OracleAbilities3Scenario0[[#This Row],[ability]])+COUNTIF(Scenario0[winner2-ability3],OracleAbilities3Scenario0[[#This Row],[ability]])</calculatedColumnFormula>
    </tableColumn>
    <tableColumn id="4" xr3:uid="{81BC6305-7DBC-4EA9-B70A-B1CCC1BA1663}" name="battles-take-rate" dataDxfId="1061">
      <calculatedColumnFormula>IF(SUM(OracleAbilities3Scenario0[[#This Row],[takes]]) &gt; 0,OracleAbilities3Scenario0[[#This Row],[takes]]/SUM(OracleAbilities3Scenario0[takes]),0)</calculatedColumnFormula>
    </tableColumn>
    <tableColumn id="5" xr3:uid="{D6D0078F-5370-4ABC-8E15-CB8C3AA2917A}" name="take-win-rate" dataDxfId="1060">
      <calculatedColumnFormula>IF(OracleAbilities3Scenario0[[#This Row],[takes]]&gt;0,OracleAbilities3Scenario0[[#This Row],[wins]]/OracleAbilities3Scenario0[[#This Row],[takes]],0)</calculatedColumnFormula>
    </tableColumn>
  </tableColumns>
  <tableStyleInfo name="TableStyleMedium2" showFirstColumn="0" showLastColumn="0" showRowStripes="1" showColumnStripes="0"/>
</table>
</file>

<file path=xl/tables/table1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EF4B7640-B6E9-44B5-BE91-15BFD54F1B08}" name="OracleAbilities4Scenario0" displayName="OracleAbilities4Scenario0" ref="K17:O20" totalsRowShown="0" headerRowDxfId="1059" headerRowBorderDxfId="1058" tableBorderDxfId="1057" totalsRowBorderDxfId="1056">
  <autoFilter ref="K17:O20" xr:uid="{01E0B516-A92C-45D4-946B-0FCF2F31D98A}"/>
  <tableColumns count="5">
    <tableColumn id="1" xr3:uid="{6E3ACF5F-C817-4C40-88BC-5BCD22AC85C1}" name="ability" dataDxfId="1055"/>
    <tableColumn id="2" xr3:uid="{B913933F-DE61-4933-B988-849E3D873B6C}" name="takes" dataDxfId="1054">
      <calculatedColumnFormula>COUNTIF(Scenario0[winner1-ability4],OracleAbilities4Scenario0[[#This Row],[ability]])+COUNTIF(Scenario0[winner2-ability4],OracleAbilities4Scenario0[[#This Row],[ability]])+COUNTIF(Scenario0[loser1-ability4],OracleAbilities4Scenario0[[#This Row],[ability]])+COUNTIF(Scenario0[loser2-ability4],OracleAbilities4Scenario0[[#This Row],[ability]])</calculatedColumnFormula>
    </tableColumn>
    <tableColumn id="3" xr3:uid="{54B8F0B1-CC8A-4360-B578-B27C4D1283EF}" name="wins" dataDxfId="1053">
      <calculatedColumnFormula>COUNTIF(Scenario0[winner1-ability4],OracleAbilities4Scenario0[[#This Row],[ability]])+COUNTIF(Scenario0[winner2-ability4],OracleAbilities4Scenario0[[#This Row],[ability]])</calculatedColumnFormula>
    </tableColumn>
    <tableColumn id="4" xr3:uid="{DC546825-CF58-487F-AC2D-8861F9A5F018}" name="battles-take-rate" dataDxfId="1052">
      <calculatedColumnFormula>IF(SUM(OracleAbilities4Scenario0[[#This Row],[takes]]) &gt; 0,OracleAbilities4Scenario0[[#This Row],[takes]]/SUM(OracleAbilities4Scenario0[takes]),0)</calculatedColumnFormula>
    </tableColumn>
    <tableColumn id="5" xr3:uid="{42CFA2DC-5D0A-4A16-85A7-24D02B39C236}" name="take-win-rate" dataDxfId="1051">
      <calculatedColumnFormula>IF(OracleAbilities4Scenario0[[#This Row],[takes]]&gt;0,OracleAbilities4Scenario0[[#This Row],[wins]]/OracleAbilities4Scenario0[[#This Row],[takes]],0)</calculatedColumnFormula>
    </tableColumn>
  </tableColumns>
  <tableStyleInfo name="TableStyleMedium2" showFirstColumn="0" showLastColumn="0" showRowStripes="1" showColumnStripes="0"/>
</table>
</file>

<file path=xl/tables/table1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FF2DEBD1-F2E5-4D56-8116-ABC9214B783B}" name="OracleEquipScenario0" displayName="OracleEquipScenario0" ref="Q2:S5" totalsRowShown="0">
  <autoFilter ref="Q2:S5" xr:uid="{E84D91C4-DFF3-43B9-932F-3FEFFBEA9FF1}"/>
  <tableColumns count="3">
    <tableColumn id="1" xr3:uid="{8CE6DC32-F8A6-4512-8149-E934432CDA32}" name="level"/>
    <tableColumn id="2" xr3:uid="{CCB2CE9A-CE81-4B04-A959-B8E714D4FDC0}" name="book" dataDxfId="1050">
      <calculatedColumnFormula>COUNTIFS(Scenario0[winner1],"oracle",Scenario0[winner1-pw],OracleEquipScenario0[[#This Row],[level]])+COUNTIFS(Scenario0[winner2],"oracle",Scenario0[winner2-pw],OracleEquipScenario0[[#This Row],[level]])+COUNTIFS(Scenario0[loser1],"oracle",Scenario0[loser1-pw],OracleEquipScenario0[[#This Row],[level]])+COUNTIFS(Scenario0[loser2],"oracle",Scenario0[loser2-pw],OracleEquipScenario0[[#This Row],[level]])</calculatedColumnFormula>
    </tableColumn>
    <tableColumn id="4" xr3:uid="{1FF79368-A18D-444D-9F1C-7572892AF1AC}" name="chestpiece" dataDxfId="1049">
      <calculatedColumnFormula>COUNTIFS(Scenario0[winner1],"oracle",Scenario0[winner1-cp],OracleEquipScenario0[[#This Row],[level]])+COUNTIFS(Scenario0[winner2],"oracle",Scenario0[winner2-cp],OracleEquipScenario0[[#This Row],[level]])+COUNTIFS(Scenario0[loser1],"oracle",Scenario0[loser1-cp],OracleEquipScenario0[[#This Row],[level]])+COUNTIFS(Scenario0[loser2],"oracle",Scenario0[loser2-cp],OracleEquipScenario0[[#This Row],[level]])</calculatedColumnFormula>
    </tableColumn>
  </tableColumns>
  <tableStyleInfo name="TableStyleMedium2" showFirstColumn="0" showLastColumn="0" showRowStripes="1" showColumnStripes="0"/>
</table>
</file>

<file path=xl/tables/table1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D8F86392-A1F9-4794-A5CD-DB954F38345F}" name="OracleAbilities1Scenario1" displayName="OracleAbilities1Scenario1" ref="K23:O26" totalsRowShown="0">
  <autoFilter ref="K23:O26" xr:uid="{A0A97CA7-01BF-4D92-A7D1-F51028CD7758}"/>
  <tableColumns count="5">
    <tableColumn id="2" xr3:uid="{08F6DAE7-95C9-433A-8161-79B3B9452CA8}" name="ability"/>
    <tableColumn id="6" xr3:uid="{D857D46F-734E-41BD-9728-BE0E7AE22136}" name="takes" dataDxfId="1048">
      <calculatedColumnFormula>COUNTIF(Scenario1[winner1-ability1],OracleAbilities1Scenario1[[#This Row],[ability]])+COUNTIF(Scenario1[winner2-ability1],OracleAbilities1Scenario1[[#This Row],[ability]])+COUNTIF(Scenario1[loser1-ability1],OracleAbilities1Scenario1[[#This Row],[ability]])+COUNTIF(Scenario1[loser2-ability1],OracleAbilities1Scenario1[[#This Row],[ability]])</calculatedColumnFormula>
    </tableColumn>
    <tableColumn id="4" xr3:uid="{48DB970D-EC60-46F1-B89A-6CE118B182A5}" name="wins" dataDxfId="1047">
      <calculatedColumnFormula>COUNTIF(Scenario1[winner1-ability1],OracleAbilities1Scenario1[[#This Row],[ability]])+COUNTIF(Scenario1[winner2-ability1],OracleAbilities1Scenario1[[#This Row],[ability]])</calculatedColumnFormula>
    </tableColumn>
    <tableColumn id="5" xr3:uid="{E59B090D-3CF9-419A-A958-9B189D6B198D}" name="battles-take-rate" dataDxfId="1046">
      <calculatedColumnFormula>IF(SUM(OracleAbilities1Scenario1[[#This Row],[takes]]) &gt; 0,OracleAbilities1Scenario1[[#This Row],[takes]]/SUM(OracleAbilities1Scenario1[takes]),0)</calculatedColumnFormula>
    </tableColumn>
    <tableColumn id="7" xr3:uid="{D7F62600-AF72-4557-939D-18AF7B26A888}" name="take-win-rate" dataDxfId="1045">
      <calculatedColumnFormula>IF(OracleAbilities1Scenario1[[#This Row],[takes]]&gt;0,OracleAbilities1Scenario1[[#This Row],[wins]]/OracleAbilities1Scenario1[[#This Row],[takes]],0)</calculatedColumnFormula>
    </tableColumn>
  </tableColumns>
  <tableStyleInfo name="TableStyleMedium2" showFirstColumn="0" showLastColumn="0" showRowStripes="1" showColumnStripes="0"/>
</table>
</file>

<file path=xl/tables/table1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B1CE92CF-FC4A-4555-8FBE-ACE20D19534E}" name="OracleAbilities2Scenario1" displayName="OracleAbilities2Scenario1" ref="K28:O31" totalsRowShown="0" headerRowDxfId="1044" headerRowBorderDxfId="1043" tableBorderDxfId="1042" totalsRowBorderDxfId="1041">
  <autoFilter ref="K28:O31" xr:uid="{A29CF70A-0B84-46BB-A412-712C2F594795}"/>
  <tableColumns count="5">
    <tableColumn id="1" xr3:uid="{A78B7AE5-FFB9-4B14-80DD-02A5472ECE5D}" name="ability"/>
    <tableColumn id="2" xr3:uid="{D7A37668-570D-45EB-87B5-4855766CE3E7}" name="takes" dataDxfId="1040">
      <calculatedColumnFormula>COUNTIF(Scenario1[winner1-ability2],OracleAbilities2Scenario1[[#This Row],[ability]])+COUNTIF(Scenario1[winner2-ability2],OracleAbilities2Scenario1[[#This Row],[ability]])+COUNTIF(Scenario1[loser1-ability2],OracleAbilities2Scenario1[[#This Row],[ability]])+COUNTIF(Scenario1[loser2-ability2],OracleAbilities2Scenario1[[#This Row],[ability]])</calculatedColumnFormula>
    </tableColumn>
    <tableColumn id="3" xr3:uid="{0F87B65D-22B4-4801-982E-05C18BE5B063}" name="wins" dataDxfId="1039">
      <calculatedColumnFormula>COUNTIF(Scenario1[winner1-ability2],OracleAbilities2Scenario1[[#This Row],[ability]])+COUNTIF(Scenario1[winner2-ability2],OracleAbilities2Scenario1[[#This Row],[ability]])</calculatedColumnFormula>
    </tableColumn>
    <tableColumn id="4" xr3:uid="{20D07595-3EDA-40AD-844A-F78A299DE902}" name="battles-take-rate" dataDxfId="1038">
      <calculatedColumnFormula>IF(SUM(OracleAbilities2Scenario1[[#This Row],[takes]]) &gt; 0,OracleAbilities2Scenario1[[#This Row],[takes]]/SUM(OracleAbilities2Scenario1[takes]),0)</calculatedColumnFormula>
    </tableColumn>
    <tableColumn id="5" xr3:uid="{E17C0F32-5522-4300-B649-D8E1009A63CB}" name="take-win-rate" dataDxfId="1037">
      <calculatedColumnFormula>IF(OracleAbilities2Scenario1[[#This Row],[takes]]&gt;0,OracleAbilities2Scenario1[[#This Row],[wins]]/OracleAbilities2Scenario1[[#This Row],[takes]],0)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3" xr:uid="{CE04B5A8-F3A0-41EB-ACD3-9B2C8A72EAFA}" name="ScenarioStat4" displayName="ScenarioStat4" ref="A2:I72" totalsRowShown="0">
  <autoFilter ref="A2:I72" xr:uid="{00000000-0009-0000-0100-000002000000}"/>
  <tableColumns count="9">
    <tableColumn id="1" xr3:uid="{DE4CB1A4-2C52-4BA0-B8DF-E73440231F90}" name="hero-1"/>
    <tableColumn id="4" xr3:uid="{67B29D39-57DD-495A-9550-8B9A67A2CBD6}" name="team-1-win" dataDxfId="1782">
      <calculatedColumnFormula>COUNTIFS(Scenario4[winner1],ScenarioStat4[[#This Row],[hero-1]],Scenario4[loser1],ScenarioStat4[[#This Row],[hero-2]],Scenario4[loser2],ScenarioStat4[[#This Row],[hero-3]],Scenario4[loser3],ScenarioStat4[[#This Row],[hero-4]])</calculatedColumnFormula>
    </tableColumn>
    <tableColumn id="5" xr3:uid="{393B0BAF-E547-4B3D-9609-9666463674ED}" name="hero-2"/>
    <tableColumn id="8" xr3:uid="{73326C7C-E343-43A0-9039-8BBFF9A607D5}" name="team-2-win" dataDxfId="1781">
      <calculatedColumnFormula>COUNTIFS(Scenario4[winner1],ScenarioStat4[[#This Row],[hero-2]],Scenario4[loser1],ScenarioStat4[[#This Row],[hero-1]],Scenario4[loser2],ScenarioStat4[[#This Row],[hero-3]],Scenario4[loser3],ScenarioStat4[[#This Row],[hero-4]])</calculatedColumnFormula>
    </tableColumn>
    <tableColumn id="3" xr3:uid="{708E5BE4-DFD1-49EF-8505-283FEA43ABBF}" name="hero-3"/>
    <tableColumn id="6" xr3:uid="{8B43301E-13F9-4CF9-9976-7A58CB89C741}" name="team-3-win">
      <calculatedColumnFormula>COUNTIFS(Scenario4[winner1],ScenarioStat4[[#This Row],[hero-3]],Scenario4[loser1],ScenarioStat4[[#This Row],[hero-1]],Scenario4[loser2],ScenarioStat4[[#This Row],[hero-2]],Scenario4[loser3],ScenarioStat4[[#This Row],[hero-4]])</calculatedColumnFormula>
    </tableColumn>
    <tableColumn id="7" xr3:uid="{20E02043-B7DF-4926-A225-46696C254BCC}" name="hero-4"/>
    <tableColumn id="9" xr3:uid="{30621351-DDED-4D47-81D6-9A0501EC19F5}" name="team-4-win">
      <calculatedColumnFormula>COUNTIFS(Scenario4[winner1],ScenarioStat4[[#This Row],[hero-4]],Scenario4[loser1],ScenarioStat4[[#This Row],[hero-1]],Scenario4[loser2],ScenarioStat4[[#This Row],[hero-2]],Scenario4[loser3],ScenarioStat4[[#This Row],[hero-3]])</calculatedColumnFormula>
    </tableColumn>
    <tableColumn id="2" xr3:uid="{BABFFD65-DEE2-4170-8BA5-1D3956DBA0F3}" name="battles" dataDxfId="1780">
      <calculatedColumnFormula>ScenarioStat4[[#This Row],[team-1-win]]+ScenarioStat4[[#This Row],[team-2-win]]+ScenarioStat4[[#This Row],[team-3-win]]+ScenarioStat4[[#This Row],[team-4-win]]</calculatedColumnFormula>
    </tableColumn>
  </tableColumns>
  <tableStyleInfo name="TableStyleMedium2" showFirstColumn="0" showLastColumn="0" showRowStripes="1" showColumnStripes="0"/>
</table>
</file>

<file path=xl/tables/table1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E4B47649-5210-46D2-94F4-19787B23FB1B}" name="OracleAbilities3Scenario1" displayName="OracleAbilities3Scenario1" ref="K33:O36" totalsRowShown="0" headerRowDxfId="1036" headerRowBorderDxfId="1035" tableBorderDxfId="1034" totalsRowBorderDxfId="1033">
  <autoFilter ref="K33:O36" xr:uid="{CBC18F4E-86CD-4BE3-9377-2B862ED3B826}"/>
  <tableColumns count="5">
    <tableColumn id="1" xr3:uid="{9049261B-DAED-4567-876B-282F6877DF38}" name="ability"/>
    <tableColumn id="2" xr3:uid="{5BD3EA02-8470-4293-BECF-F0B847B0D1ED}" name="takes" dataDxfId="1032">
      <calculatedColumnFormula>COUNTIF(Scenario1[winner1-ability3],OracleAbilities3Scenario1[[#This Row],[ability]])+COUNTIF(Scenario1[winner2-ability3],OracleAbilities3Scenario1[[#This Row],[ability]])+COUNTIF(Scenario1[loser1-ability3],OracleAbilities3Scenario1[[#This Row],[ability]])+COUNTIF(Scenario1[loser2-ability3],OracleAbilities3Scenario1[[#This Row],[ability]])</calculatedColumnFormula>
    </tableColumn>
    <tableColumn id="3" xr3:uid="{8657CFC1-6630-4D32-AAF4-48F0D675B782}" name="wins" dataDxfId="1031">
      <calculatedColumnFormula>COUNTIF(Scenario1[winner1-ability3],OracleAbilities3Scenario1[[#This Row],[ability]])+COUNTIF(Scenario1[winner2-ability3],OracleAbilities3Scenario1[[#This Row],[ability]])</calculatedColumnFormula>
    </tableColumn>
    <tableColumn id="4" xr3:uid="{C152963B-DCF3-4E07-8290-5DEF054C1B0E}" name="battles-take-rate" dataDxfId="1030">
      <calculatedColumnFormula>IF(SUM(OracleAbilities3Scenario1[[#This Row],[takes]]) &gt; 0,OracleAbilities3Scenario1[[#This Row],[takes]]/SUM(OracleAbilities3Scenario1[takes]),0)</calculatedColumnFormula>
    </tableColumn>
    <tableColumn id="5" xr3:uid="{9CE6E187-5234-48B9-8F7E-E30B25D46C3B}" name="take-win-rate" dataDxfId="1029">
      <calculatedColumnFormula>IF(OracleAbilities3Scenario1[[#This Row],[takes]]&gt;0,OracleAbilities3Scenario1[[#This Row],[wins]]/OracleAbilities3Scenario1[[#This Row],[takes]],0)</calculatedColumnFormula>
    </tableColumn>
  </tableColumns>
  <tableStyleInfo name="TableStyleMedium2" showFirstColumn="0" showLastColumn="0" showRowStripes="1" showColumnStripes="0"/>
</table>
</file>

<file path=xl/tables/table1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31C705AC-60F1-46AA-8FF0-740AD1F3AE75}" name="OracleAbilities4Scenario1" displayName="OracleAbilities4Scenario1" ref="K38:O41" totalsRowShown="0" headerRowDxfId="1028" headerRowBorderDxfId="1027" tableBorderDxfId="1026" totalsRowBorderDxfId="1025">
  <autoFilter ref="K38:O41" xr:uid="{A1F38E75-59DE-4DB4-B81C-C0322397F6F7}"/>
  <tableColumns count="5">
    <tableColumn id="1" xr3:uid="{CB833622-9500-452A-9643-EC635B82CE80}" name="ability" dataDxfId="1024"/>
    <tableColumn id="2" xr3:uid="{91B01C21-E0B8-45E1-8DF5-A7B9A623E34E}" name="takes" dataDxfId="1023">
      <calculatedColumnFormula>COUNTIF(Scenario1[winner1-ability4],OracleAbilities4Scenario1[[#This Row],[ability]])+COUNTIF(Scenario1[winner2-ability4],OracleAbilities4Scenario1[[#This Row],[ability]])+COUNTIF(Scenario1[loser1-ability4],OracleAbilities4Scenario1[[#This Row],[ability]])+COUNTIF(Scenario1[loser2-ability4],OracleAbilities4Scenario1[[#This Row],[ability]])</calculatedColumnFormula>
    </tableColumn>
    <tableColumn id="3" xr3:uid="{B0BE94FB-AA15-4399-BD5B-E164635DF85D}" name="wins" dataDxfId="1022">
      <calculatedColumnFormula>COUNTIF(Scenario1[winner1-ability4],OracleAbilities4Scenario1[[#This Row],[ability]])+COUNTIF(Scenario1[winner2-ability4],OracleAbilities4Scenario1[[#This Row],[ability]])</calculatedColumnFormula>
    </tableColumn>
    <tableColumn id="4" xr3:uid="{E25C6CBE-17EB-488D-B5A1-1EAD80737D19}" name="battles-take-rate" dataDxfId="1021">
      <calculatedColumnFormula>IF(SUM(OracleAbilities4Scenario1[[#This Row],[takes]]) &gt; 0,OracleAbilities4Scenario1[[#This Row],[takes]]/SUM(OracleAbilities4Scenario1[takes]),0)</calculatedColumnFormula>
    </tableColumn>
    <tableColumn id="5" xr3:uid="{0C948839-399C-489C-BCC6-ACFA45525DC6}" name="take-win-rate" dataDxfId="1020">
      <calculatedColumnFormula>IF(OracleAbilities4Scenario1[[#This Row],[takes]]&gt;0,OracleAbilities4Scenario1[[#This Row],[wins]]/OracleAbilities4Scenario1[[#This Row],[takes]],0)</calculatedColumnFormula>
    </tableColumn>
  </tableColumns>
  <tableStyleInfo name="TableStyleMedium2" showFirstColumn="0" showLastColumn="0" showRowStripes="1" showColumnStripes="0"/>
</table>
</file>

<file path=xl/tables/table1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407F6D17-AD86-4226-B9F6-A9D96C1389E8}" name="OracleEquipScenario1" displayName="OracleEquipScenario1" ref="Q23:S26" totalsRowShown="0">
  <autoFilter ref="Q23:S26" xr:uid="{18EECD25-0AE5-4756-B5E1-492D523A2929}"/>
  <tableColumns count="3">
    <tableColumn id="1" xr3:uid="{F036874C-1052-4908-9115-1996C5928DC4}" name="level"/>
    <tableColumn id="2" xr3:uid="{08583675-DFAA-433F-9D68-EA7CD63B39AD}" name="book" dataDxfId="1019">
      <calculatedColumnFormula>COUNTIFS(Scenario1[winner1],"oracle",Scenario1[winner1-pw],OracleEquipScenario1[[#This Row],[level]])+COUNTIFS(Scenario1[winner2],"oracle",Scenario1[winner2-pw],OracleEquipScenario1[[#This Row],[level]])+COUNTIFS(Scenario1[loser1],"oracle",Scenario1[loser1-pw],OracleEquipScenario1[[#This Row],[level]])+COUNTIFS(Scenario1[loser2],"oracle",Scenario1[loser2-pw],OracleEquipScenario1[[#This Row],[level]])</calculatedColumnFormula>
    </tableColumn>
    <tableColumn id="4" xr3:uid="{41C77BA3-9A0D-4E35-B263-3B733759DE5F}" name="chestpiece" dataDxfId="1018">
      <calculatedColumnFormula>COUNTIFS(Scenario1[winner1],"oracle",Scenario1[winner1-cp],OracleEquipScenario1[[#This Row],[level]])+COUNTIFS(Scenario1[winner2],"oracle",Scenario1[winner2-cp],OracleEquipScenario1[[#This Row],[level]])+COUNTIFS(Scenario1[loser1],"oracle",Scenario1[loser1-cp],OracleEquipScenario1[[#This Row],[level]])+COUNTIFS(Scenario1[loser2],"oracle",Scenario1[loser2-cp],OracleEquipScenario1[[#This Row],[level]])</calculatedColumnFormula>
    </tableColumn>
  </tableColumns>
  <tableStyleInfo name="TableStyleMedium2" showFirstColumn="0" showLastColumn="0" showRowStripes="1" showColumnStripes="0"/>
</table>
</file>

<file path=xl/tables/table1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8468313A-0305-42CB-AF18-F3C19DC01560}" name="OracleAbilities1Scenario2" displayName="OracleAbilities1Scenario2" ref="K44:O47" totalsRowShown="0">
  <autoFilter ref="K44:O47" xr:uid="{81D76695-EE53-4A07-9351-842AC55F2540}"/>
  <tableColumns count="5">
    <tableColumn id="2" xr3:uid="{10CD89E9-2221-4945-9091-CA48E9BE5A77}" name="ability"/>
    <tableColumn id="6" xr3:uid="{999DDAAB-ABFE-4E65-A78A-5F2D89CC546F}" name="takes" dataDxfId="1017">
      <calculatedColumnFormula>COUNTIF(Scenario2[winner1-ability1],OracleAbilities1Scenario2[[#This Row],[ability]])+COUNTIF(Scenario2[loser1-ability1],OracleAbilities1Scenario2[[#This Row],[ability]])</calculatedColumnFormula>
    </tableColumn>
    <tableColumn id="4" xr3:uid="{501A4C29-A352-4A5A-8C42-EF2204AD056F}" name="wins" dataDxfId="1016">
      <calculatedColumnFormula>COUNTIF(Scenario2[winner1-ability1],OracleAbilities1Scenario2[[#This Row],[ability]])</calculatedColumnFormula>
    </tableColumn>
    <tableColumn id="5" xr3:uid="{034FA980-30F5-4A65-930E-873C758C7280}" name="battles-take-rate" dataDxfId="1015">
      <calculatedColumnFormula>IF(SUM(OracleAbilities1Scenario2[[#This Row],[takes]]) &gt; 0,OracleAbilities1Scenario2[[#This Row],[takes]]/SUM(OracleAbilities1Scenario2[takes]),0)</calculatedColumnFormula>
    </tableColumn>
    <tableColumn id="7" xr3:uid="{3F484501-01C0-4C99-A823-D9B7147CE5DA}" name="take-win-rate" dataDxfId="1014">
      <calculatedColumnFormula>IF(OracleAbilities1Scenario2[[#This Row],[takes]]&gt;0,OracleAbilities1Scenario2[[#This Row],[wins]]/OracleAbilities1Scenario2[[#This Row],[takes]],0)</calculatedColumnFormula>
    </tableColumn>
  </tableColumns>
  <tableStyleInfo name="TableStyleMedium2" showFirstColumn="0" showLastColumn="0" showRowStripes="1" showColumnStripes="0"/>
</table>
</file>

<file path=xl/tables/table1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2C7F0E02-51BC-4E68-9AEA-86FD4DCE27FF}" name="OracleAbilities2Scenario2" displayName="OracleAbilities2Scenario2" ref="K49:O52" totalsRowShown="0" headerRowDxfId="1013" headerRowBorderDxfId="1012" tableBorderDxfId="1011" totalsRowBorderDxfId="1010">
  <autoFilter ref="K49:O52" xr:uid="{B5828340-8DA1-4B65-ACEB-BDDDED872E64}"/>
  <tableColumns count="5">
    <tableColumn id="1" xr3:uid="{5A2A9001-E7B2-4996-8CC5-B71FF0DDFD6F}" name="ability"/>
    <tableColumn id="2" xr3:uid="{7013886B-E995-4644-B179-D9FFD56BF212}" name="takes" dataDxfId="1009">
      <calculatedColumnFormula>COUNTIF(Scenario2[winner1-ability2],OracleAbilities2Scenario2[[#This Row],[ability]])+COUNTIF(Scenario2[loser1-ability2],OracleAbilities2Scenario2[[#This Row],[ability]])</calculatedColumnFormula>
    </tableColumn>
    <tableColumn id="3" xr3:uid="{0C203C56-606B-4CCD-943A-EEACAF329BE4}" name="wins" dataDxfId="1008">
      <calculatedColumnFormula>COUNTIF(Scenario2[winner1-ability2],OracleAbilities2Scenario2[[#This Row],[ability]])</calculatedColumnFormula>
    </tableColumn>
    <tableColumn id="4" xr3:uid="{447E5C6C-E9F9-4D65-9CC8-EFF3C7DE5206}" name="battles-take-rate" dataDxfId="1007">
      <calculatedColumnFormula>IF(SUM(OracleAbilities2Scenario2[[#This Row],[takes]]) &gt; 0,OracleAbilities2Scenario2[[#This Row],[takes]]/SUM(OracleAbilities2Scenario2[takes]),0)</calculatedColumnFormula>
    </tableColumn>
    <tableColumn id="5" xr3:uid="{DFA839D3-9BAB-4355-AC00-CCFE857754CB}" name="take-win-rate" dataDxfId="1006">
      <calculatedColumnFormula>IF(OracleAbilities2Scenario2[[#This Row],[takes]]&gt;0,OracleAbilities2Scenario2[[#This Row],[wins]]/OracleAbilities2Scenario2[[#This Row],[takes]],0)</calculatedColumnFormula>
    </tableColumn>
  </tableColumns>
  <tableStyleInfo name="TableStyleMedium2" showFirstColumn="0" showLastColumn="0" showRowStripes="1" showColumnStripes="0"/>
</table>
</file>

<file path=xl/tables/table1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E6686787-AAC7-4D48-BA44-A39FF3E107BC}" name="OracleAbilities3Scenario2" displayName="OracleAbilities3Scenario2" ref="K54:O57" totalsRowShown="0" headerRowDxfId="1005" headerRowBorderDxfId="1004" tableBorderDxfId="1003" totalsRowBorderDxfId="1002">
  <autoFilter ref="K54:O57" xr:uid="{34ED10E5-B169-4BBA-8F2C-73FF473D0922}"/>
  <tableColumns count="5">
    <tableColumn id="1" xr3:uid="{CF14DA0D-ED41-4280-BA7A-A0A04BAFCCB5}" name="ability"/>
    <tableColumn id="2" xr3:uid="{DB4EA515-9D95-42EF-AF4D-258F7DF5BAEC}" name="takes" dataDxfId="1001">
      <calculatedColumnFormula>COUNTIF(Scenario2[winner1-ability3],OracleAbilities3Scenario2[[#This Row],[ability]])+COUNTIF(Scenario2[loser1-ability3],OracleAbilities3Scenario2[[#This Row],[ability]])</calculatedColumnFormula>
    </tableColumn>
    <tableColumn id="3" xr3:uid="{F6942301-1197-4616-8EFC-220AE2114250}" name="wins" dataDxfId="1000">
      <calculatedColumnFormula>COUNTIF(Scenario2[winner1-ability3],OracleAbilities3Scenario2[[#This Row],[ability]])</calculatedColumnFormula>
    </tableColumn>
    <tableColumn id="4" xr3:uid="{14BEA7A5-F9D1-44CF-A38C-50CB90297594}" name="battles-take-rate" dataDxfId="999">
      <calculatedColumnFormula>IF(SUM(OracleAbilities3Scenario2[[#This Row],[takes]]) &gt; 0,OracleAbilities3Scenario2[[#This Row],[takes]]/SUM(OracleAbilities3Scenario2[takes]),0)</calculatedColumnFormula>
    </tableColumn>
    <tableColumn id="5" xr3:uid="{A9B160AF-6992-400C-BE56-5A35445CF124}" name="take-win-rate" dataDxfId="998">
      <calculatedColumnFormula>IF(OracleAbilities3Scenario2[[#This Row],[takes]]&gt;0,OracleAbilities3Scenario2[[#This Row],[wins]]/OracleAbilities3Scenario2[[#This Row],[takes]],0)</calculatedColumnFormula>
    </tableColumn>
  </tableColumns>
  <tableStyleInfo name="TableStyleMedium2" showFirstColumn="0" showLastColumn="0" showRowStripes="1" showColumnStripes="0"/>
</table>
</file>

<file path=xl/tables/table1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" xr:uid="{ACCB588F-69E3-4E4E-B115-3CADFD539AD6}" name="OracleAbilities4Scenario2" displayName="OracleAbilities4Scenario2" ref="K59:O62" totalsRowShown="0" headerRowDxfId="997" headerRowBorderDxfId="996" tableBorderDxfId="995" totalsRowBorderDxfId="994">
  <autoFilter ref="K59:O62" xr:uid="{DDB7F110-02A6-4F67-8266-251AF48CB7C0}"/>
  <tableColumns count="5">
    <tableColumn id="1" xr3:uid="{684380C7-16C1-449D-A8CD-E4785101BEE3}" name="ability" dataDxfId="993"/>
    <tableColumn id="2" xr3:uid="{A5078570-2F9D-4A26-860A-7EA42522F276}" name="takes" dataDxfId="992">
      <calculatedColumnFormula>COUNTIF(Scenario2[winner1-ability4],OracleAbilities4Scenario2[[#This Row],[ability]])+COUNTIF(Scenario2[loser1-ability4],OracleAbilities4Scenario2[[#This Row],[ability]])</calculatedColumnFormula>
    </tableColumn>
    <tableColumn id="3" xr3:uid="{C3852750-FE90-483F-A2C9-E01435FF61B7}" name="wins" dataDxfId="991">
      <calculatedColumnFormula>COUNTIF(Scenario2[winner1-ability4],OracleAbilities4Scenario2[[#This Row],[ability]])</calculatedColumnFormula>
    </tableColumn>
    <tableColumn id="4" xr3:uid="{25CD52B3-8C70-4953-9C63-7606955949E3}" name="battles-take-rate" dataDxfId="990">
      <calculatedColumnFormula>IF(SUM(OracleAbilities4Scenario2[[#This Row],[takes]]) &gt; 0,OracleAbilities4Scenario2[[#This Row],[takes]]/SUM(OracleAbilities4Scenario2[takes]),0)</calculatedColumnFormula>
    </tableColumn>
    <tableColumn id="5" xr3:uid="{A3BAC443-8290-4973-9EB5-04304471CE45}" name="take-win-rate" dataDxfId="989">
      <calculatedColumnFormula>IF(OracleAbilities4Scenario2[[#This Row],[takes]]&gt;0,OracleAbilities4Scenario2[[#This Row],[wins]]/OracleAbilities4Scenario2[[#This Row],[takes]],0)</calculatedColumnFormula>
    </tableColumn>
  </tableColumns>
  <tableStyleInfo name="TableStyleMedium2" showFirstColumn="0" showLastColumn="0" showRowStripes="1" showColumnStripes="0"/>
</table>
</file>

<file path=xl/tables/table1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1" xr:uid="{12017E85-DF12-4436-A115-68E81B6857BB}" name="OracleEquipScenario2" displayName="OracleEquipScenario2" ref="Q44:S47" totalsRowShown="0">
  <autoFilter ref="Q44:S47" xr:uid="{BDEC3E9D-FA56-4E08-A52D-2A8BEB87833A}"/>
  <tableColumns count="3">
    <tableColumn id="1" xr3:uid="{7C34C7AA-AE5B-49D6-8F52-1AE3571834CA}" name="level"/>
    <tableColumn id="2" xr3:uid="{953DDABE-14D0-4238-9EFD-21CF173EC28E}" name="book" dataDxfId="988">
      <calculatedColumnFormula>COUNTIFS(Scenario2[winner1],"oracle",Scenario2[winner1-pw],OracleEquipScenario2[[#This Row],[level]])+COUNTIFS(Scenario2[loser1],"oracle",Scenario2[loser1-pw],OracleEquipScenario2[[#This Row],[level]])</calculatedColumnFormula>
    </tableColumn>
    <tableColumn id="4" xr3:uid="{BFC74FC3-08E9-4D9A-88F0-55DA84FA6AF3}" name="chestpiece" dataDxfId="987">
      <calculatedColumnFormula>COUNTIFS(Scenario2[winner1],"oracle",Scenario2[winner1-cp],OracleEquipScenario2[[#This Row],[level]])+COUNTIFS(Scenario2[loser1],"oracle",Scenario2[loser1-cp],OracleEquipScenario2[[#This Row],[level]])</calculatedColumnFormula>
    </tableColumn>
  </tableColumns>
  <tableStyleInfo name="TableStyleMedium2" showFirstColumn="0" showLastColumn="0" showRowStripes="1" showColumnStripes="0"/>
</table>
</file>

<file path=xl/tables/table1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0199AC5-46BB-423A-83E9-7655AE166703}" name="UpgradeStatistics19202122" displayName="UpgradeStatistics19202122" ref="U1:V9" totalsRowShown="0">
  <autoFilter ref="U1:V9" xr:uid="{40199AC5-46BB-423A-83E9-7655AE166703}"/>
  <tableColumns count="2">
    <tableColumn id="1" xr3:uid="{EACF1B13-C76E-431E-A38A-7874B1661C8A}" name="upgrade"/>
    <tableColumn id="3" xr3:uid="{F470037C-DF9D-4ABB-8689-E33517E503FC}" name="rate" dataDxfId="986"/>
  </tableColumns>
  <tableStyleInfo name="TableStyleMedium2" showFirstColumn="0" showLastColumn="0" showRowStripes="1" showColumnStripes="0"/>
</table>
</file>

<file path=xl/tables/table1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AF3D648-6810-4111-9B4E-984007A1506E}" name="OracleAbilities1Scenario3" displayName="OracleAbilities1Scenario3" ref="K65:O68" totalsRowShown="0">
  <autoFilter ref="K65:O68" xr:uid="{0AF3D648-6810-4111-9B4E-984007A1506E}"/>
  <tableColumns count="5">
    <tableColumn id="2" xr3:uid="{93755BBD-9662-4ABD-944E-B029A145F6A9}" name="ability"/>
    <tableColumn id="6" xr3:uid="{5BF98867-7A7E-462E-95CF-CA114E88DBE4}" name="takes" dataDxfId="985">
      <calculatedColumnFormula>COUNTIF(Scenario3[winner1-ability1],OracleAbilities1Scenario3[[#This Row],[ability]])+COUNTIF(Scenario3[loser1-ability1],OracleAbilities1Scenario3[[#This Row],[ability]])+COUNTIF(Scenario3[loser2-ability1],OracleAbilities1Scenario3[[#This Row],[ability]])</calculatedColumnFormula>
    </tableColumn>
    <tableColumn id="4" xr3:uid="{2C325373-8C63-40EA-8FFB-8B7539E9B51E}" name="wins" dataDxfId="984">
      <calculatedColumnFormula>COUNTIF(Scenario3[winner1-ability1],OracleAbilities1Scenario3[[#This Row],[ability]])</calculatedColumnFormula>
    </tableColumn>
    <tableColumn id="5" xr3:uid="{DE62042D-7982-4BF3-B071-8EDF692003FE}" name="battles-take-rate" dataDxfId="983">
      <calculatedColumnFormula>IF(SUM(OracleAbilities1Scenario3[[#This Row],[takes]]) &gt; 0,OracleAbilities1Scenario3[[#This Row],[takes]]/SUM(OracleAbilities1Scenario3[takes]),0)</calculatedColumnFormula>
    </tableColumn>
    <tableColumn id="7" xr3:uid="{BE6053AA-27E0-41B0-B1E7-DB0311B0CF8F}" name="take-win-rate" dataDxfId="982">
      <calculatedColumnFormula>IF(OracleAbilities1Scenario3[[#This Row],[takes]]&gt;0,OracleAbilities1Scenario3[[#This Row],[wins]]/OracleAbilities1Scenario3[[#This Row],[takes]],0)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4" xr:uid="{C3ECC778-9CFA-4605-88C6-43DE9155A8FD}" name="ScenarioTeams4" displayName="ScenarioTeams4" ref="K2:N10">
  <autoFilter ref="K2:N10" xr:uid="{3BA29664-241D-4460-819F-8FE8E5CEB60F}"/>
  <tableColumns count="4">
    <tableColumn id="1" xr3:uid="{054DB32F-4395-4CA9-8599-85E8AFC12AAE}" name="hero" totalsRowLabel="Total"/>
    <tableColumn id="7" xr3:uid="{D48697FB-8058-4998-9983-3D0C8CBD4115}" name="battles" totalsRowFunction="count" dataDxfId="1779">
      <calculatedColumnFormula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calculatedColumnFormula>
    </tableColumn>
    <tableColumn id="3" xr3:uid="{95F6DEF4-1137-45CC-8AE3-385CCD209120}" name="wins" dataDxfId="1778">
      <calculatedColumnFormula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calculatedColumnFormula>
    </tableColumn>
    <tableColumn id="5" xr3:uid="{B886FCF4-6410-4131-9EF9-EEA3DEFFD7F0}" name="win-rate" totalsRowFunction="sum" dataDxfId="1777" totalsRowDxfId="1776">
      <calculatedColumnFormula>IF(ScenarioTeams4[[#This Row],[battles]],ScenarioTeams4[[#This Row],[wins]]/ScenarioTeams4[[#This Row],[battles]],0)</calculatedColumnFormula>
    </tableColumn>
  </tableColumns>
  <tableStyleInfo name="TableStyleMedium2" showFirstColumn="0" showLastColumn="0" showRowStripes="1" showColumnStripes="0"/>
</table>
</file>

<file path=xl/tables/table1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4A616D38-B671-4431-9F63-309AB5715457}" name="OracleAbilities2Scenario3" displayName="OracleAbilities2Scenario3" ref="K70:O73" totalsRowShown="0" headerRowDxfId="981" headerRowBorderDxfId="980" tableBorderDxfId="979" totalsRowBorderDxfId="978">
  <autoFilter ref="K70:O73" xr:uid="{4A616D38-B671-4431-9F63-309AB5715457}"/>
  <tableColumns count="5">
    <tableColumn id="1" xr3:uid="{F294C62A-F002-4387-9BD7-7715C3DC0788}" name="ability"/>
    <tableColumn id="2" xr3:uid="{E14AF064-D97D-4620-B03E-249ECD48488D}" name="takes" dataDxfId="977">
      <calculatedColumnFormula>COUNTIF(Scenario3[winner1-ability2],OracleAbilities2Scenario3[[#This Row],[ability]])+COUNTIF(Scenario3[loser1-ability2],OracleAbilities2Scenario3[[#This Row],[ability]])+COUNTIF(Scenario3[loser2-ability2],OracleAbilities2Scenario3[[#This Row],[ability]])</calculatedColumnFormula>
    </tableColumn>
    <tableColumn id="3" xr3:uid="{1D24BEEC-565B-4930-9C38-82D471464A86}" name="wins" dataDxfId="976">
      <calculatedColumnFormula>COUNTIF(Scenario3[winner1-ability2],OracleAbilities2Scenario3[[#This Row],[ability]])</calculatedColumnFormula>
    </tableColumn>
    <tableColumn id="4" xr3:uid="{8DF31301-6566-4092-A843-4FFDD045A618}" name="battles-take-rate" dataDxfId="975">
      <calculatedColumnFormula>IF(SUM(OracleAbilities2Scenario3[[#This Row],[takes]]) &gt; 0,OracleAbilities2Scenario3[[#This Row],[takes]]/SUM(OracleAbilities2Scenario3[takes]),0)</calculatedColumnFormula>
    </tableColumn>
    <tableColumn id="5" xr3:uid="{4B7BAE1D-CA93-4C07-888F-675D3DA020F1}" name="take-win-rate" dataDxfId="974">
      <calculatedColumnFormula>IF(OracleAbilities2Scenario3[[#This Row],[takes]]&gt;0,OracleAbilities2Scenario3[[#This Row],[wins]]/OracleAbilities2Scenario3[[#This Row],[takes]],0)</calculatedColumnFormula>
    </tableColumn>
  </tableColumns>
  <tableStyleInfo name="TableStyleMedium2" showFirstColumn="0" showLastColumn="0" showRowStripes="1" showColumnStripes="0"/>
</table>
</file>

<file path=xl/tables/table1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31A87546-66AD-4779-8DF9-2EEE8A8685A2}" name="OracleAbilities3Scenario3" displayName="OracleAbilities3Scenario3" ref="K75:O78" totalsRowShown="0" headerRowDxfId="973" headerRowBorderDxfId="972" tableBorderDxfId="971" totalsRowBorderDxfId="970">
  <autoFilter ref="K75:O78" xr:uid="{31A87546-66AD-4779-8DF9-2EEE8A8685A2}"/>
  <tableColumns count="5">
    <tableColumn id="1" xr3:uid="{A870FD98-82C7-4227-A109-086D1DE0E51E}" name="ability"/>
    <tableColumn id="2" xr3:uid="{88363D75-38D6-4011-85C3-D67432030B5C}" name="takes" dataDxfId="969">
      <calculatedColumnFormula>COUNTIF(Scenario3[winner1-ability3],OracleAbilities3Scenario3[[#This Row],[ability]])+COUNTIF(Scenario3[loser1-ability3],OracleAbilities3Scenario3[[#This Row],[ability]])+COUNTIF(Scenario3[loser2-ability3],OracleAbilities3Scenario3[[#This Row],[ability]])</calculatedColumnFormula>
    </tableColumn>
    <tableColumn id="3" xr3:uid="{F384ACDC-60D3-4DBE-B962-A572237710A7}" name="wins" dataDxfId="968">
      <calculatedColumnFormula>COUNTIF(Scenario3[winner1-ability3],OracleAbilities3Scenario3[[#This Row],[ability]])</calculatedColumnFormula>
    </tableColumn>
    <tableColumn id="4" xr3:uid="{3DF4458E-C16E-4A8A-B345-E3B7F6485141}" name="battles-take-rate" dataDxfId="967">
      <calculatedColumnFormula>IF(SUM(OracleAbilities3Scenario3[[#This Row],[takes]]) &gt; 0,OracleAbilities3Scenario3[[#This Row],[takes]]/SUM(OracleAbilities3Scenario3[takes]),0)</calculatedColumnFormula>
    </tableColumn>
    <tableColumn id="5" xr3:uid="{6E68CF0C-B4B3-405F-BA82-6CE68C81FF61}" name="take-win-rate" dataDxfId="966">
      <calculatedColumnFormula>IF(OracleAbilities3Scenario3[[#This Row],[takes]]&gt;0,OracleAbilities3Scenario3[[#This Row],[wins]]/OracleAbilities3Scenario3[[#This Row],[takes]],0)</calculatedColumnFormula>
    </tableColumn>
  </tableColumns>
  <tableStyleInfo name="TableStyleMedium2" showFirstColumn="0" showLastColumn="0" showRowStripes="1" showColumnStripes="0"/>
</table>
</file>

<file path=xl/tables/table1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D79E2D8A-FC77-422A-AA03-F5F2585C088A}" name="OracleAbilities4Scenario3" displayName="OracleAbilities4Scenario3" ref="K80:O83" totalsRowShown="0" headerRowDxfId="965" headerRowBorderDxfId="964" tableBorderDxfId="963" totalsRowBorderDxfId="962">
  <autoFilter ref="K80:O83" xr:uid="{D79E2D8A-FC77-422A-AA03-F5F2585C088A}"/>
  <tableColumns count="5">
    <tableColumn id="1" xr3:uid="{DBD34D79-41EF-433F-AF97-F8A313ED3DF0}" name="ability" dataDxfId="961"/>
    <tableColumn id="2" xr3:uid="{F2E59DF2-2278-41C3-97C8-B7A29C9CCB3B}" name="takes" dataDxfId="960">
      <calculatedColumnFormula>COUNTIF(Scenario3[winner1-ability4],OracleAbilities4Scenario3[[#This Row],[ability]])+COUNTIF(Scenario3[loser1-ability4],OracleAbilities4Scenario3[[#This Row],[ability]])+COUNTIF(Scenario3[loser2-ability4],OracleAbilities4Scenario3[[#This Row],[ability]])</calculatedColumnFormula>
    </tableColumn>
    <tableColumn id="3" xr3:uid="{CA94F1B0-87F1-460B-825B-6AA23B408DBF}" name="wins" dataDxfId="959">
      <calculatedColumnFormula>COUNTIF(Scenario3[winner1-ability4],OracleAbilities4Scenario3[[#This Row],[ability]])</calculatedColumnFormula>
    </tableColumn>
    <tableColumn id="4" xr3:uid="{91B8F5F4-FFA1-4668-B2FE-3D694C677333}" name="battles-take-rate" dataDxfId="958">
      <calculatedColumnFormula>IF(SUM(OracleAbilities4Scenario3[[#This Row],[takes]]) &gt; 0,OracleAbilities4Scenario3[[#This Row],[takes]]/SUM(OracleAbilities4Scenario3[takes]),0)</calculatedColumnFormula>
    </tableColumn>
    <tableColumn id="5" xr3:uid="{96CA2656-6985-443A-9EC7-1B17585E59D3}" name="take-win-rate" dataDxfId="957">
      <calculatedColumnFormula>IF(OracleAbilities4Scenario3[[#This Row],[takes]]&gt;0,OracleAbilities4Scenario3[[#This Row],[wins]]/OracleAbilities4Scenario3[[#This Row],[takes]],0)</calculatedColumnFormula>
    </tableColumn>
  </tableColumns>
  <tableStyleInfo name="TableStyleMedium2" showFirstColumn="0" showLastColumn="0" showRowStripes="1" showColumnStripes="0"/>
</table>
</file>

<file path=xl/tables/table1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C63970FC-6C87-49C6-BEF0-D3D7B35527DA}" name="OracleEquipScenario3" displayName="OracleEquipScenario3" ref="Q65:S68" totalsRowShown="0">
  <autoFilter ref="Q65:S68" xr:uid="{C63970FC-6C87-49C6-BEF0-D3D7B35527DA}"/>
  <tableColumns count="3">
    <tableColumn id="1" xr3:uid="{3C05E597-F8D8-43DC-A11D-8E2B2AE5400F}" name="level"/>
    <tableColumn id="2" xr3:uid="{CFA258CD-0A70-4B74-B82E-9007AFCE4517}" name="book" dataDxfId="956">
      <calculatedColumnFormula>COUNTIFS(Scenario3[winner1],"oracle",Scenario3[winner1-pw],OracleEquipScenario3[[#This Row],[level]])+COUNTIFS(Scenario3[loser1],"oracle",Scenario3[loser1-pw],OracleEquipScenario3[[#This Row],[level]])+COUNTIFS(Scenario3[loser2],"oracle",Scenario3[loser2-pw],OracleEquipScenario3[[#This Row],[level]])</calculatedColumnFormula>
    </tableColumn>
    <tableColumn id="4" xr3:uid="{6FBAF149-445D-41CC-ACEF-6B33E76A84D4}" name="chestpiece" dataDxfId="955">
      <calculatedColumnFormula>COUNTIFS(Scenario3[winner1],"oracle",Scenario3[winner1-cp],OracleEquipScenario3[[#This Row],[level]])+COUNTIFS(Scenario3[loser1],"oracle",Scenario3[loser1-cp],OracleEquipScenario3[[#This Row],[level]])+COUNTIFS(Scenario3[loser2],"oracle",Scenario3[loser2-cp],OracleEquipScenario3[[#This Row],[level]])</calculatedColumnFormula>
    </tableColumn>
  </tableColumns>
  <tableStyleInfo name="TableStyleMedium2" showFirstColumn="0" showLastColumn="0" showRowStripes="1" showColumnStripes="0"/>
</table>
</file>

<file path=xl/tables/table1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0" xr:uid="{5F6D20C8-C241-401F-BEB7-96A7C572F04E}" name="OracleAbilities1Scenario4" displayName="OracleAbilities1Scenario4" ref="K86:O89" totalsRowShown="0">
  <autoFilter ref="K86:O89" xr:uid="{5F6D20C8-C241-401F-BEB7-96A7C572F04E}"/>
  <tableColumns count="5">
    <tableColumn id="2" xr3:uid="{708C0A4C-4F82-4CDD-BC21-339F46502AE6}" name="ability"/>
    <tableColumn id="6" xr3:uid="{72B5F777-3A0C-46E9-A6D4-3BDA27B78BE6}" name="takes" dataDxfId="954">
      <calculatedColumnFormula>COUNTIF(Scenario4[winner1-ability1],OracleAbilities1Scenario4[[#This Row],[ability]])+COUNTIF(Scenario4[loser1-ability1],OracleAbilities1Scenario4[[#This Row],[ability]])+COUNTIF(Scenario4[loser2-ability1],OracleAbilities1Scenario4[[#This Row],[ability]])+COUNTIF(Scenario4[loser3-ability1],OracleAbilities1Scenario4[[#This Row],[ability]])</calculatedColumnFormula>
    </tableColumn>
    <tableColumn id="4" xr3:uid="{B240DD15-C435-47EC-9DBE-7E367FF4A7BB}" name="wins" dataDxfId="953">
      <calculatedColumnFormula>COUNTIF(Scenario4[winner1-ability1],OracleAbilities1Scenario4[[#This Row],[ability]])</calculatedColumnFormula>
    </tableColumn>
    <tableColumn id="5" xr3:uid="{20962A48-FDB1-4433-AD85-6B419B89A67F}" name="battles-take-rate" dataDxfId="952">
      <calculatedColumnFormula>IF(SUM(OracleAbilities1Scenario4[[#This Row],[takes]]) &gt; 0,OracleAbilities1Scenario4[[#This Row],[takes]]/SUM(OracleAbilities1Scenario4[takes]),0)</calculatedColumnFormula>
    </tableColumn>
    <tableColumn id="7" xr3:uid="{12651168-E777-4E13-9648-DE3567659801}" name="take-win-rate" dataDxfId="951">
      <calculatedColumnFormula>IF(OracleAbilities1Scenario4[[#This Row],[takes]]&gt;0,OracleAbilities1Scenario4[[#This Row],[wins]]/OracleAbilities1Scenario4[[#This Row],[takes]],0)</calculatedColumnFormula>
    </tableColumn>
  </tableColumns>
  <tableStyleInfo name="TableStyleMedium2" showFirstColumn="0" showLastColumn="0" showRowStripes="1" showColumnStripes="0"/>
</table>
</file>

<file path=xl/tables/table1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1" xr:uid="{9CBCA75D-40C9-4453-8D95-CA8BB6D60F0F}" name="OracleAbilities2Scenario4" displayName="OracleAbilities2Scenario4" ref="K91:O94" totalsRowShown="0" headerRowDxfId="950" headerRowBorderDxfId="949" tableBorderDxfId="948" totalsRowBorderDxfId="947">
  <autoFilter ref="K91:O94" xr:uid="{9CBCA75D-40C9-4453-8D95-CA8BB6D60F0F}"/>
  <tableColumns count="5">
    <tableColumn id="1" xr3:uid="{2129D5C0-01E3-46BB-BD9D-62611B0E0C73}" name="ability"/>
    <tableColumn id="2" xr3:uid="{A09FABEC-2E30-4806-A0B4-33B4B6BD05B8}" name="takes" dataDxfId="946">
      <calculatedColumnFormula>COUNTIF(Scenario4[winner1-ability2],OracleAbilities2Scenario4[[#This Row],[ability]])+COUNTIF(Scenario4[loser1-ability2],OracleAbilities2Scenario4[[#This Row],[ability]])+COUNTIF(Scenario4[loser2-ability2],OracleAbilities2Scenario4[[#This Row],[ability]])+COUNTIF(Scenario4[loser3-ability2],OracleAbilities2Scenario4[[#This Row],[ability]])</calculatedColumnFormula>
    </tableColumn>
    <tableColumn id="3" xr3:uid="{3EADDD9D-251C-400C-B51F-DFBF49CF4B88}" name="wins" dataDxfId="945">
      <calculatedColumnFormula>COUNTIF(Scenario4[winner1-ability2],OracleAbilities2Scenario4[[#This Row],[ability]])</calculatedColumnFormula>
    </tableColumn>
    <tableColumn id="4" xr3:uid="{E158F215-350E-4C9E-8771-BFA9C4D2CF70}" name="battles-take-rate" dataDxfId="944">
      <calculatedColumnFormula>IF(SUM(OracleAbilities2Scenario4[[#This Row],[takes]]) &gt; 0,OracleAbilities2Scenario4[[#This Row],[takes]]/SUM(OracleAbilities2Scenario4[takes]),0)</calculatedColumnFormula>
    </tableColumn>
    <tableColumn id="5" xr3:uid="{4B6F1435-B929-41F8-9C58-B8E5DF72C55F}" name="take-win-rate" dataDxfId="943">
      <calculatedColumnFormula>IF(OracleAbilities2Scenario4[[#This Row],[takes]]&gt;0,OracleAbilities2Scenario4[[#This Row],[wins]]/OracleAbilities2Scenario4[[#This Row],[takes]],0)</calculatedColumnFormula>
    </tableColumn>
  </tableColumns>
  <tableStyleInfo name="TableStyleMedium2" showFirstColumn="0" showLastColumn="0" showRowStripes="1" showColumnStripes="0"/>
</table>
</file>

<file path=xl/tables/table1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2" xr:uid="{613BF204-36A0-4483-A1A3-C4B283C74B69}" name="OracleAbilities3Scenario4" displayName="OracleAbilities3Scenario4" ref="K96:O99" totalsRowShown="0" headerRowDxfId="942" headerRowBorderDxfId="941" tableBorderDxfId="940" totalsRowBorderDxfId="939">
  <autoFilter ref="K96:O99" xr:uid="{613BF204-36A0-4483-A1A3-C4B283C74B69}"/>
  <tableColumns count="5">
    <tableColumn id="1" xr3:uid="{43E966FB-3186-4297-AE58-0F42678BEA4A}" name="ability"/>
    <tableColumn id="2" xr3:uid="{658BA9AE-E442-4DAE-A6FD-C40498930E1B}" name="takes" dataDxfId="938">
      <calculatedColumnFormula>COUNTIF(Scenario4[winner1-ability3],OracleAbilities3Scenario4[[#This Row],[ability]])+COUNTIF(Scenario4[loser1-ability3],OracleAbilities3Scenario4[[#This Row],[ability]])+COUNTIF(Scenario4[loser2-ability3],OracleAbilities3Scenario4[[#This Row],[ability]])+COUNTIF(Scenario4[loser3-ability3],OracleAbilities3Scenario4[[#This Row],[ability]])</calculatedColumnFormula>
    </tableColumn>
    <tableColumn id="3" xr3:uid="{BE83A7E2-809B-4939-916F-6CB60941E44E}" name="wins" dataDxfId="937">
      <calculatedColumnFormula>COUNTIF(Scenario4[winner1-ability3],OracleAbilities3Scenario4[[#This Row],[ability]])</calculatedColumnFormula>
    </tableColumn>
    <tableColumn id="4" xr3:uid="{545DD3BB-A8B7-4278-B9E0-8B99F4DA3A2D}" name="battles-take-rate" dataDxfId="936">
      <calculatedColumnFormula>IF(SUM(OracleAbilities3Scenario4[[#This Row],[takes]]) &gt; 0,OracleAbilities3Scenario4[[#This Row],[takes]]/SUM(OracleAbilities3Scenario4[takes]),0)</calculatedColumnFormula>
    </tableColumn>
    <tableColumn id="5" xr3:uid="{57DC7B7A-7B24-4EA9-94BC-B1C95221DE37}" name="take-win-rate" dataDxfId="935">
      <calculatedColumnFormula>IF(OracleAbilities3Scenario4[[#This Row],[takes]]&gt;0,OracleAbilities3Scenario4[[#This Row],[wins]]/OracleAbilities3Scenario4[[#This Row],[takes]],0)</calculatedColumnFormula>
    </tableColumn>
  </tableColumns>
  <tableStyleInfo name="TableStyleMedium2" showFirstColumn="0" showLastColumn="0" showRowStripes="1" showColumnStripes="0"/>
</table>
</file>

<file path=xl/tables/table1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3" xr:uid="{A90B60DF-6D5E-424F-AC92-0501EE8D54C9}" name="OracleAbilities4Scenario4" displayName="OracleAbilities4Scenario4" ref="K101:O104" totalsRowShown="0" headerRowDxfId="934" headerRowBorderDxfId="933" tableBorderDxfId="932" totalsRowBorderDxfId="931">
  <autoFilter ref="K101:O104" xr:uid="{A90B60DF-6D5E-424F-AC92-0501EE8D54C9}"/>
  <tableColumns count="5">
    <tableColumn id="1" xr3:uid="{2BCBEE41-2EFE-491D-9797-7EF335F79D9B}" name="ability" dataDxfId="930"/>
    <tableColumn id="2" xr3:uid="{DF0F6ED7-41ED-40AF-884D-0FAA02427295}" name="takes" dataDxfId="929">
      <calculatedColumnFormula>COUNTIF(Scenario4[winner1-ability4],OracleAbilities4Scenario4[[#This Row],[ability]])+COUNTIF(Scenario4[loser1-ability4],OracleAbilities4Scenario4[[#This Row],[ability]])+COUNTIF(Scenario4[loser2-ability4],OracleAbilities4Scenario4[[#This Row],[ability]])+COUNTIF(Scenario4[loser3-ability4],OracleAbilities4Scenario4[[#This Row],[ability]])</calculatedColumnFormula>
    </tableColumn>
    <tableColumn id="3" xr3:uid="{84DD486D-1D63-4D1B-B912-7F17B75F3BCB}" name="wins" dataDxfId="928">
      <calculatedColumnFormula>COUNTIF(Scenario4[winner1-ability4],OracleAbilities4Scenario4[[#This Row],[ability]])</calculatedColumnFormula>
    </tableColumn>
    <tableColumn id="4" xr3:uid="{0241E110-A31B-4B51-AEEF-C37D5902AA27}" name="battles-take-rate" dataDxfId="927">
      <calculatedColumnFormula>IF(SUM(OracleAbilities4Scenario4[[#This Row],[takes]]) &gt; 0,OracleAbilities4Scenario4[[#This Row],[takes]]/SUM(OracleAbilities4Scenario4[takes]),0)</calculatedColumnFormula>
    </tableColumn>
    <tableColumn id="5" xr3:uid="{F032DBEC-FCE5-4FBD-B176-C8897006C17C}" name="take-win-rate" dataDxfId="926">
      <calculatedColumnFormula>IF(OracleAbilities4Scenario4[[#This Row],[takes]]&gt;0,OracleAbilities4Scenario4[[#This Row],[wins]]/OracleAbilities4Scenario4[[#This Row],[takes]],0)</calculatedColumnFormula>
    </tableColumn>
  </tableColumns>
  <tableStyleInfo name="TableStyleMedium2" showFirstColumn="0" showLastColumn="0" showRowStripes="1" showColumnStripes="0"/>
</table>
</file>

<file path=xl/tables/table1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4" xr:uid="{82C7F14F-256B-462E-A203-F7EFCA830C23}" name="OracleEquipScenario3245" displayName="OracleEquipScenario3245" ref="Q86:S89" totalsRowShown="0">
  <autoFilter ref="Q86:S89" xr:uid="{82C7F14F-256B-462E-A203-F7EFCA830C23}"/>
  <tableColumns count="3">
    <tableColumn id="1" xr3:uid="{4159A26F-1B9B-4C04-B9DC-F9F32B68F0EF}" name="level"/>
    <tableColumn id="2" xr3:uid="{577197E6-AEF2-4761-83C3-DA13AE8AC138}" name="book" dataDxfId="925">
      <calculatedColumnFormula>COUNTIFS(Scenario4[winner1],"oracle",Scenario4[winner1-pw],OracleEquipScenario3245[[#This Row],[level]])+COUNTIFS(Scenario4[loser1],"oracle",Scenario4[loser1-pw],OracleEquipScenario3245[[#This Row],[level]])+COUNTIFS(Scenario4[loser2],"oracle",Scenario4[loser2-pw],OracleEquipScenario3245[[#This Row],[level]])+COUNTIFS(Scenario4[loser3],"oracle",Scenario4[loser3-pw],OracleEquipScenario3245[[#This Row],[level]])</calculatedColumnFormula>
    </tableColumn>
    <tableColumn id="4" xr3:uid="{324B61E4-CA6E-4D2E-8704-6773A5B72B58}" name="chestpiece" dataDxfId="924">
      <calculatedColumnFormula>COUNTIFS(Scenario4[winner1],"oracle",Scenario4[winner1-cp],OracleEquipScenario3245[[#This Row],[level]])+COUNTIFS(Scenario4[loser1],"oracle",Scenario4[loser1-cp],OracleEquipScenario3245[[#This Row],[level]])+COUNTIFS(Scenario4[loser2],"oracle",Scenario4[loser2-cp],OracleEquipScenario3245[[#This Row],[level]])+COUNTIFS(Scenario4[loser3],"oracle",Scenario4[loser3-cp],OracleEquipScenario3245[[#This Row],[level]])</calculatedColumnFormula>
    </tableColumn>
  </tableColumns>
  <tableStyleInfo name="TableStyleMedium2" showFirstColumn="0" showLastColumn="0" showRowStripes="1" showColumnStripes="0"/>
</table>
</file>

<file path=xl/tables/table1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8" xr:uid="{382B6DCA-AA1C-49E2-8164-0DFF283A5277}" name="OracleAbilities1Scenario5" displayName="OracleAbilities1Scenario5" ref="K107:O110" totalsRowShown="0">
  <autoFilter ref="K107:O110" xr:uid="{382B6DCA-AA1C-49E2-8164-0DFF283A5277}"/>
  <tableColumns count="5">
    <tableColumn id="2" xr3:uid="{3086C691-41AD-4DFE-8F4A-3FA16DA18381}" name="ability"/>
    <tableColumn id="6" xr3:uid="{7CE4C157-E994-4768-B01E-931A38DF824D}" name="takes" dataDxfId="923">
      <calculatedColumnFormula>COUNTIF(Scenario5[winner1-ability1],OracleAbilities1Scenario5[[#This Row],[ability]])+COUNTIF(Scenario5[winner2-ability1],OracleAbilities1Scenario5[[#This Row],[ability]])+COUNTIF(Scenario5[loser1-ability1],OracleAbilities1Scenario5[[#This Row],[ability]])+COUNTIF(Scenario5[loser2-ability1],OracleAbilities1Scenario5[[#This Row],[ability]])</calculatedColumnFormula>
    </tableColumn>
    <tableColumn id="4" xr3:uid="{AABC55EF-E073-47C8-AE07-213442B6E1B3}" name="wins" dataDxfId="922">
      <calculatedColumnFormula>COUNTIF(Scenario5[winner1-ability1],OracleAbilities1Scenario5[[#This Row],[ability]])+COUNTIF(Scenario5[winner2-ability1],OracleAbilities1Scenario5[[#This Row],[ability]])</calculatedColumnFormula>
    </tableColumn>
    <tableColumn id="5" xr3:uid="{77F835AC-BC74-4F53-98B8-CFBB52FB5DF5}" name="battles-take-rate" dataDxfId="921">
      <calculatedColumnFormula>IF(SUM(OracleAbilities1Scenario5[[#This Row],[takes]]) &gt; 0,OracleAbilities1Scenario5[[#This Row],[takes]]/SUM(OracleAbilities1Scenario5[takes]),0)</calculatedColumnFormula>
    </tableColumn>
    <tableColumn id="7" xr3:uid="{00ED36EE-C772-45C6-847F-D0205FB4DA80}" name="take-win-rate" dataDxfId="920">
      <calculatedColumnFormula>IF(OracleAbilities1Scenario5[[#This Row],[takes]]&gt;0,OracleAbilities1Scenario5[[#This Row],[wins]]/OracleAbilities1Scenario5[[#This Row],[takes]],0)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5" xr:uid="{6C2D20A6-85B4-4346-A8D5-F476A7D47A20}" name="Scenario5" displayName="Scenario5" ref="A1:AJ211" totalsRowShown="0">
  <autoFilter ref="A1:AJ211" xr:uid="{00000000-0009-0000-0100-000001000000}"/>
  <tableColumns count="36">
    <tableColumn id="1" xr3:uid="{EF069B9A-F666-4BB1-8683-9730FA583554}" name="battle" dataDxfId="1775"/>
    <tableColumn id="2" xr3:uid="{73977ACE-D6E9-45D0-9FC9-F98DBA6F6270}" name="setup"/>
    <tableColumn id="3" xr3:uid="{9E2374B3-85AD-4F34-8219-0F41E056AB91}" name="winner1"/>
    <tableColumn id="4" xr3:uid="{A9937D24-A43D-4043-88B4-9771C962A958}" name="winner1-pw"/>
    <tableColumn id="5" xr3:uid="{83E0F231-50AF-4617-9882-45811E563B8A}" name="winner1-sw"/>
    <tableColumn id="6" xr3:uid="{26D27DA7-FFB6-457A-9C4E-8A6973314FF4}" name="winner1-cp"/>
    <tableColumn id="7" xr3:uid="{84B80946-ED1B-4DE1-BF02-9392F883E6AA}" name="winner1-ability1"/>
    <tableColumn id="8" xr3:uid="{03A5BB50-6E20-4F11-AACC-4EB087452BB8}" name="winner1-ability2"/>
    <tableColumn id="9" xr3:uid="{A4DD66B2-704D-4A8B-BBE0-680CD9A815F0}" name="winner1-ability3"/>
    <tableColumn id="10" xr3:uid="{648E87BC-9742-440A-BE5D-75CBE0F1937A}" name="winner1-ability4"/>
    <tableColumn id="11" xr3:uid="{38D9A2BB-1BFC-48A9-AA87-16DD4423E8E8}" name="winner2"/>
    <tableColumn id="12" xr3:uid="{91F80C22-9065-4A77-8BE5-AFE10A90C67E}" name="winner2-pw"/>
    <tableColumn id="13" xr3:uid="{EEB7CAC3-5B59-432F-A37A-A3A1EFBF2924}" name="winner2-sw"/>
    <tableColumn id="14" xr3:uid="{82D5A634-2460-43D1-87BB-AB3EC30443CA}" name="winner2-cp"/>
    <tableColumn id="15" xr3:uid="{1F6EDA4A-62D2-48AD-B3E4-46C512369D1B}" name="winner2-ability1"/>
    <tableColumn id="16" xr3:uid="{3D51FF16-93F5-491A-8B41-EC54977A6428}" name="winner2-ability2"/>
    <tableColumn id="17" xr3:uid="{72549377-CFBC-4D01-8687-9C832B744983}" name="winner2-ability3"/>
    <tableColumn id="18" xr3:uid="{E920C205-7746-4271-ABBA-F574BAB7B91E}" name="winner2-ability4"/>
    <tableColumn id="19" xr3:uid="{7F0E1011-641C-41BA-A39C-F6FC09D804BE}" name="loser1"/>
    <tableColumn id="20" xr3:uid="{9C6274FC-FD29-4E33-B3D7-C78DEE3EB06F}" name="loser1-pw"/>
    <tableColumn id="21" xr3:uid="{0F84E772-0419-4ECE-AE40-4E75586D2587}" name="loser1-sw"/>
    <tableColumn id="22" xr3:uid="{18A0E67E-17BC-478A-A487-90F40129F64F}" name="loser1-cp"/>
    <tableColumn id="23" xr3:uid="{0E3239C7-651A-4E44-B9DC-F744211BED19}" name="loser1-ability1"/>
    <tableColumn id="24" xr3:uid="{1FDB4459-2CF2-490A-8F16-A14171615A29}" name="loser1-ability2"/>
    <tableColumn id="25" xr3:uid="{BAB87448-DB56-48D9-9EC2-2A23211D8C99}" name="loser1-ability3"/>
    <tableColumn id="26" xr3:uid="{7FF93F0C-968E-48BA-A45B-267D8CCBCDE3}" name="loser1-ability4"/>
    <tableColumn id="27" xr3:uid="{B8663094-E4EE-4C8F-ADB3-54C31B889972}" name="loser2"/>
    <tableColumn id="28" xr3:uid="{6EFFFEF2-AE7C-4675-9C24-F506122A814C}" name="loser2-pw"/>
    <tableColumn id="29" xr3:uid="{E21D01A3-DFD7-4E2E-964A-0E5A9704A1BE}" name="loser2-sw"/>
    <tableColumn id="30" xr3:uid="{F3320F9C-FE42-444E-B326-F2B203EFC05B}" name="loser2-cp"/>
    <tableColumn id="31" xr3:uid="{EB68BA05-A4FC-4D9B-9429-DDA2DFAA3208}" name="loser2-ability1"/>
    <tableColumn id="32" xr3:uid="{4A04C7C1-C99B-4E2A-A90F-605202D9F796}" name="loser2-ability2"/>
    <tableColumn id="33" xr3:uid="{05B8F133-CD13-4288-8010-BAC9BCE9E793}" name="loser2-ability3"/>
    <tableColumn id="34" xr3:uid="{230160F4-BE5C-446E-9B15-209882ACB330}" name="loser2-ability4"/>
    <tableColumn id="35" xr3:uid="{D546AC9B-877A-4122-9019-BB27C5AAC397}" name="crystals"/>
    <tableColumn id="36" xr3:uid="{A447EF82-1D31-4743-8B82-08230D42DE3A}" name="turns"/>
  </tableColumns>
  <tableStyleInfo name="TableStyleMedium2" showFirstColumn="0" showLastColumn="0" showRowStripes="1" showColumnStripes="0"/>
</table>
</file>

<file path=xl/tables/table1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9" xr:uid="{AFA59802-CE94-4098-9B1F-93689DD97FF2}" name="OracleAbilities2Scenario5" displayName="OracleAbilities2Scenario5" ref="K112:O115" totalsRowShown="0" headerRowDxfId="919" headerRowBorderDxfId="918" tableBorderDxfId="917" totalsRowBorderDxfId="916">
  <autoFilter ref="K112:O115" xr:uid="{AFA59802-CE94-4098-9B1F-93689DD97FF2}"/>
  <tableColumns count="5">
    <tableColumn id="1" xr3:uid="{6CCC3D60-ACFE-4D67-84F1-B1DA8D962A07}" name="ability"/>
    <tableColumn id="2" xr3:uid="{979C2E3D-6EB7-4FA1-BF96-F5D7A795F17E}" name="takes" dataDxfId="915">
      <calculatedColumnFormula>COUNTIF(Scenario5[winner1-ability2],OracleAbilities2Scenario5[[#This Row],[ability]])+COUNTIF(Scenario5[winner2-ability2],OracleAbilities2Scenario5[[#This Row],[ability]])+COUNTIF(Scenario5[loser1-ability2],OracleAbilities2Scenario5[[#This Row],[ability]])+COUNTIF(Scenario5[loser2-ability2],OracleAbilities2Scenario5[[#This Row],[ability]])</calculatedColumnFormula>
    </tableColumn>
    <tableColumn id="3" xr3:uid="{D222C169-97C6-4197-914D-5FB6BF87172F}" name="wins" dataDxfId="914">
      <calculatedColumnFormula>COUNTIF(Scenario5[winner1-ability2],OracleAbilities2Scenario5[[#This Row],[ability]])+COUNTIF(Scenario5[winner2-ability2],OracleAbilities2Scenario5[[#This Row],[ability]])</calculatedColumnFormula>
    </tableColumn>
    <tableColumn id="4" xr3:uid="{729EDE0D-9F83-4FEF-A831-E7C01991C3FF}" name="battles-take-rate" dataDxfId="913">
      <calculatedColumnFormula>IF(SUM(OracleAbilities2Scenario5[[#This Row],[takes]]) &gt; 0,OracleAbilities2Scenario5[[#This Row],[takes]]/SUM(OracleAbilities2Scenario5[takes]),0)</calculatedColumnFormula>
    </tableColumn>
    <tableColumn id="5" xr3:uid="{1E255BA5-A6DE-445E-842E-6DB233C926DD}" name="take-win-rate" dataDxfId="912">
      <calculatedColumnFormula>IF(OracleAbilities2Scenario5[[#This Row],[takes]]&gt;0,OracleAbilities2Scenario5[[#This Row],[wins]]/OracleAbilities2Scenario5[[#This Row],[takes]],0)</calculatedColumnFormula>
    </tableColumn>
  </tableColumns>
  <tableStyleInfo name="TableStyleMedium2" showFirstColumn="0" showLastColumn="0" showRowStripes="1" showColumnStripes="0"/>
</table>
</file>

<file path=xl/tables/table1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0" xr:uid="{3D662C75-234C-481E-8FAC-1B9BD71461FC}" name="OracleAbilities3Scenario5" displayName="OracleAbilities3Scenario5" ref="K117:O120" totalsRowShown="0" headerRowDxfId="911" headerRowBorderDxfId="910" tableBorderDxfId="909" totalsRowBorderDxfId="908">
  <autoFilter ref="K117:O120" xr:uid="{3D662C75-234C-481E-8FAC-1B9BD71461FC}"/>
  <tableColumns count="5">
    <tableColumn id="1" xr3:uid="{4291F6ED-6191-4140-882D-7E81ECC32D0C}" name="ability"/>
    <tableColumn id="2" xr3:uid="{E47283EB-45CA-4500-B9F5-9C4027135CBE}" name="takes" dataDxfId="907">
      <calculatedColumnFormula>COUNTIF(Scenario5[winner1-ability3],OracleAbilities3Scenario5[[#This Row],[ability]])+COUNTIF(Scenario5[winner2-ability3],OracleAbilities3Scenario5[[#This Row],[ability]])+COUNTIF(Scenario5[loser1-ability3],OracleAbilities3Scenario5[[#This Row],[ability]])+COUNTIF(Scenario5[loser2-ability3],OracleAbilities3Scenario5[[#This Row],[ability]])</calculatedColumnFormula>
    </tableColumn>
    <tableColumn id="3" xr3:uid="{34AC17AE-3919-4636-9597-B0786C785A49}" name="wins" dataDxfId="906">
      <calculatedColumnFormula>COUNTIF(Scenario5[winner1-ability3],OracleAbilities3Scenario5[[#This Row],[ability]])+COUNTIF(Scenario5[winner2-ability3],OracleAbilities3Scenario5[[#This Row],[ability]])</calculatedColumnFormula>
    </tableColumn>
    <tableColumn id="4" xr3:uid="{D25495EF-2152-4E19-B1FC-F75CC4333976}" name="battles-take-rate" dataDxfId="905">
      <calculatedColumnFormula>IF(SUM(OracleAbilities3Scenario5[[#This Row],[takes]]) &gt; 0,OracleAbilities3Scenario5[[#This Row],[takes]]/SUM(OracleAbilities3Scenario5[takes]),0)</calculatedColumnFormula>
    </tableColumn>
    <tableColumn id="5" xr3:uid="{77B24E67-CFFB-48D5-B02A-9BCD9F3219F7}" name="take-win-rate" dataDxfId="904">
      <calculatedColumnFormula>IF(OracleAbilities3Scenario5[[#This Row],[takes]]&gt;0,OracleAbilities3Scenario5[[#This Row],[wins]]/OracleAbilities3Scenario5[[#This Row],[takes]],0)</calculatedColumnFormula>
    </tableColumn>
  </tableColumns>
  <tableStyleInfo name="TableStyleMedium2" showFirstColumn="0" showLastColumn="0" showRowStripes="1" showColumnStripes="0"/>
</table>
</file>

<file path=xl/tables/table1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1" xr:uid="{E2E1629C-B0D9-466D-BD66-8E394B74E384}" name="OracleAbilities4Scenario5" displayName="OracleAbilities4Scenario5" ref="K122:O125" totalsRowShown="0" headerRowDxfId="903" headerRowBorderDxfId="902" tableBorderDxfId="901" totalsRowBorderDxfId="900">
  <autoFilter ref="K122:O125" xr:uid="{E2E1629C-B0D9-466D-BD66-8E394B74E384}"/>
  <tableColumns count="5">
    <tableColumn id="1" xr3:uid="{AA533A29-20C2-4A65-AC96-65CCA3457C7E}" name="ability" dataDxfId="899"/>
    <tableColumn id="2" xr3:uid="{8EF487D6-4412-4F93-A267-6247F705D69A}" name="takes" dataDxfId="898">
      <calculatedColumnFormula>COUNTIF(Scenario5[winner1-ability4],OracleAbilities4Scenario5[[#This Row],[ability]])+COUNTIF(Scenario5[winner2-ability4],OracleAbilities4Scenario5[[#This Row],[ability]])+COUNTIF(Scenario5[loser1-ability4],OracleAbilities4Scenario5[[#This Row],[ability]])+COUNTIF(Scenario5[loser2-ability4],OracleAbilities4Scenario5[[#This Row],[ability]])</calculatedColumnFormula>
    </tableColumn>
    <tableColumn id="3" xr3:uid="{E32A4EE1-63A5-4CB0-9FEC-8FCB72076D90}" name="wins" dataDxfId="897">
      <calculatedColumnFormula>COUNTIF(Scenario5[winner1-ability4],OracleAbilities4Scenario5[[#This Row],[ability]])+COUNTIF(Scenario5[winner2-ability4],OracleAbilities4Scenario5[[#This Row],[ability]])</calculatedColumnFormula>
    </tableColumn>
    <tableColumn id="4" xr3:uid="{66544E1C-2D7E-475E-80A7-993B83D90C10}" name="battles-take-rate" dataDxfId="896">
      <calculatedColumnFormula>IF(SUM(OracleAbilities4Scenario5[[#This Row],[takes]]) &gt; 0,OracleAbilities4Scenario5[[#This Row],[takes]]/SUM(OracleAbilities4Scenario5[takes]),0)</calculatedColumnFormula>
    </tableColumn>
    <tableColumn id="5" xr3:uid="{6886BA07-B2AF-4088-AA1A-A32897B04569}" name="take-win-rate" dataDxfId="895">
      <calculatedColumnFormula>IF(OracleAbilities4Scenario5[[#This Row],[takes]]&gt;0,OracleAbilities4Scenario5[[#This Row],[wins]]/OracleAbilities4Scenario5[[#This Row],[takes]],0)</calculatedColumnFormula>
    </tableColumn>
  </tableColumns>
  <tableStyleInfo name="TableStyleMedium2" showFirstColumn="0" showLastColumn="0" showRowStripes="1" showColumnStripes="0"/>
</table>
</file>

<file path=xl/tables/table1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2" xr:uid="{D751726C-57BE-41B0-8D49-0619A405DA9E}" name="OracleEquipScenario5" displayName="OracleEquipScenario5" ref="Q107:S110" totalsRowShown="0">
  <autoFilter ref="Q107:S110" xr:uid="{D751726C-57BE-41B0-8D49-0619A405DA9E}"/>
  <tableColumns count="3">
    <tableColumn id="1" xr3:uid="{068261AA-4E3E-44C8-80A8-3890ED8830E6}" name="level"/>
    <tableColumn id="2" xr3:uid="{5B49B04F-4447-4006-821D-ACF271C54B3A}" name="book" dataDxfId="894">
      <calculatedColumnFormula>COUNTIFS(Scenario5[winner1],"oracle",Scenario5[winner1-pw],OracleEquipScenario5[[#This Row],[level]])+COUNTIFS(Scenario5[winner2],"oracle",Scenario5[winner2-pw],OracleEquipScenario5[[#This Row],[level]])+COUNTIFS(Scenario5[loser1],"oracle",Scenario5[loser1-pw],OracleEquipScenario5[[#This Row],[level]])+COUNTIFS(Scenario5[loser2],"oracle",Scenario5[loser2-pw],OracleEquipScenario5[[#This Row],[level]])</calculatedColumnFormula>
    </tableColumn>
    <tableColumn id="4" xr3:uid="{4962AD01-941B-472F-A57C-5D27E0809FDD}" name="chestpiece" dataDxfId="893">
      <calculatedColumnFormula>COUNTIFS(Scenario5[winner1],"oracle",Scenario5[winner1-cp],OracleEquipScenario5[[#This Row],[level]])+COUNTIFS(Scenario5[winner2],"oracle",Scenario5[winner2-cp],OracleEquipScenario5[[#This Row],[level]])+COUNTIFS(Scenario5[loser1],"oracle",Scenario5[loser1-cp],OracleEquipScenario5[[#This Row],[level]])+COUNTIFS(Scenario5[loser2],"oracle",Scenario5[loser2-cp],OracleEquipScenario5[[#This Row],[level]])</calculatedColumnFormula>
    </tableColumn>
  </tableColumns>
  <tableStyleInfo name="TableStyleMedium2" showFirstColumn="0" showLastColumn="0" showRowStripes="1" showColumnStripes="0"/>
</table>
</file>

<file path=xl/tables/table1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2" xr:uid="{C577CC2C-6991-46D5-8C33-F3DDFEDBCAC7}" name="AvatarAbilities1" displayName="AvatarAbilities1" ref="A2:E5" totalsRowShown="0">
  <autoFilter ref="A2:E5" xr:uid="{DCA301F1-E0F8-4700-BEE5-2688AF43F23A}"/>
  <tableColumns count="5">
    <tableColumn id="2" xr3:uid="{C7A7C11A-82C5-408B-85BC-AE5B2EFDF17F}" name="ability"/>
    <tableColumn id="6" xr3:uid="{17F0BA8D-98AF-4409-931C-38D7A9985731}" name="takes" dataDxfId="892">
      <calculatedColumnFormula>L3+L24+L45+L66+L87+L108</calculatedColumnFormula>
    </tableColumn>
    <tableColumn id="4" xr3:uid="{35DA6B5B-7FC1-492C-B2D0-6F511F16DAD4}" name="wins" dataDxfId="891">
      <calculatedColumnFormula>M3+M24+M45+M66+M87+M108</calculatedColumnFormula>
    </tableColumn>
    <tableColumn id="5" xr3:uid="{FAF7873E-FAE0-4F3C-BAB5-7E4AC3926D8C}" name="battles-take-rate" dataDxfId="890">
      <calculatedColumnFormula>IF(SUM(AvatarAbilities1[[#This Row],[takes]]) &gt; 0,AvatarAbilities1[[#This Row],[takes]]/SUM(AvatarAbilities1[takes]),0)</calculatedColumnFormula>
    </tableColumn>
    <tableColumn id="7" xr3:uid="{76FD7554-C371-4098-9E7B-77AA8CAAFD36}" name="take-win-rate" dataDxfId="889">
      <calculatedColumnFormula>IF(AvatarAbilities1[[#This Row],[takes]]&gt;0,AvatarAbilities1[[#This Row],[wins]]/AvatarAbilities1[[#This Row],[takes]],0)</calculatedColumnFormula>
    </tableColumn>
  </tableColumns>
  <tableStyleInfo name="TableStyleMedium2" showFirstColumn="0" showLastColumn="0" showRowStripes="1" showColumnStripes="0"/>
</table>
</file>

<file path=xl/tables/table1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3" xr:uid="{A98E8529-A828-44CC-BCCF-7611C687774C}" name="AvatarAbilities2" displayName="AvatarAbilities2" ref="A7:E10" totalsRowShown="0" headerRowDxfId="888" headerRowBorderDxfId="887" tableBorderDxfId="886" totalsRowBorderDxfId="885">
  <autoFilter ref="A7:E10" xr:uid="{8ADAEE31-4DDA-4DF2-9EAD-04808D53FFC1}"/>
  <tableColumns count="5">
    <tableColumn id="1" xr3:uid="{8607244A-CF3E-4FC8-8ED9-93CDC83CDD6A}" name="ability"/>
    <tableColumn id="2" xr3:uid="{BB4C0323-A714-40F3-8B5C-9FF7DF92C2FB}" name="takes" dataDxfId="884">
      <calculatedColumnFormula>L8+L29+L50+L71+L92+L113</calculatedColumnFormula>
    </tableColumn>
    <tableColumn id="3" xr3:uid="{A06DED1F-7374-4755-8A38-527DEBEFD3C6}" name="wins" dataDxfId="883">
      <calculatedColumnFormula>M8+M29+M50+M71+M92+M113</calculatedColumnFormula>
    </tableColumn>
    <tableColumn id="4" xr3:uid="{C56FD638-0548-4732-8F67-350D170E46E5}" name="battles-take-rate" dataDxfId="882">
      <calculatedColumnFormula>IF(SUM(AvatarAbilities2[[#This Row],[takes]]) &gt; 0,AvatarAbilities2[[#This Row],[takes]]/SUM(AvatarAbilities2[takes]),0)</calculatedColumnFormula>
    </tableColumn>
    <tableColumn id="5" xr3:uid="{70CCE564-3424-4F67-A1CD-74B6F32BD9D3}" name="take-win-rate" dataDxfId="881">
      <calculatedColumnFormula>IF(AvatarAbilities2[[#This Row],[takes]]&gt;0,AvatarAbilities2[[#This Row],[wins]]/AvatarAbilities2[[#This Row],[takes]],0)</calculatedColumnFormula>
    </tableColumn>
  </tableColumns>
  <tableStyleInfo name="TableStyleMedium2" showFirstColumn="0" showLastColumn="0" showRowStripes="1" showColumnStripes="0"/>
</table>
</file>

<file path=xl/tables/table1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4" xr:uid="{17759D5E-4E16-4912-94E2-479524348370}" name="AvatarAbilities3" displayName="AvatarAbilities3" ref="A12:E15" totalsRowShown="0" headerRowDxfId="880" headerRowBorderDxfId="879" tableBorderDxfId="878" totalsRowBorderDxfId="877">
  <autoFilter ref="A12:E15" xr:uid="{1B0EA3CA-FA8E-4345-B52C-471D5C94AD38}"/>
  <tableColumns count="5">
    <tableColumn id="1" xr3:uid="{F3DC1787-87BB-48BD-9502-48D340195128}" name="ability"/>
    <tableColumn id="2" xr3:uid="{2B68E5E0-B7F8-47E6-8FFF-435D8FCB0348}" name="takes" dataDxfId="876">
      <calculatedColumnFormula>L13+L34+L55+L76+L97+L118</calculatedColumnFormula>
    </tableColumn>
    <tableColumn id="3" xr3:uid="{150079D1-0272-4CFB-8282-44464105457B}" name="wins" dataDxfId="875">
      <calculatedColumnFormula>M13+M34+M55+M76+M97+M118</calculatedColumnFormula>
    </tableColumn>
    <tableColumn id="4" xr3:uid="{65FEB6D5-A05E-4FC8-B85E-99DFC519570C}" name="battles-take-rate" dataDxfId="874">
      <calculatedColumnFormula>IF(SUM(AvatarAbilities3[[#This Row],[takes]]) &gt; 0,AvatarAbilities3[[#This Row],[takes]]/SUM(AvatarAbilities3[takes]),0)</calculatedColumnFormula>
    </tableColumn>
    <tableColumn id="5" xr3:uid="{BFDDC20C-1793-48E8-8F5E-2D35DFF3D763}" name="take-win-rate" dataDxfId="873">
      <calculatedColumnFormula>IF(AvatarAbilities3[[#This Row],[takes]]&gt;0,AvatarAbilities3[[#This Row],[wins]]/AvatarAbilities3[[#This Row],[takes]],0)</calculatedColumnFormula>
    </tableColumn>
  </tableColumns>
  <tableStyleInfo name="TableStyleMedium2" showFirstColumn="0" showLastColumn="0" showRowStripes="1" showColumnStripes="0"/>
</table>
</file>

<file path=xl/tables/table1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5" xr:uid="{62916220-2B11-4EF0-BBF6-AAB24EBE7208}" name="AvatarAbilities4" displayName="AvatarAbilities4" ref="A17:E20" totalsRowShown="0" headerRowDxfId="872" headerRowBorderDxfId="871" tableBorderDxfId="870" totalsRowBorderDxfId="869">
  <autoFilter ref="A17:E20" xr:uid="{2AADA4A0-2F4A-4009-8ECF-0BECA693390C}"/>
  <tableColumns count="5">
    <tableColumn id="1" xr3:uid="{F38332B4-A633-4A53-A294-B990E53A9E9E}" name="ability" dataDxfId="868"/>
    <tableColumn id="2" xr3:uid="{A659B804-FBC0-4B86-B0D0-259516FAF254}" name="takes" dataDxfId="867">
      <calculatedColumnFormula>L18+L39+L60+L81+L102+L123</calculatedColumnFormula>
    </tableColumn>
    <tableColumn id="3" xr3:uid="{4DFB6D75-6E90-4DA5-BE74-537E8812340F}" name="wins" dataDxfId="866">
      <calculatedColumnFormula>M18+M39+M60+M81+M102+M123</calculatedColumnFormula>
    </tableColumn>
    <tableColumn id="4" xr3:uid="{D1650154-5016-46B0-8BD5-16233AA11280}" name="battles-take-rate" dataDxfId="865">
      <calculatedColumnFormula>IF(SUM(AvatarAbilities4[[#This Row],[takes]]) &gt; 0,AvatarAbilities4[[#This Row],[takes]]/SUM(AvatarAbilities4[takes]),0)</calculatedColumnFormula>
    </tableColumn>
    <tableColumn id="5" xr3:uid="{CE4F76AA-B6AF-4708-BBCF-2C74CB28DDA1}" name="take-win-rate" dataDxfId="864">
      <calculatedColumnFormula>IF(AvatarAbilities4[[#This Row],[takes]]&gt;0,AvatarAbilities4[[#This Row],[wins]]/AvatarAbilities4[[#This Row],[takes]],0)</calculatedColumnFormula>
    </tableColumn>
  </tableColumns>
  <tableStyleInfo name="TableStyleMedium2" showFirstColumn="0" showLastColumn="0" showRowStripes="1" showColumnStripes="0"/>
</table>
</file>

<file path=xl/tables/table1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6" xr:uid="{3761BD6F-E846-4F42-9C6C-677EBD4886FB}" name="AvatarEquip" displayName="AvatarEquip" ref="G2:I5" totalsRowShown="0">
  <autoFilter ref="G2:I5" xr:uid="{C15024E5-2A00-4F8B-BBEB-0FE7A036BC54}"/>
  <tableColumns count="3">
    <tableColumn id="1" xr3:uid="{0C7E77F1-D230-484C-A178-4FA8C9CCDC14}" name="level"/>
    <tableColumn id="2" xr3:uid="{3A76F927-E306-4C2D-A0F4-21FD7385D9BC}" name="bracers" dataDxfId="863">
      <calculatedColumnFormula>R3+R24+R45+R66+R87+R108</calculatedColumnFormula>
    </tableColumn>
    <tableColumn id="4" xr3:uid="{5D997E40-F727-46C7-B765-00166A875EA3}" name="chestpiece" dataDxfId="862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1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7" xr:uid="{92C023B2-9F30-4F36-BEAC-E515BF869369}" name="AvatarAbilities1Scenario0" displayName="AvatarAbilities1Scenario0" ref="K2:O5" totalsRowShown="0">
  <autoFilter ref="K2:O5" xr:uid="{4CDFB74F-734F-4444-929B-80D3797B5492}"/>
  <tableColumns count="5">
    <tableColumn id="2" xr3:uid="{7D2468B2-C853-4472-B374-D488E1B2C72B}" name="ability"/>
    <tableColumn id="6" xr3:uid="{9CD49603-F6C4-4C79-930D-EB2D5493D44F}" name="takes" dataDxfId="861">
      <calculatedColumnFormula>COUNTIF(Scenario0[winner1-ability1],AvatarAbilities1Scenario0[[#This Row],[ability]])+COUNTIF(Scenario0[winner2-ability1],AvatarAbilities1Scenario0[[#This Row],[ability]])+COUNTIF(Scenario0[loser1-ability1],AvatarAbilities1Scenario0[[#This Row],[ability]])+COUNTIF(Scenario0[loser2-ability1],AvatarAbilities1Scenario0[[#This Row],[ability]])</calculatedColumnFormula>
    </tableColumn>
    <tableColumn id="4" xr3:uid="{971800F4-B868-471F-AFAD-136479820F79}" name="wins" dataDxfId="860">
      <calculatedColumnFormula>COUNTIF(Scenario0[winner1-ability1],AvatarAbilities1Scenario0[[#This Row],[ability]])+COUNTIF(Scenario0[winner2-ability1],AvatarAbilities1Scenario0[[#This Row],[ability]])</calculatedColumnFormula>
    </tableColumn>
    <tableColumn id="5" xr3:uid="{87DF9CBB-9909-4D8B-9140-B186FB0F9EFF}" name="battles-take-rate" dataDxfId="859">
      <calculatedColumnFormula>IF(SUM(AvatarAbilities1Scenario0[[#This Row],[takes]]) &gt; 0,AvatarAbilities1Scenario0[[#This Row],[takes]]/SUM(AvatarAbilities1Scenario0[takes]),0)</calculatedColumnFormula>
    </tableColumn>
    <tableColumn id="7" xr3:uid="{A302B612-611E-4880-8310-1064CD9DC616}" name="take-win-rate" dataDxfId="858">
      <calculatedColumnFormula>IF(AvatarAbilities1Scenario0[[#This Row],[takes]]&gt;0,AvatarAbilities1Scenario0[[#This Row],[wins]]/AvatarAbilities1Scenario0[[#This Row],[takes]],0)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6" xr:uid="{C0A3CAF8-C3D2-403D-932A-E981DA8159ED}" name="ScenarioStat5" displayName="ScenarioStat5" ref="A2:G212" totalsRowShown="0">
  <autoFilter ref="A2:G212" xr:uid="{00000000-0009-0000-0100-000002000000}"/>
  <tableColumns count="7">
    <tableColumn id="1" xr3:uid="{4A9D2D9B-8B8A-4E7D-A668-2B972F4AE114}" name="hero-1"/>
    <tableColumn id="3" xr3:uid="{2716AA1B-3931-4120-949E-3BF62CEF1E13}" name="hero-2"/>
    <tableColumn id="4" xr3:uid="{9C44C5C0-E7E2-46AD-A687-59762D611613}" name="team-1-win" dataDxfId="1774">
      <calculatedColumnFormula>COUNTIFS(Scenario5[winner1],ScenarioStat5[[#This Row],[hero-1]],Scenario5[winner2],ScenarioStat5[[#This Row],[hero-2]],Scenario5[loser1],ScenarioStat5[[#This Row],[hero-3]],Scenario5[loser2],ScenarioStat5[[#This Row],[hero-4]])</calculatedColumnFormula>
    </tableColumn>
    <tableColumn id="5" xr3:uid="{4319AB3B-14DB-4935-BFB2-5F31AB557767}" name="hero-3"/>
    <tableColumn id="7" xr3:uid="{0603FFBF-6AB8-48D5-90C8-C2A51EE5B3F4}" name="hero-4"/>
    <tableColumn id="8" xr3:uid="{64E94594-513A-46AF-B08C-6AC8471FBAAB}" name="team-2-win" dataDxfId="1773">
      <calculatedColumnFormula>COUNTIFS(Scenario5[winner1],ScenarioStat5[[#This Row],[hero-3]],Scenario5[winner2],ScenarioStat5[[#This Row],[hero-4]],Scenario5[loser1],ScenarioStat5[[#This Row],[hero-1]],Scenario5[loser2],ScenarioStat5[[#This Row],[hero-2]])</calculatedColumnFormula>
    </tableColumn>
    <tableColumn id="2" xr3:uid="{D4FF7EC7-0F7D-4476-B618-E3AA62F16D5A}" name="battles" dataDxfId="1772">
      <calculatedColumnFormula>ScenarioStat5[[#This Row],[team-1-win]]+ScenarioStat5[[#This Row],[team-2-win]]</calculatedColumnFormula>
    </tableColumn>
  </tableColumns>
  <tableStyleInfo name="TableStyleMedium2" showFirstColumn="0" showLastColumn="0" showRowStripes="1" showColumnStripes="0"/>
</table>
</file>

<file path=xl/tables/table1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8" xr:uid="{B3C1EA9E-4344-4798-ACE6-1A48B301C6F6}" name="AvatarAbilities2Scenario0" displayName="AvatarAbilities2Scenario0" ref="K7:O10" totalsRowShown="0" headerRowDxfId="857" headerRowBorderDxfId="856" tableBorderDxfId="855" totalsRowBorderDxfId="854">
  <autoFilter ref="K7:O10" xr:uid="{07F4368A-34C9-4286-BBA2-89F699718525}"/>
  <tableColumns count="5">
    <tableColumn id="1" xr3:uid="{E152017B-EC19-4C2E-B7CD-C9E223453682}" name="ability"/>
    <tableColumn id="2" xr3:uid="{CE429298-EB73-4055-A428-51902CC5A7DF}" name="takes" dataDxfId="853">
      <calculatedColumnFormula>COUNTIF(Scenario0[winner1-ability2],AvatarAbilities2Scenario0[[#This Row],[ability]])+COUNTIF(Scenario0[winner2-ability2],AvatarAbilities2Scenario0[[#This Row],[ability]])+COUNTIF(Scenario0[loser1-ability2],AvatarAbilities2Scenario0[[#This Row],[ability]])+COUNTIF(Scenario0[loser2-ability2],AvatarAbilities2Scenario0[[#This Row],[ability]])</calculatedColumnFormula>
    </tableColumn>
    <tableColumn id="3" xr3:uid="{D53F4691-E45E-4958-9F45-DA2B5729BC78}" name="wins" dataDxfId="852">
      <calculatedColumnFormula>COUNTIF(Scenario0[winner1-ability2],AvatarAbilities2Scenario0[[#This Row],[ability]])+COUNTIF(Scenario0[winner2-ability2],AvatarAbilities2Scenario0[[#This Row],[ability]])</calculatedColumnFormula>
    </tableColumn>
    <tableColumn id="4" xr3:uid="{668A3E83-3886-46A3-8386-61C8CF7AC2C9}" name="battles-take-rate" dataDxfId="851">
      <calculatedColumnFormula>IF(SUM(AvatarAbilities2Scenario0[[#This Row],[takes]]) &gt; 0,AvatarAbilities2Scenario0[[#This Row],[takes]]/SUM(AvatarAbilities2Scenario0[takes]),0)</calculatedColumnFormula>
    </tableColumn>
    <tableColumn id="5" xr3:uid="{8B15AAFF-F7B2-4C8A-B25D-5399BABC8D7E}" name="take-win-rate" dataDxfId="850">
      <calculatedColumnFormula>IF(AvatarAbilities2Scenario0[[#This Row],[takes]]&gt;0,AvatarAbilities2Scenario0[[#This Row],[wins]]/AvatarAbilities2Scenario0[[#This Row],[takes]],0)</calculatedColumnFormula>
    </tableColumn>
  </tableColumns>
  <tableStyleInfo name="TableStyleMedium2" showFirstColumn="0" showLastColumn="0" showRowStripes="1" showColumnStripes="0"/>
</table>
</file>

<file path=xl/tables/table1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9" xr:uid="{8039D535-EF93-41B5-A239-C56DE92BF84B}" name="AvatarAbilities3Scenario0" displayName="AvatarAbilities3Scenario0" ref="K12:O15" totalsRowShown="0" headerRowDxfId="849" headerRowBorderDxfId="848" tableBorderDxfId="847" totalsRowBorderDxfId="846">
  <autoFilter ref="K12:O15" xr:uid="{E8520742-705B-4A78-A5FD-1F57726A369B}"/>
  <tableColumns count="5">
    <tableColumn id="1" xr3:uid="{8F3A52AD-E802-4254-A67E-50B10AAB2F87}" name="ability"/>
    <tableColumn id="2" xr3:uid="{39133143-CAC3-4E9F-B9DE-CD44A845EBAA}" name="takes" dataDxfId="845">
      <calculatedColumnFormula>COUNTIF(Scenario0[winner1-ability3],AvatarAbilities3Scenario0[[#This Row],[ability]])+COUNTIF(Scenario0[winner2-ability3],AvatarAbilities3Scenario0[[#This Row],[ability]])+COUNTIF(Scenario0[loser1-ability3],AvatarAbilities3Scenario0[[#This Row],[ability]])+COUNTIF(Scenario0[loser2-ability3],AvatarAbilities3Scenario0[[#This Row],[ability]])</calculatedColumnFormula>
    </tableColumn>
    <tableColumn id="3" xr3:uid="{4EA14492-F9DD-4349-B116-256AD925D654}" name="wins" dataDxfId="844">
      <calculatedColumnFormula>COUNTIF(Scenario0[winner1-ability3],AvatarAbilities3Scenario0[[#This Row],[ability]])+COUNTIF(Scenario0[winner2-ability3],AvatarAbilities3Scenario0[[#This Row],[ability]])</calculatedColumnFormula>
    </tableColumn>
    <tableColumn id="4" xr3:uid="{9DA7C7D6-5ACC-4241-A553-30DE424CBB6F}" name="battles-take-rate" dataDxfId="843">
      <calculatedColumnFormula>IF(SUM(AvatarAbilities3Scenario0[[#This Row],[takes]]) &gt; 0,AvatarAbilities3Scenario0[[#This Row],[takes]]/SUM(AvatarAbilities3Scenario0[takes]),0)</calculatedColumnFormula>
    </tableColumn>
    <tableColumn id="5" xr3:uid="{5ED61962-5BDA-4F2F-B271-0BC16D0B4975}" name="take-win-rate" dataDxfId="842">
      <calculatedColumnFormula>IF(AvatarAbilities3Scenario0[[#This Row],[takes]]&gt;0,AvatarAbilities3Scenario0[[#This Row],[wins]]/AvatarAbilities3Scenario0[[#This Row],[takes]],0)</calculatedColumnFormula>
    </tableColumn>
  </tableColumns>
  <tableStyleInfo name="TableStyleMedium2" showFirstColumn="0" showLastColumn="0" showRowStripes="1" showColumnStripes="0"/>
</table>
</file>

<file path=xl/tables/table1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0" xr:uid="{6BED17D7-87E1-40DA-9D40-A6AF319DA096}" name="AvatarAbilities4Scenario0" displayName="AvatarAbilities4Scenario0" ref="K17:O20" totalsRowShown="0" headerRowDxfId="841" headerRowBorderDxfId="840" tableBorderDxfId="839" totalsRowBorderDxfId="838">
  <autoFilter ref="K17:O20" xr:uid="{01E0B516-A92C-45D4-946B-0FCF2F31D98A}"/>
  <tableColumns count="5">
    <tableColumn id="1" xr3:uid="{B1ECB730-0F58-4ABC-942D-CAE55E41CA9A}" name="ability" dataDxfId="837"/>
    <tableColumn id="2" xr3:uid="{508F1330-F650-4934-B53E-5CF30E50850F}" name="takes" dataDxfId="836">
      <calculatedColumnFormula>COUNTIF(Scenario0[winner1-ability4],AvatarAbilities4Scenario0[[#This Row],[ability]])+COUNTIF(Scenario0[winner2-ability4],AvatarAbilities4Scenario0[[#This Row],[ability]])+COUNTIF(Scenario0[loser1-ability4],AvatarAbilities4Scenario0[[#This Row],[ability]])+COUNTIF(Scenario0[loser2-ability4],AvatarAbilities4Scenario0[[#This Row],[ability]])</calculatedColumnFormula>
    </tableColumn>
    <tableColumn id="3" xr3:uid="{D23396D0-2E24-44B3-BD15-2067D0299920}" name="wins" dataDxfId="835">
      <calculatedColumnFormula>COUNTIF(Scenario0[winner1-ability4],AvatarAbilities4Scenario0[[#This Row],[ability]])+COUNTIF(Scenario0[winner2-ability4],AvatarAbilities4Scenario0[[#This Row],[ability]])</calculatedColumnFormula>
    </tableColumn>
    <tableColumn id="4" xr3:uid="{69A2CAFF-D4F1-440B-973C-AB5B2FF1AFFE}" name="battles-take-rate" dataDxfId="834">
      <calculatedColumnFormula>IF(SUM(AvatarAbilities4Scenario0[[#This Row],[takes]]) &gt; 0,AvatarAbilities4Scenario0[[#This Row],[takes]]/SUM(AvatarAbilities4Scenario0[takes]),0)</calculatedColumnFormula>
    </tableColumn>
    <tableColumn id="5" xr3:uid="{2B9284F3-C06B-46DA-AE81-A20A94CCAC93}" name="take-win-rate" dataDxfId="833">
      <calculatedColumnFormula>IF(AvatarAbilities4Scenario0[[#This Row],[takes]]&gt;0,AvatarAbilities4Scenario0[[#This Row],[wins]]/AvatarAbilities4Scenario0[[#This Row],[takes]],0)</calculatedColumnFormula>
    </tableColumn>
  </tableColumns>
  <tableStyleInfo name="TableStyleMedium2" showFirstColumn="0" showLastColumn="0" showRowStripes="1" showColumnStripes="0"/>
</table>
</file>

<file path=xl/tables/table1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1" xr:uid="{407E7D9E-A2C0-4598-B9D9-2559AA113827}" name="AvatarEquipScenario0" displayName="AvatarEquipScenario0" ref="Q2:S5" totalsRowShown="0">
  <autoFilter ref="Q2:S5" xr:uid="{E84D91C4-DFF3-43B9-932F-3FEFFBEA9FF1}"/>
  <tableColumns count="3">
    <tableColumn id="1" xr3:uid="{76B81254-22E9-41C9-9A2E-02C1596148F6}" name="level"/>
    <tableColumn id="2" xr3:uid="{E6274D16-BC2D-49E9-8B07-0EFC05A79A3B}" name="bracers" dataDxfId="832">
      <calculatedColumnFormula>COUNTIFS(Scenario0[winner1],"avatar",Scenario0[winner1-pw],AvatarEquipScenario0[[#This Row],[level]])+COUNTIFS(Scenario0[winner2],"avatar",Scenario0[winner2-pw],AvatarEquipScenario0[[#This Row],[level]])+COUNTIFS(Scenario0[loser1],"avatar",Scenario0[loser1-pw],AvatarEquipScenario0[[#This Row],[level]])+COUNTIFS(Scenario0[loser2],"avatar",Scenario0[loser2-pw],AvatarEquipScenario0[[#This Row],[level]])</calculatedColumnFormula>
    </tableColumn>
    <tableColumn id="4" xr3:uid="{74A562D6-BC03-4BC1-ABA8-58F3D430F7CB}" name="chestpiece" dataDxfId="831">
      <calculatedColumnFormula>COUNTIFS(Scenario0[winner1],"avatar",Scenario0[winner1-cp],AvatarEquipScenario0[[#This Row],[level]])+COUNTIFS(Scenario0[winner2],"avatar",Scenario0[winner2-cp],AvatarEquipScenario0[[#This Row],[level]])+COUNTIFS(Scenario0[loser1],"avatar",Scenario0[loser1-cp],AvatarEquipScenario0[[#This Row],[level]])+COUNTIFS(Scenario0[loser2],"avatar",Scenario0[loser2-cp],AvatarEquipScenario0[[#This Row],[level]])</calculatedColumnFormula>
    </tableColumn>
  </tableColumns>
  <tableStyleInfo name="TableStyleMedium2" showFirstColumn="0" showLastColumn="0" showRowStripes="1" showColumnStripes="0"/>
</table>
</file>

<file path=xl/tables/table1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2" xr:uid="{477C47BA-5C5A-4AE2-8612-554D3A9DC173}" name="AvatarAbilities1Scenario1" displayName="AvatarAbilities1Scenario1" ref="K23:O26" totalsRowShown="0">
  <autoFilter ref="K23:O26" xr:uid="{A0A97CA7-01BF-4D92-A7D1-F51028CD7758}"/>
  <tableColumns count="5">
    <tableColumn id="2" xr3:uid="{3F132347-3455-46C8-87F0-A446F074CA18}" name="ability"/>
    <tableColumn id="6" xr3:uid="{149C58B7-10BB-4471-92AA-C643FE82E3F6}" name="takes" dataDxfId="830">
      <calculatedColumnFormula>COUNTIF(Scenario1[winner1-ability1],AvatarAbilities1Scenario1[[#This Row],[ability]])+COUNTIF(Scenario1[winner2-ability1],AvatarAbilities1Scenario1[[#This Row],[ability]])+COUNTIF(Scenario1[loser1-ability1],AvatarAbilities1Scenario1[[#This Row],[ability]])+COUNTIF(Scenario1[loser2-ability1],AvatarAbilities1Scenario1[[#This Row],[ability]])</calculatedColumnFormula>
    </tableColumn>
    <tableColumn id="4" xr3:uid="{A4CD1929-81B2-4BE0-9DEE-5530077D1AEA}" name="wins" dataDxfId="829">
      <calculatedColumnFormula>COUNTIF(Scenario1[winner1-ability1],AvatarAbilities1Scenario1[[#This Row],[ability]])+COUNTIF(Scenario1[winner2-ability1],AvatarAbilities1Scenario1[[#This Row],[ability]])</calculatedColumnFormula>
    </tableColumn>
    <tableColumn id="5" xr3:uid="{BC8FACA7-844F-47A4-8E14-7F93F55B9E41}" name="battles-take-rate" dataDxfId="828">
      <calculatedColumnFormula>IF(SUM(AvatarAbilities1Scenario1[[#This Row],[takes]]) &gt; 0,AvatarAbilities1Scenario1[[#This Row],[takes]]/SUM(AvatarAbilities1Scenario1[takes]),0)</calculatedColumnFormula>
    </tableColumn>
    <tableColumn id="7" xr3:uid="{4BC0F8DE-C1DE-4F97-AFFC-47125007BF98}" name="take-win-rate" dataDxfId="827">
      <calculatedColumnFormula>IF(AvatarAbilities1Scenario1[[#This Row],[takes]]&gt;0,AvatarAbilities1Scenario1[[#This Row],[wins]]/AvatarAbilities1Scenario1[[#This Row],[takes]],0)</calculatedColumnFormula>
    </tableColumn>
  </tableColumns>
  <tableStyleInfo name="TableStyleMedium2" showFirstColumn="0" showLastColumn="0" showRowStripes="1" showColumnStripes="0"/>
</table>
</file>

<file path=xl/tables/table1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3" xr:uid="{F052FF5D-13C4-4670-987A-5F5C851B8358}" name="AvatarAbilities2Scenario1" displayName="AvatarAbilities2Scenario1" ref="K28:O31" totalsRowShown="0" headerRowDxfId="826" headerRowBorderDxfId="825" tableBorderDxfId="824" totalsRowBorderDxfId="823">
  <autoFilter ref="K28:O31" xr:uid="{A29CF70A-0B84-46BB-A412-712C2F594795}"/>
  <tableColumns count="5">
    <tableColumn id="1" xr3:uid="{04644722-1491-44F3-9957-2E8802934B8A}" name="ability"/>
    <tableColumn id="2" xr3:uid="{E14CB6A0-319C-4B23-B0EC-3D7DDF30D02C}" name="takes" dataDxfId="822">
      <calculatedColumnFormula>COUNTIF(Scenario1[winner1-ability2],AvatarAbilities2Scenario1[[#This Row],[ability]])+COUNTIF(Scenario1[winner2-ability2],AvatarAbilities2Scenario1[[#This Row],[ability]])+COUNTIF(Scenario1[loser1-ability2],AvatarAbilities2Scenario1[[#This Row],[ability]])+COUNTIF(Scenario1[loser2-ability2],AvatarAbilities2Scenario1[[#This Row],[ability]])</calculatedColumnFormula>
    </tableColumn>
    <tableColumn id="3" xr3:uid="{4417D05A-9844-4A9E-B342-5F3895323C39}" name="wins" dataDxfId="821">
      <calculatedColumnFormula>COUNTIF(Scenario1[winner1-ability2],AvatarAbilities2Scenario1[[#This Row],[ability]])+COUNTIF(Scenario1[winner2-ability2],AvatarAbilities2Scenario1[[#This Row],[ability]])</calculatedColumnFormula>
    </tableColumn>
    <tableColumn id="4" xr3:uid="{A5F2CBBF-D1FC-4EA5-B790-5C96FE206219}" name="battles-take-rate" dataDxfId="820">
      <calculatedColumnFormula>IF(SUM(AvatarAbilities2Scenario1[[#This Row],[takes]]) &gt; 0,AvatarAbilities2Scenario1[[#This Row],[takes]]/SUM(AvatarAbilities2Scenario1[takes]),0)</calculatedColumnFormula>
    </tableColumn>
    <tableColumn id="5" xr3:uid="{861276A0-F937-49BF-98FF-77564BE4F11F}" name="take-win-rate" dataDxfId="819">
      <calculatedColumnFormula>IF(AvatarAbilities2Scenario1[[#This Row],[takes]]&gt;0,AvatarAbilities2Scenario1[[#This Row],[wins]]/AvatarAbilities2Scenario1[[#This Row],[takes]],0)</calculatedColumnFormula>
    </tableColumn>
  </tableColumns>
  <tableStyleInfo name="TableStyleMedium2" showFirstColumn="0" showLastColumn="0" showRowStripes="1" showColumnStripes="0"/>
</table>
</file>

<file path=xl/tables/table1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4" xr:uid="{D0919BE2-2356-42E7-AD08-429DD81AD845}" name="AvatarAbilities3Scenario1" displayName="AvatarAbilities3Scenario1" ref="K33:O36" totalsRowShown="0" headerRowDxfId="818" headerRowBorderDxfId="817" tableBorderDxfId="816" totalsRowBorderDxfId="815">
  <autoFilter ref="K33:O36" xr:uid="{CBC18F4E-86CD-4BE3-9377-2B862ED3B826}"/>
  <tableColumns count="5">
    <tableColumn id="1" xr3:uid="{754F1FDA-7285-4BCE-A9AF-F814783D5DD9}" name="ability"/>
    <tableColumn id="2" xr3:uid="{89AF389B-E890-4AA1-9813-2F81A272D9EF}" name="takes" dataDxfId="814">
      <calculatedColumnFormula>COUNTIF(Scenario1[winner1-ability3],AvatarAbilities3Scenario1[[#This Row],[ability]])+COUNTIF(Scenario1[winner2-ability3],AvatarAbilities3Scenario1[[#This Row],[ability]])+COUNTIF(Scenario1[loser1-ability3],AvatarAbilities3Scenario1[[#This Row],[ability]])+COUNTIF(Scenario1[loser2-ability3],AvatarAbilities3Scenario1[[#This Row],[ability]])</calculatedColumnFormula>
    </tableColumn>
    <tableColumn id="3" xr3:uid="{CB4A5231-5390-4FA1-A702-140014742B4F}" name="wins" dataDxfId="813">
      <calculatedColumnFormula>COUNTIF(Scenario1[winner1-ability3],AvatarAbilities3Scenario1[[#This Row],[ability]])+COUNTIF(Scenario1[winner2-ability3],AvatarAbilities3Scenario1[[#This Row],[ability]])</calculatedColumnFormula>
    </tableColumn>
    <tableColumn id="4" xr3:uid="{5E34D1DA-7C93-4370-8384-2CC63E1AD4DB}" name="battles-take-rate" dataDxfId="812">
      <calculatedColumnFormula>IF(SUM(AvatarAbilities3Scenario1[[#This Row],[takes]]) &gt; 0,AvatarAbilities3Scenario1[[#This Row],[takes]]/SUM(AvatarAbilities3Scenario1[takes]),0)</calculatedColumnFormula>
    </tableColumn>
    <tableColumn id="5" xr3:uid="{0308C1AB-1AB5-416D-B6F6-77F0EBECC1A2}" name="take-win-rate" dataDxfId="811">
      <calculatedColumnFormula>IF(AvatarAbilities3Scenario1[[#This Row],[takes]]&gt;0,AvatarAbilities3Scenario1[[#This Row],[wins]]/AvatarAbilities3Scenario1[[#This Row],[takes]],0)</calculatedColumnFormula>
    </tableColumn>
  </tableColumns>
  <tableStyleInfo name="TableStyleMedium2" showFirstColumn="0" showLastColumn="0" showRowStripes="1" showColumnStripes="0"/>
</table>
</file>

<file path=xl/tables/table1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5" xr:uid="{7DDB5A2C-6D3A-4C25-8BB9-CCA8E60CF39C}" name="AvatarAbilities4Scenario1" displayName="AvatarAbilities4Scenario1" ref="K38:O41" totalsRowShown="0" headerRowDxfId="810" headerRowBorderDxfId="809" tableBorderDxfId="808" totalsRowBorderDxfId="807">
  <autoFilter ref="K38:O41" xr:uid="{A1F38E75-59DE-4DB4-B81C-C0322397F6F7}"/>
  <tableColumns count="5">
    <tableColumn id="1" xr3:uid="{E95AEAE3-62BB-4DA7-B153-EB2086E73E57}" name="ability" dataDxfId="806"/>
    <tableColumn id="2" xr3:uid="{2A9E73B8-CD6F-4011-BAC1-63B6A821F80F}" name="takes" dataDxfId="805">
      <calculatedColumnFormula>COUNTIF(Scenario1[winner1-ability4],AvatarAbilities4Scenario1[[#This Row],[ability]])+COUNTIF(Scenario1[winner2-ability4],AvatarAbilities4Scenario1[[#This Row],[ability]])+COUNTIF(Scenario1[loser1-ability4],AvatarAbilities4Scenario1[[#This Row],[ability]])+COUNTIF(Scenario1[loser2-ability4],AvatarAbilities4Scenario1[[#This Row],[ability]])</calculatedColumnFormula>
    </tableColumn>
    <tableColumn id="3" xr3:uid="{AE3671B6-2989-441F-BD06-BF13F082A7FC}" name="wins" dataDxfId="804">
      <calculatedColumnFormula>COUNTIF(Scenario1[winner1-ability4],AvatarAbilities4Scenario1[[#This Row],[ability]])+COUNTIF(Scenario1[winner2-ability4],AvatarAbilities4Scenario1[[#This Row],[ability]])</calculatedColumnFormula>
    </tableColumn>
    <tableColumn id="4" xr3:uid="{89D04A7C-241A-490C-A606-751AB08E113C}" name="battles-take-rate" dataDxfId="803">
      <calculatedColumnFormula>IF(SUM(AvatarAbilities4Scenario1[[#This Row],[takes]]) &gt; 0,AvatarAbilities4Scenario1[[#This Row],[takes]]/SUM(AvatarAbilities4Scenario1[takes]),0)</calculatedColumnFormula>
    </tableColumn>
    <tableColumn id="5" xr3:uid="{0160D1CE-0A94-4163-B077-75EEEBAC27B0}" name="take-win-rate" dataDxfId="802">
      <calculatedColumnFormula>IF(AvatarAbilities4Scenario1[[#This Row],[takes]]&gt;0,AvatarAbilities4Scenario1[[#This Row],[wins]]/AvatarAbilities4Scenario1[[#This Row],[takes]],0)</calculatedColumnFormula>
    </tableColumn>
  </tableColumns>
  <tableStyleInfo name="TableStyleMedium2" showFirstColumn="0" showLastColumn="0" showRowStripes="1" showColumnStripes="0"/>
</table>
</file>

<file path=xl/tables/table1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6" xr:uid="{4030A523-5C68-442C-B8C2-66DFC7B7F40B}" name="AvatarEquipScenario1" displayName="AvatarEquipScenario1" ref="Q23:S26" totalsRowShown="0">
  <autoFilter ref="Q23:S26" xr:uid="{18EECD25-0AE5-4756-B5E1-492D523A2929}"/>
  <tableColumns count="3">
    <tableColumn id="1" xr3:uid="{892F4335-3E64-4329-A8F1-2B8DA27DF515}" name="level"/>
    <tableColumn id="2" xr3:uid="{ECB0A0ED-8604-4044-A5A7-AA3AFEA01004}" name="bracers" dataDxfId="801">
      <calculatedColumnFormula>COUNTIFS(Scenario1[winner1],"avatar",Scenario1[winner1-pw],AvatarEquipScenario1[[#This Row],[level]])+COUNTIFS(Scenario1[winner2],"avatar",Scenario1[winner2-pw],AvatarEquipScenario1[[#This Row],[level]])+COUNTIFS(Scenario1[loser1],"avatar",Scenario1[loser1-pw],AvatarEquipScenario1[[#This Row],[level]])+COUNTIFS(Scenario1[loser2],"avatar",Scenario1[loser2-pw],AvatarEquipScenario1[[#This Row],[level]])</calculatedColumnFormula>
    </tableColumn>
    <tableColumn id="4" xr3:uid="{708D4740-5432-437F-8074-37EFF5AD210D}" name="chestpiece" dataDxfId="800">
      <calculatedColumnFormula>COUNTIFS(Scenario1[winner1],"avatar",Scenario1[winner1-cp],AvatarEquipScenario1[[#This Row],[level]])+COUNTIFS(Scenario1[winner2],"avatar",Scenario1[winner2-cp],AvatarEquipScenario1[[#This Row],[level]])+COUNTIFS(Scenario1[loser1],"avatar",Scenario1[loser1-cp],AvatarEquipScenario1[[#This Row],[level]])+COUNTIFS(Scenario1[loser2],"avatar",Scenario1[loser2-cp],AvatarEquipScenario1[[#This Row],[level]])</calculatedColumnFormula>
    </tableColumn>
  </tableColumns>
  <tableStyleInfo name="TableStyleMedium2" showFirstColumn="0" showLastColumn="0" showRowStripes="1" showColumnStripes="0"/>
</table>
</file>

<file path=xl/tables/table1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7" xr:uid="{B9B2BF33-8CBC-4745-8150-D2ECF339F8AC}" name="AvatarAbilities1Scenario2" displayName="AvatarAbilities1Scenario2" ref="K44:O47" totalsRowShown="0">
  <autoFilter ref="K44:O47" xr:uid="{81D76695-EE53-4A07-9351-842AC55F2540}"/>
  <tableColumns count="5">
    <tableColumn id="2" xr3:uid="{3DA88704-2971-4AB6-B1CE-5CFF090396CF}" name="ability"/>
    <tableColumn id="6" xr3:uid="{E672CFB4-776F-4D07-BA50-839D4A31C34F}" name="takes" dataDxfId="799">
      <calculatedColumnFormula>COUNTIF(Scenario2[winner1-ability1],AvatarAbilities1Scenario2[[#This Row],[ability]])+COUNTIF(Scenario2[loser1-ability1],AvatarAbilities1Scenario2[[#This Row],[ability]])</calculatedColumnFormula>
    </tableColumn>
    <tableColumn id="4" xr3:uid="{C7B73B9B-4CC5-4B5B-A6D9-DAB8C8BDE217}" name="wins" dataDxfId="798">
      <calculatedColumnFormula>COUNTIF(Scenario2[winner1-ability1],AvatarAbilities1Scenario2[[#This Row],[ability]])</calculatedColumnFormula>
    </tableColumn>
    <tableColumn id="5" xr3:uid="{1E61EB7F-DF68-4EB7-80E2-73B696E16EFA}" name="battles-take-rate" dataDxfId="797">
      <calculatedColumnFormula>IF(SUM(AvatarAbilities1Scenario2[[#This Row],[takes]]) &gt; 0,AvatarAbilities1Scenario2[[#This Row],[takes]]/SUM(AvatarAbilities1Scenario2[takes]),0)</calculatedColumnFormula>
    </tableColumn>
    <tableColumn id="7" xr3:uid="{0699E0E9-A79E-4323-AF04-C1A2CAA4C37C}" name="take-win-rate" dataDxfId="796">
      <calculatedColumnFormula>IF(AvatarAbilities1Scenario2[[#This Row],[takes]]&gt;0,AvatarAbilities1Scenario2[[#This Row],[wins]]/AvatarAbilities1Scenario2[[#This Row],[takes]],0)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7" xr:uid="{CA01A435-C998-42DA-B69F-97063859C977}" name="ScenarioTeams5" displayName="ScenarioTeams5" ref="I2:M30">
  <autoFilter ref="I2:M30" xr:uid="{3BA29664-241D-4460-819F-8FE8E5CEB60F}"/>
  <tableColumns count="5">
    <tableColumn id="1" xr3:uid="{8E339675-F1B4-4253-A806-1F28CFFB5BAC}" name="hero-1" totalsRowLabel="Total"/>
    <tableColumn id="2" xr3:uid="{F991E4C5-68D7-4C1C-B591-38B729F5E4C1}" name="hero-2"/>
    <tableColumn id="7" xr3:uid="{3703FC5B-4319-4209-BFEF-1745C85F1795}" name="battles" totalsRowFunction="count" dataDxfId="1771">
      <calculatedColumnFormula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calculatedColumnFormula>
    </tableColumn>
    <tableColumn id="3" xr3:uid="{0BEE2BC8-4F2D-4218-8848-0E12F49DDDBC}" name="wins" dataDxfId="1770">
      <calculatedColumnFormula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calculatedColumnFormula>
    </tableColumn>
    <tableColumn id="5" xr3:uid="{36DF1AED-C7D6-4A4D-AF3B-6EE6F363F5A1}" name="win-rate" totalsRowFunction="sum" dataDxfId="1769" totalsRowDxfId="1768">
      <calculatedColumnFormula>IF(ScenarioTeams5[[#This Row],[battles]],ScenarioTeams5[[#This Row],[wins]]/ScenarioTeams5[[#This Row],[battles]],0)</calculatedColumnFormula>
    </tableColumn>
  </tableColumns>
  <tableStyleInfo name="TableStyleMedium2" showFirstColumn="0" showLastColumn="0" showRowStripes="1" showColumnStripes="0"/>
</table>
</file>

<file path=xl/tables/table1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8" xr:uid="{DB548F23-BB00-40E3-95F8-04345DE6C998}" name="AvatarAbilities2Scenario2" displayName="AvatarAbilities2Scenario2" ref="K49:O52" totalsRowShown="0" headerRowDxfId="795" headerRowBorderDxfId="794" tableBorderDxfId="793" totalsRowBorderDxfId="792">
  <autoFilter ref="K49:O52" xr:uid="{B5828340-8DA1-4B65-ACEB-BDDDED872E64}"/>
  <tableColumns count="5">
    <tableColumn id="1" xr3:uid="{6508DED1-AB04-4CA3-92A6-5EAD32BBFBFC}" name="ability"/>
    <tableColumn id="2" xr3:uid="{37595910-B7AB-47FC-996E-7EF8FE0597CE}" name="takes" dataDxfId="791">
      <calculatedColumnFormula>COUNTIF(Scenario2[winner1-ability2],AvatarAbilities2Scenario2[[#This Row],[ability]])+COUNTIF(Scenario2[loser1-ability2],AvatarAbilities2Scenario2[[#This Row],[ability]])</calculatedColumnFormula>
    </tableColumn>
    <tableColumn id="3" xr3:uid="{E4A6EFDD-399D-444F-8453-690FF0596C09}" name="wins" dataDxfId="790">
      <calculatedColumnFormula>COUNTIF(Scenario2[winner1-ability2],AvatarAbilities2Scenario2[[#This Row],[ability]])</calculatedColumnFormula>
    </tableColumn>
    <tableColumn id="4" xr3:uid="{C9E6BEDE-6D55-465F-A23C-088B0E5A7769}" name="battles-take-rate" dataDxfId="789">
      <calculatedColumnFormula>IF(SUM(AvatarAbilities2Scenario2[[#This Row],[takes]]) &gt; 0,AvatarAbilities2Scenario2[[#This Row],[takes]]/SUM(AvatarAbilities2Scenario2[takes]),0)</calculatedColumnFormula>
    </tableColumn>
    <tableColumn id="5" xr3:uid="{AAAC6CCB-269D-4B2F-A1B7-E3834E4DCB4F}" name="take-win-rate" dataDxfId="788">
      <calculatedColumnFormula>IF(AvatarAbilities2Scenario2[[#This Row],[takes]]&gt;0,AvatarAbilities2Scenario2[[#This Row],[wins]]/AvatarAbilities2Scenario2[[#This Row],[takes]],0)</calculatedColumnFormula>
    </tableColumn>
  </tableColumns>
  <tableStyleInfo name="TableStyleMedium2" showFirstColumn="0" showLastColumn="0" showRowStripes="1" showColumnStripes="0"/>
</table>
</file>

<file path=xl/tables/table1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9" xr:uid="{30D4B168-F7BD-44BC-8190-AE45AC87470E}" name="AvatarAbilities3Scenario2" displayName="AvatarAbilities3Scenario2" ref="K54:O57" totalsRowShown="0" headerRowDxfId="787" headerRowBorderDxfId="786" tableBorderDxfId="785" totalsRowBorderDxfId="784">
  <autoFilter ref="K54:O57" xr:uid="{34ED10E5-B169-4BBA-8F2C-73FF473D0922}"/>
  <tableColumns count="5">
    <tableColumn id="1" xr3:uid="{0053CFE6-6C69-4E98-87A3-1B8513FDDAA5}" name="ability"/>
    <tableColumn id="2" xr3:uid="{4D6C9DD9-C74D-4114-B2B6-FA0BE28209BF}" name="takes" dataDxfId="783">
      <calculatedColumnFormula>COUNTIF(Scenario2[winner1-ability3],AvatarAbilities3Scenario2[[#This Row],[ability]])+COUNTIF(Scenario2[loser1-ability3],AvatarAbilities3Scenario2[[#This Row],[ability]])</calculatedColumnFormula>
    </tableColumn>
    <tableColumn id="3" xr3:uid="{7103F39C-2C96-4862-8E66-430EB3D98924}" name="wins" dataDxfId="782">
      <calculatedColumnFormula>COUNTIF(Scenario2[winner1-ability3],AvatarAbilities3Scenario2[[#This Row],[ability]])</calculatedColumnFormula>
    </tableColumn>
    <tableColumn id="4" xr3:uid="{ADEFFFFC-593D-4983-81AB-62FCA7D838BE}" name="battles-take-rate" dataDxfId="781">
      <calculatedColumnFormula>IF(SUM(AvatarAbilities3Scenario2[[#This Row],[takes]]) &gt; 0,AvatarAbilities3Scenario2[[#This Row],[takes]]/SUM(AvatarAbilities3Scenario2[takes]),0)</calculatedColumnFormula>
    </tableColumn>
    <tableColumn id="5" xr3:uid="{845C8153-9F86-4AFD-A94E-FCB21D9C53A9}" name="take-win-rate" dataDxfId="780">
      <calculatedColumnFormula>IF(AvatarAbilities3Scenario2[[#This Row],[takes]]&gt;0,AvatarAbilities3Scenario2[[#This Row],[wins]]/AvatarAbilities3Scenario2[[#This Row],[takes]],0)</calculatedColumnFormula>
    </tableColumn>
  </tableColumns>
  <tableStyleInfo name="TableStyleMedium2" showFirstColumn="0" showLastColumn="0" showRowStripes="1" showColumnStripes="0"/>
</table>
</file>

<file path=xl/tables/table1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0" xr:uid="{4D206275-ABB8-42A7-A6F8-F7327722AF1F}" name="AvatarAbilities4Scenario2" displayName="AvatarAbilities4Scenario2" ref="K59:O62" totalsRowShown="0" headerRowDxfId="779" headerRowBorderDxfId="778" tableBorderDxfId="777" totalsRowBorderDxfId="776">
  <autoFilter ref="K59:O62" xr:uid="{DDB7F110-02A6-4F67-8266-251AF48CB7C0}"/>
  <tableColumns count="5">
    <tableColumn id="1" xr3:uid="{41FFE711-9BC2-4C77-93E0-ED76EFB9F1D5}" name="ability" dataDxfId="775"/>
    <tableColumn id="2" xr3:uid="{79EA1ED0-B935-47D2-A86B-D83C6704E80A}" name="takes" dataDxfId="774">
      <calculatedColumnFormula>COUNTIF(Scenario2[winner1-ability4],AvatarAbilities4Scenario2[[#This Row],[ability]])+COUNTIF(Scenario2[loser1-ability4],AvatarAbilities4Scenario2[[#This Row],[ability]])</calculatedColumnFormula>
    </tableColumn>
    <tableColumn id="3" xr3:uid="{654B635B-D6C2-4C4E-9BF8-0748A15947F7}" name="wins" dataDxfId="773">
      <calculatedColumnFormula>COUNTIF(Scenario2[winner1-ability4],AvatarAbilities4Scenario2[[#This Row],[ability]])</calculatedColumnFormula>
    </tableColumn>
    <tableColumn id="4" xr3:uid="{02651184-3B76-4AC5-89C2-D810EC158F1B}" name="battles-take-rate" dataDxfId="772">
      <calculatedColumnFormula>IF(SUM(AvatarAbilities4Scenario2[[#This Row],[takes]]) &gt; 0,AvatarAbilities4Scenario2[[#This Row],[takes]]/SUM(AvatarAbilities4Scenario2[takes]),0)</calculatedColumnFormula>
    </tableColumn>
    <tableColumn id="5" xr3:uid="{1CE806E7-31B6-48D1-AD80-65AF0FC8C25D}" name="take-win-rate" dataDxfId="771">
      <calculatedColumnFormula>IF(AvatarAbilities4Scenario2[[#This Row],[takes]]&gt;0,AvatarAbilities4Scenario2[[#This Row],[wins]]/AvatarAbilities4Scenario2[[#This Row],[takes]],0)</calculatedColumnFormula>
    </tableColumn>
  </tableColumns>
  <tableStyleInfo name="TableStyleMedium2" showFirstColumn="0" showLastColumn="0" showRowStripes="1" showColumnStripes="0"/>
</table>
</file>

<file path=xl/tables/table1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1" xr:uid="{2ACE1295-3C10-456E-B0EF-58AFE8E28C3A}" name="AvatarEquipScenario2" displayName="AvatarEquipScenario2" ref="Q44:S47" totalsRowShown="0">
  <autoFilter ref="Q44:S47" xr:uid="{BDEC3E9D-FA56-4E08-A52D-2A8BEB87833A}"/>
  <tableColumns count="3">
    <tableColumn id="1" xr3:uid="{F5C76997-D1A1-492A-B33B-EA7E1B7B980F}" name="level"/>
    <tableColumn id="2" xr3:uid="{7D19FCBB-54B8-4795-AB2F-0F8B28982E82}" name="bracers" dataDxfId="770">
      <calculatedColumnFormula>COUNTIFS(Scenario2[winner1],"avatar",Scenario2[winner1-pw],AvatarEquipScenario2[[#This Row],[level]])+COUNTIFS(Scenario2[loser1],"avatar",Scenario2[loser1-pw],AvatarEquipScenario2[[#This Row],[level]])</calculatedColumnFormula>
    </tableColumn>
    <tableColumn id="4" xr3:uid="{F7E6E310-FA34-4F1A-86CA-099EBB3DC0C4}" name="chestpiece" dataDxfId="769">
      <calculatedColumnFormula>COUNTIFS(Scenario2[winner1],"avatar",Scenario2[winner1-cp],AvatarEquipScenario2[[#This Row],[level]])+COUNTIFS(Scenario2[loser1],"avatar",Scenario2[loser1-cp],AvatarEquipScenario2[[#This Row],[level]])</calculatedColumnFormula>
    </tableColumn>
  </tableColumns>
  <tableStyleInfo name="TableStyleMedium2" showFirstColumn="0" showLastColumn="0" showRowStripes="1" showColumnStripes="0"/>
</table>
</file>

<file path=xl/tables/table1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FB9AE89-0BEE-418C-B765-FBE2278BEC3F}" name="UpgradeStatistics1920212223" displayName="UpgradeStatistics1920212223" ref="U1:V9" totalsRowShown="0">
  <autoFilter ref="U1:V9" xr:uid="{9FB9AE89-0BEE-418C-B765-FBE2278BEC3F}"/>
  <tableColumns count="2">
    <tableColumn id="1" xr3:uid="{56F51191-0214-4F53-997A-89540FAB8CB2}" name="upgrade"/>
    <tableColumn id="3" xr3:uid="{ECF38DBC-5055-4BD1-BF7F-AC92B80FFDE2}" name="rate" dataDxfId="768"/>
  </tableColumns>
  <tableStyleInfo name="TableStyleMedium2" showFirstColumn="0" showLastColumn="0" showRowStripes="1" showColumnStripes="0"/>
</table>
</file>

<file path=xl/tables/table1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2" xr:uid="{9BC4F617-A113-40C2-9B7B-B2B66C3F77BE}" name="AvatarAbilities1Scenario3" displayName="AvatarAbilities1Scenario3" ref="K65:O68" totalsRowShown="0">
  <autoFilter ref="K65:O68" xr:uid="{9BC4F617-A113-40C2-9B7B-B2B66C3F77BE}"/>
  <tableColumns count="5">
    <tableColumn id="2" xr3:uid="{4607CD34-8C86-475C-8FEE-687D9CCA7D51}" name="ability"/>
    <tableColumn id="6" xr3:uid="{E995EF82-2524-45DF-89A6-0607B1F2516B}" name="takes" dataDxfId="767">
      <calculatedColumnFormula>COUNTIF(Scenario3[winner1-ability1],AvatarAbilities1Scenario3[[#This Row],[ability]])+COUNTIF(Scenario3[loser1-ability1],AvatarAbilities1Scenario3[[#This Row],[ability]])+COUNTIF(Scenario3[loser2-ability1],AvatarAbilities1Scenario3[[#This Row],[ability]])</calculatedColumnFormula>
    </tableColumn>
    <tableColumn id="4" xr3:uid="{B82CC628-35BC-4552-95E9-42DDDD2A77CC}" name="wins" dataDxfId="766">
      <calculatedColumnFormula>COUNTIF(Scenario3[winner1-ability1],AvatarAbilities1Scenario3[[#This Row],[ability]])</calculatedColumnFormula>
    </tableColumn>
    <tableColumn id="5" xr3:uid="{DCB58979-EA4F-4103-8C4A-C096D75756ED}" name="battles-take-rate" dataDxfId="765">
      <calculatedColumnFormula>IF(SUM(AvatarAbilities1Scenario3[[#This Row],[takes]]) &gt; 0,AvatarAbilities1Scenario3[[#This Row],[takes]]/SUM(AvatarAbilities1Scenario3[takes]),0)</calculatedColumnFormula>
    </tableColumn>
    <tableColumn id="7" xr3:uid="{9DDE7AD0-AF87-459B-A17D-3E483716F701}" name="take-win-rate" dataDxfId="764">
      <calculatedColumnFormula>IF(AvatarAbilities1Scenario3[[#This Row],[takes]]&gt;0,AvatarAbilities1Scenario3[[#This Row],[wins]]/AvatarAbilities1Scenario3[[#This Row],[takes]],0)</calculatedColumnFormula>
    </tableColumn>
  </tableColumns>
  <tableStyleInfo name="TableStyleMedium2" showFirstColumn="0" showLastColumn="0" showRowStripes="1" showColumnStripes="0"/>
</table>
</file>

<file path=xl/tables/table1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3" xr:uid="{88EB6CC3-E14E-4104-8DAF-BBFFAEC98B5E}" name="AvatarAbilities2Scenario3" displayName="AvatarAbilities2Scenario3" ref="K70:O73" totalsRowShown="0" headerRowDxfId="763" headerRowBorderDxfId="762" tableBorderDxfId="761" totalsRowBorderDxfId="760">
  <autoFilter ref="K70:O73" xr:uid="{88EB6CC3-E14E-4104-8DAF-BBFFAEC98B5E}"/>
  <tableColumns count="5">
    <tableColumn id="1" xr3:uid="{37991DCD-D702-4F17-BEA7-541E7481D7F5}" name="ability"/>
    <tableColumn id="2" xr3:uid="{8B46F7E7-575A-4AAB-8BFB-FEC627D73A4C}" name="takes" dataDxfId="759">
      <calculatedColumnFormula>COUNTIF(Scenario3[winner1-ability2],AvatarAbilities2Scenario3[[#This Row],[ability]])+COUNTIF(Scenario3[loser1-ability2],AvatarAbilities2Scenario3[[#This Row],[ability]])+COUNTIF(Scenario3[loser2-ability2],AvatarAbilities2Scenario3[[#This Row],[ability]])</calculatedColumnFormula>
    </tableColumn>
    <tableColumn id="3" xr3:uid="{46CF5916-FCB7-40C2-AF95-BD08D9F964E1}" name="wins" dataDxfId="758">
      <calculatedColumnFormula>COUNTIF(Scenario3[winner1-ability2],AvatarAbilities2Scenario3[[#This Row],[ability]])</calculatedColumnFormula>
    </tableColumn>
    <tableColumn id="4" xr3:uid="{70DDA6D0-1C36-48E6-8E20-D94EDE0BDFEA}" name="battles-take-rate" dataDxfId="757">
      <calculatedColumnFormula>IF(SUM(AvatarAbilities2Scenario3[[#This Row],[takes]]) &gt; 0,AvatarAbilities2Scenario3[[#This Row],[takes]]/SUM(AvatarAbilities2Scenario3[takes]),0)</calculatedColumnFormula>
    </tableColumn>
    <tableColumn id="5" xr3:uid="{A0CF6815-4BD7-45A1-A3DA-254A54D15BC5}" name="take-win-rate" dataDxfId="756">
      <calculatedColumnFormula>IF(AvatarAbilities2Scenario3[[#This Row],[takes]]&gt;0,AvatarAbilities2Scenario3[[#This Row],[wins]]/AvatarAbilities2Scenario3[[#This Row],[takes]],0)</calculatedColumnFormula>
    </tableColumn>
  </tableColumns>
  <tableStyleInfo name="TableStyleMedium2" showFirstColumn="0" showLastColumn="0" showRowStripes="1" showColumnStripes="0"/>
</table>
</file>

<file path=xl/tables/table1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4" xr:uid="{D2F7ECD8-E09F-4C65-AFEB-56CF80017CE7}" name="AvatarAbilities3Scenario3" displayName="AvatarAbilities3Scenario3" ref="K75:O78" totalsRowShown="0" headerRowDxfId="755" headerRowBorderDxfId="754" tableBorderDxfId="753" totalsRowBorderDxfId="752">
  <autoFilter ref="K75:O78" xr:uid="{D2F7ECD8-E09F-4C65-AFEB-56CF80017CE7}"/>
  <tableColumns count="5">
    <tableColumn id="1" xr3:uid="{B73ED89F-81B1-4CB5-8A97-94F6020CBD9A}" name="ability"/>
    <tableColumn id="2" xr3:uid="{307668FA-8C80-411C-A0CA-0F55090C460F}" name="takes" dataDxfId="751">
      <calculatedColumnFormula>COUNTIF(Scenario3[winner1-ability3],AvatarAbilities3Scenario3[[#This Row],[ability]])+COUNTIF(Scenario3[loser1-ability3],AvatarAbilities3Scenario3[[#This Row],[ability]])+COUNTIF(Scenario3[loser2-ability3],AvatarAbilities3Scenario3[[#This Row],[ability]])</calculatedColumnFormula>
    </tableColumn>
    <tableColumn id="3" xr3:uid="{0D210F81-B675-47AE-B3A9-09F673AA35E9}" name="wins" dataDxfId="750">
      <calculatedColumnFormula>COUNTIF(Scenario3[winner1-ability3],AvatarAbilities3Scenario3[[#This Row],[ability]])</calculatedColumnFormula>
    </tableColumn>
    <tableColumn id="4" xr3:uid="{C06BD8DF-C441-459D-85EE-FD64A2043DD6}" name="battles-take-rate" dataDxfId="749">
      <calculatedColumnFormula>IF(SUM(AvatarAbilities3Scenario3[[#This Row],[takes]]) &gt; 0,AvatarAbilities3Scenario3[[#This Row],[takes]]/SUM(AvatarAbilities3Scenario3[takes]),0)</calculatedColumnFormula>
    </tableColumn>
    <tableColumn id="5" xr3:uid="{C6EB60EC-253C-4011-A792-1C4A2C628F54}" name="take-win-rate" dataDxfId="748">
      <calculatedColumnFormula>IF(AvatarAbilities3Scenario3[[#This Row],[takes]]&gt;0,AvatarAbilities3Scenario3[[#This Row],[wins]]/AvatarAbilities3Scenario3[[#This Row],[takes]],0)</calculatedColumnFormula>
    </tableColumn>
  </tableColumns>
  <tableStyleInfo name="TableStyleMedium2" showFirstColumn="0" showLastColumn="0" showRowStripes="1" showColumnStripes="0"/>
</table>
</file>

<file path=xl/tables/table1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5" xr:uid="{6EEA34E6-E459-456B-91DD-043B51317E20}" name="AvatarAbilities4Scenario3" displayName="AvatarAbilities4Scenario3" ref="K80:O83" totalsRowShown="0" headerRowDxfId="747" headerRowBorderDxfId="746" tableBorderDxfId="745" totalsRowBorderDxfId="744">
  <autoFilter ref="K80:O83" xr:uid="{6EEA34E6-E459-456B-91DD-043B51317E20}"/>
  <tableColumns count="5">
    <tableColumn id="1" xr3:uid="{8A349459-D27C-4E5A-A944-0E74AA4FA7B4}" name="ability" dataDxfId="743"/>
    <tableColumn id="2" xr3:uid="{D6DB89E1-6F3B-4EA4-ADC1-184D6ABA99BE}" name="takes" dataDxfId="742">
      <calculatedColumnFormula>COUNTIF(Scenario3[winner1-ability4],AvatarAbilities4Scenario3[[#This Row],[ability]])+COUNTIF(Scenario3[loser1-ability4],AvatarAbilities4Scenario3[[#This Row],[ability]])+COUNTIF(Scenario3[loser2-ability4],AvatarAbilities4Scenario3[[#This Row],[ability]])</calculatedColumnFormula>
    </tableColumn>
    <tableColumn id="3" xr3:uid="{A36E4D67-03CE-461A-82EB-1B31A142B1C6}" name="wins" dataDxfId="741">
      <calculatedColumnFormula>COUNTIF(Scenario3[winner1-ability4],AvatarAbilities4Scenario3[[#This Row],[ability]])</calculatedColumnFormula>
    </tableColumn>
    <tableColumn id="4" xr3:uid="{8AF2EF2E-5801-460B-AD63-71BB7539AA5F}" name="battles-take-rate" dataDxfId="740">
      <calculatedColumnFormula>IF(SUM(AvatarAbilities4Scenario3[[#This Row],[takes]]) &gt; 0,AvatarAbilities4Scenario3[[#This Row],[takes]]/SUM(AvatarAbilities4Scenario3[takes]),0)</calculatedColumnFormula>
    </tableColumn>
    <tableColumn id="5" xr3:uid="{33D2DECC-3F00-49BE-8D4D-21792A211C61}" name="take-win-rate" dataDxfId="739">
      <calculatedColumnFormula>IF(AvatarAbilities4Scenario3[[#This Row],[takes]]&gt;0,AvatarAbilities4Scenario3[[#This Row],[wins]]/AvatarAbilities4Scenario3[[#This Row],[takes]],0)</calculatedColumnFormula>
    </tableColumn>
  </tableColumns>
  <tableStyleInfo name="TableStyleMedium2" showFirstColumn="0" showLastColumn="0" showRowStripes="1" showColumnStripes="0"/>
</table>
</file>

<file path=xl/tables/table1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6" xr:uid="{93987A15-570C-4BD2-85ED-EC8CD2A80610}" name="AvatarEquipScenario3" displayName="AvatarEquipScenario3" ref="Q65:S68" totalsRowShown="0">
  <autoFilter ref="Q65:S68" xr:uid="{93987A15-570C-4BD2-85ED-EC8CD2A80610}"/>
  <tableColumns count="3">
    <tableColumn id="1" xr3:uid="{5952B969-6599-4617-850C-98E238B6E7C7}" name="level"/>
    <tableColumn id="2" xr3:uid="{173D32B2-C090-43F2-88B8-07C2D1906A61}" name="bracers" dataDxfId="738">
      <calculatedColumnFormula>COUNTIFS(Scenario3[winner1],"avatar",Scenario3[winner1-pw],AvatarEquipScenario3[[#This Row],[level]])+COUNTIFS(Scenario3[loser1],"avatar",Scenario3[loser1-pw],AvatarEquipScenario3[[#This Row],[level]])+COUNTIFS(Scenario3[loser2],"avatar",Scenario3[loser2-pw],AvatarEquipScenario3[[#This Row],[level]])</calculatedColumnFormula>
    </tableColumn>
    <tableColumn id="4" xr3:uid="{9ED04356-05E8-450B-808F-1BB9886BAD33}" name="chestpiece" dataDxfId="737">
      <calculatedColumnFormula>COUNTIFS(Scenario3[winner1],"avatar",Scenario3[winner1-cp],AvatarEquipScenario3[[#This Row],[level]])+COUNTIFS(Scenario3[loser1],"avatar",Scenario3[loser1-cp],AvatarEquipScenario3[[#This Row],[level]])+COUNTIFS(Scenario3[loser2],"avatar",Scenario3[loser2-cp],AvatarEquipScenario3[[#This Row],[level]])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405EB0-A525-4FAC-AD12-CF7C798DE05C}" name="HeroStatistics" displayName="HeroStatistics" ref="A1:K9" totalsRowShown="0">
  <autoFilter ref="A1:K9" xr:uid="{63405EB0-A525-4FAC-AD12-CF7C798DE05C}"/>
  <tableColumns count="11">
    <tableColumn id="1" xr3:uid="{85B8E500-D508-49B7-B6C2-4293FF88864C}" name="hero"/>
    <tableColumn id="2" xr3:uid="{58A5592F-1F6D-4BC0-A001-DA1EE7044444}" name="battles" dataDxfId="1767">
      <calculatedColumnFormula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calculatedColumnFormula>
    </tableColumn>
    <tableColumn id="3" xr3:uid="{907E2C9A-88EE-4007-82F2-9E1679E4E1E8}" name="0-wins" dataDxfId="1766">
      <calculatedColumnFormula>COUNTIF(Scenario0[winner1],HeroStatistics[[#This Row],[hero]])+COUNTIF(Scenario0[winner2],HeroStatistics[[#This Row],[hero]])</calculatedColumnFormula>
    </tableColumn>
    <tableColumn id="6" xr3:uid="{AE7C5ECC-03E9-4724-8409-AE34201DA0C9}" name="1-wins">
      <calculatedColumnFormula>COUNTIF(Scenario1[winner1],HeroStatistics[[#This Row],[hero]])+COUNTIF(Scenario1[winner2],HeroStatistics[[#This Row],[hero]])</calculatedColumnFormula>
    </tableColumn>
    <tableColumn id="7" xr3:uid="{691EC165-19BC-4D42-BD98-BB1D51495A90}" name="2-wins">
      <calculatedColumnFormula>COUNTIF(Scenario2[winner1],HeroStatistics[[#This Row],[hero]])</calculatedColumnFormula>
    </tableColumn>
    <tableColumn id="8" xr3:uid="{DED2EF67-8BBB-4DA9-83F4-10909FF25CAE}" name="3-wins">
      <calculatedColumnFormula>COUNTIF(Scenario3[winner1],HeroStatistics[[#This Row],[hero]])</calculatedColumnFormula>
    </tableColumn>
    <tableColumn id="9" xr3:uid="{18E2E9F8-9399-4CB4-8500-111168784CEE}" name="4-wins">
      <calculatedColumnFormula>COUNTIF(Scenario4[winner1],HeroStatistics[[#This Row],[hero]])</calculatedColumnFormula>
    </tableColumn>
    <tableColumn id="10" xr3:uid="{3F2D8009-BEBE-46D6-BF39-7201BD458D0B}" name="5-wins">
      <calculatedColumnFormula>COUNTIF(Scenario5[winner1],HeroStatistics[[#This Row],[hero]])+COUNTIF(Scenario5[winner2],HeroStatistics[[#This Row],[hero]])</calculatedColumnFormula>
    </tableColumn>
    <tableColumn id="11" xr3:uid="{78B80BFD-E4B4-4D40-A120-877E8E0C6060}" name="wins">
      <calculatedColumnFormula>SUM(HeroStatistics[[#This Row],[0-wins]:[5-wins]])</calculatedColumnFormula>
    </tableColumn>
    <tableColumn id="4" xr3:uid="{6F2DCA26-2AD4-4FD6-9D9C-74EB1F995BF0}" name="win-rate" dataDxfId="1765">
      <calculatedColumnFormula>HeroStatistics[[#This Row],[wins]]/HeroStatistics[[#This Row],[battles]]</calculatedColumnFormula>
    </tableColumn>
    <tableColumn id="5" xr3:uid="{5B63D421-8BD5-4DA2-8ACA-D1AEC31F512F}" name="crystals per battle"/>
  </tableColumns>
  <tableStyleInfo name="TableStyleMedium2" showFirstColumn="0" showLastColumn="0" showRowStripes="1" showColumnStripes="0"/>
</table>
</file>

<file path=xl/tables/table1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5" xr:uid="{2508CC53-C4E1-4544-9D78-79365585401D}" name="AvatarAbilities1Scenario4" displayName="AvatarAbilities1Scenario4" ref="K86:O89" totalsRowShown="0">
  <autoFilter ref="K86:O89" xr:uid="{2508CC53-C4E1-4544-9D78-79365585401D}"/>
  <tableColumns count="5">
    <tableColumn id="2" xr3:uid="{75E3B495-ACBF-4CF7-8C94-1CA75CCD2CD9}" name="ability"/>
    <tableColumn id="6" xr3:uid="{D288448B-7076-4713-B99A-1E44DA01A067}" name="takes" dataDxfId="736">
      <calculatedColumnFormula>COUNTIF(Scenario4[winner1-ability1],AvatarAbilities1Scenario4[[#This Row],[ability]])+COUNTIF(Scenario4[loser1-ability1],AvatarAbilities1Scenario4[[#This Row],[ability]])+COUNTIF(Scenario4[loser2-ability1],AvatarAbilities1Scenario4[[#This Row],[ability]])+COUNTIF(Scenario4[loser3-ability1],AvatarAbilities1Scenario4[[#This Row],[ability]])</calculatedColumnFormula>
    </tableColumn>
    <tableColumn id="4" xr3:uid="{507867D3-7A2A-46D4-B329-57A51790DF62}" name="wins" dataDxfId="735">
      <calculatedColumnFormula>COUNTIF(Scenario4[winner1-ability1],AvatarAbilities1Scenario4[[#This Row],[ability]])</calculatedColumnFormula>
    </tableColumn>
    <tableColumn id="5" xr3:uid="{846FA7C9-7442-4196-AC20-39FB98DAF0BC}" name="battles-take-rate" dataDxfId="734">
      <calculatedColumnFormula>IF(SUM(AvatarAbilities1Scenario4[[#This Row],[takes]]) &gt; 0,AvatarAbilities1Scenario4[[#This Row],[takes]]/SUM(AvatarAbilities1Scenario4[takes]),0)</calculatedColumnFormula>
    </tableColumn>
    <tableColumn id="7" xr3:uid="{13E47A62-3E1B-42E6-AEB5-1DD944FD1E96}" name="take-win-rate" dataDxfId="733">
      <calculatedColumnFormula>IF(AvatarAbilities1Scenario4[[#This Row],[takes]]&gt;0,AvatarAbilities1Scenario4[[#This Row],[wins]]/AvatarAbilities1Scenario4[[#This Row],[takes]],0)</calculatedColumnFormula>
    </tableColumn>
  </tableColumns>
  <tableStyleInfo name="TableStyleMedium2" showFirstColumn="0" showLastColumn="0" showRowStripes="1" showColumnStripes="0"/>
</table>
</file>

<file path=xl/tables/table1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6" xr:uid="{A9A94AE0-68D1-4BAD-A714-63D246F1246C}" name="AvatarAbilities2Scenario4" displayName="AvatarAbilities2Scenario4" ref="K91:O94" totalsRowShown="0" headerRowDxfId="732" headerRowBorderDxfId="731" tableBorderDxfId="730" totalsRowBorderDxfId="729">
  <autoFilter ref="K91:O94" xr:uid="{A9A94AE0-68D1-4BAD-A714-63D246F1246C}"/>
  <tableColumns count="5">
    <tableColumn id="1" xr3:uid="{FA15635C-F019-45D1-BE61-C231DF122D36}" name="ability"/>
    <tableColumn id="2" xr3:uid="{AFD6842D-6B37-499E-B413-67678ED23225}" name="takes" dataDxfId="728">
      <calculatedColumnFormula>COUNTIF(Scenario4[winner1-ability2],AvatarAbilities2Scenario4[[#This Row],[ability]])+COUNTIF(Scenario4[loser1-ability2],AvatarAbilities2Scenario4[[#This Row],[ability]])+COUNTIF(Scenario4[loser2-ability2],AvatarAbilities2Scenario4[[#This Row],[ability]])+COUNTIF(Scenario4[loser3-ability2],AvatarAbilities2Scenario4[[#This Row],[ability]])</calculatedColumnFormula>
    </tableColumn>
    <tableColumn id="3" xr3:uid="{FF6F2D0E-CED5-45C1-9019-38A425ECB655}" name="wins" dataDxfId="727">
      <calculatedColumnFormula>COUNTIF(Scenario4[winner1-ability2],AvatarAbilities2Scenario4[[#This Row],[ability]])</calculatedColumnFormula>
    </tableColumn>
    <tableColumn id="4" xr3:uid="{F137D81F-3073-4FAD-9B08-809B82677FC3}" name="battles-take-rate" dataDxfId="726">
      <calculatedColumnFormula>IF(SUM(AvatarAbilities2Scenario4[[#This Row],[takes]]) &gt; 0,AvatarAbilities2Scenario4[[#This Row],[takes]]/SUM(AvatarAbilities2Scenario4[takes]),0)</calculatedColumnFormula>
    </tableColumn>
    <tableColumn id="5" xr3:uid="{9F7A3906-45C7-4121-B139-4746A853A8C8}" name="take-win-rate" dataDxfId="725">
      <calculatedColumnFormula>IF(AvatarAbilities2Scenario4[[#This Row],[takes]]&gt;0,AvatarAbilities2Scenario4[[#This Row],[wins]]/AvatarAbilities2Scenario4[[#This Row],[takes]],0)</calculatedColumnFormula>
    </tableColumn>
  </tableColumns>
  <tableStyleInfo name="TableStyleMedium2" showFirstColumn="0" showLastColumn="0" showRowStripes="1" showColumnStripes="0"/>
</table>
</file>

<file path=xl/tables/table1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7" xr:uid="{39227E52-4671-4F62-BDCF-99752797E962}" name="AvatarAbilities3Scenario4" displayName="AvatarAbilities3Scenario4" ref="K96:O99" totalsRowShown="0" headerRowDxfId="724" headerRowBorderDxfId="723" tableBorderDxfId="722" totalsRowBorderDxfId="721">
  <autoFilter ref="K96:O99" xr:uid="{39227E52-4671-4F62-BDCF-99752797E962}"/>
  <tableColumns count="5">
    <tableColumn id="1" xr3:uid="{E5B60711-BB15-4F5F-9663-B64AFA9AAC2D}" name="ability"/>
    <tableColumn id="2" xr3:uid="{C1F47940-63D6-4CE2-9EE8-2CEA66276365}" name="takes" dataDxfId="720">
      <calculatedColumnFormula>COUNTIF(Scenario4[winner1-ability3],AvatarAbilities3Scenario4[[#This Row],[ability]])+COUNTIF(Scenario4[loser1-ability3],AvatarAbilities3Scenario4[[#This Row],[ability]])+COUNTIF(Scenario4[loser2-ability3],AvatarAbilities3Scenario4[[#This Row],[ability]])+COUNTIF(Scenario4[loser3-ability3],AvatarAbilities3Scenario4[[#This Row],[ability]])</calculatedColumnFormula>
    </tableColumn>
    <tableColumn id="3" xr3:uid="{8095CFD4-1503-42F7-91BF-ECC923EBC771}" name="wins" dataDxfId="719">
      <calculatedColumnFormula>COUNTIF(Scenario4[winner1-ability3],AvatarAbilities3Scenario4[[#This Row],[ability]])</calculatedColumnFormula>
    </tableColumn>
    <tableColumn id="4" xr3:uid="{135BEB7A-915D-48E6-B091-0340F09F4D94}" name="battles-take-rate" dataDxfId="718">
      <calculatedColumnFormula>IF(SUM(AvatarAbilities3Scenario4[[#This Row],[takes]]) &gt; 0,AvatarAbilities3Scenario4[[#This Row],[takes]]/SUM(AvatarAbilities3Scenario4[takes]),0)</calculatedColumnFormula>
    </tableColumn>
    <tableColumn id="5" xr3:uid="{24D6CA47-FC58-4899-845C-77606B6BADEA}" name="take-win-rate" dataDxfId="717">
      <calculatedColumnFormula>IF(AvatarAbilities3Scenario4[[#This Row],[takes]]&gt;0,AvatarAbilities3Scenario4[[#This Row],[wins]]/AvatarAbilities3Scenario4[[#This Row],[takes]],0)</calculatedColumnFormula>
    </tableColumn>
  </tableColumns>
  <tableStyleInfo name="TableStyleMedium2" showFirstColumn="0" showLastColumn="0" showRowStripes="1" showColumnStripes="0"/>
</table>
</file>

<file path=xl/tables/table1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8" xr:uid="{B70B30A2-D94A-4C2F-A92C-F84D834CB3E7}" name="AvatarAbilities4Scenario4" displayName="AvatarAbilities4Scenario4" ref="K101:O104" totalsRowShown="0" headerRowDxfId="716" headerRowBorderDxfId="715" tableBorderDxfId="714" totalsRowBorderDxfId="713">
  <autoFilter ref="K101:O104" xr:uid="{B70B30A2-D94A-4C2F-A92C-F84D834CB3E7}"/>
  <tableColumns count="5">
    <tableColumn id="1" xr3:uid="{002E9049-8F7A-4096-964E-F4939A456F53}" name="ability" dataDxfId="712"/>
    <tableColumn id="2" xr3:uid="{8EB8EF4A-38F7-42BA-A433-E84AC27F3BE5}" name="takes" dataDxfId="711">
      <calculatedColumnFormula>COUNTIF(Scenario4[winner1-ability4],AvatarAbilities4Scenario4[[#This Row],[ability]])+COUNTIF(Scenario4[loser1-ability4],AvatarAbilities4Scenario4[[#This Row],[ability]])+COUNTIF(Scenario4[loser2-ability4],AvatarAbilities4Scenario4[[#This Row],[ability]])+COUNTIF(Scenario4[loser3-ability4],AvatarAbilities4Scenario4[[#This Row],[ability]])</calculatedColumnFormula>
    </tableColumn>
    <tableColumn id="3" xr3:uid="{AEF154FB-6289-4277-B42E-E88DB8E4C06D}" name="wins" dataDxfId="710">
      <calculatedColumnFormula>COUNTIF(Scenario4[winner1-ability4],AvatarAbilities4Scenario4[[#This Row],[ability]])</calculatedColumnFormula>
    </tableColumn>
    <tableColumn id="4" xr3:uid="{65133FD4-CB3E-451F-9B0A-15A3A8F6140F}" name="battles-take-rate" dataDxfId="709">
      <calculatedColumnFormula>IF(SUM(AvatarAbilities4Scenario4[[#This Row],[takes]]) &gt; 0,AvatarAbilities4Scenario4[[#This Row],[takes]]/SUM(AvatarAbilities4Scenario4[takes]),0)</calculatedColumnFormula>
    </tableColumn>
    <tableColumn id="5" xr3:uid="{5DC2977A-9AB2-4436-A758-6B07D4AFE08F}" name="take-win-rate" dataDxfId="708">
      <calculatedColumnFormula>IF(AvatarAbilities4Scenario4[[#This Row],[takes]]&gt;0,AvatarAbilities4Scenario4[[#This Row],[wins]]/AvatarAbilities4Scenario4[[#This Row],[takes]],0)</calculatedColumnFormula>
    </tableColumn>
  </tableColumns>
  <tableStyleInfo name="TableStyleMedium2" showFirstColumn="0" showLastColumn="0" showRowStripes="1" showColumnStripes="0"/>
</table>
</file>

<file path=xl/tables/table1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9" xr:uid="{15F5C7F4-AA60-47ED-812C-FB19746FF869}" name="AvatarEquipScenario4" displayName="AvatarEquipScenario4" ref="Q86:S89" totalsRowShown="0">
  <autoFilter ref="Q86:S89" xr:uid="{15F5C7F4-AA60-47ED-812C-FB19746FF869}"/>
  <tableColumns count="3">
    <tableColumn id="1" xr3:uid="{E97D7436-10EA-457F-8F22-375B2B6D1790}" name="level"/>
    <tableColumn id="2" xr3:uid="{0B99BD24-DDD8-4495-9A61-EEF712E71BD8}" name="bracers" dataDxfId="707">
      <calculatedColumnFormula>COUNTIFS(Scenario4[winner1],"avatar",Scenario4[winner1-pw],AvatarEquipScenario4[[#This Row],[level]])+COUNTIFS(Scenario4[loser1],"avatar",Scenario4[loser1-pw],AvatarEquipScenario4[[#This Row],[level]])+COUNTIFS(Scenario4[loser2],"avatar",Scenario4[loser2-pw],AvatarEquipScenario4[[#This Row],[level]])+COUNTIFS(Scenario4[loser3],"avatar",Scenario4[loser3-pw],AvatarEquipScenario4[[#This Row],[level]])</calculatedColumnFormula>
    </tableColumn>
    <tableColumn id="4" xr3:uid="{043668DC-6AB2-403D-996C-936321BEEBC1}" name="chestpiece" dataDxfId="706">
      <calculatedColumnFormula>COUNTIFS(Scenario4[winner1],"avatar",Scenario4[winner1-cp],AvatarEquipScenario4[[#This Row],[level]])+COUNTIFS(Scenario4[loser1],"avatar",Scenario4[loser1-cp],AvatarEquipScenario4[[#This Row],[level]])+COUNTIFS(Scenario4[loser2],"avatar",Scenario4[loser2-cp],AvatarEquipScenario4[[#This Row],[level]])+COUNTIFS(Scenario4[loser3],"avatar",Scenario4[loser3-cp],AvatarEquipScenario4[[#This Row],[level]])</calculatedColumnFormula>
    </tableColumn>
  </tableColumns>
  <tableStyleInfo name="TableStyleMedium2" showFirstColumn="0" showLastColumn="0" showRowStripes="1" showColumnStripes="0"/>
</table>
</file>

<file path=xl/tables/table1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3" xr:uid="{FD328AEA-05A2-4EDF-8CF5-FD335FCD54BF}" name="AvatarAbilities1Scenario5" displayName="AvatarAbilities1Scenario5" ref="K107:O110" totalsRowShown="0">
  <autoFilter ref="K107:O110" xr:uid="{FD328AEA-05A2-4EDF-8CF5-FD335FCD54BF}"/>
  <tableColumns count="5">
    <tableColumn id="2" xr3:uid="{851EC250-6AAB-4238-A084-98EF7FE0AD3C}" name="ability"/>
    <tableColumn id="6" xr3:uid="{C35023F4-1CA0-4B9B-A13F-1D3A51011321}" name="takes" dataDxfId="705">
      <calculatedColumnFormula>COUNTIF(Scenario5[winner1-ability1],AvatarAbilities1Scenario5[[#This Row],[ability]])+COUNTIF(Scenario5[winner2-ability1],AvatarAbilities1Scenario5[[#This Row],[ability]])+COUNTIF(Scenario5[loser1-ability1],AvatarAbilities1Scenario5[[#This Row],[ability]])+COUNTIF(Scenario5[loser2-ability1],AvatarAbilities1Scenario5[[#This Row],[ability]])</calculatedColumnFormula>
    </tableColumn>
    <tableColumn id="4" xr3:uid="{724AB5DE-100B-4BF2-BBF9-08275849918D}" name="wins" dataDxfId="704">
      <calculatedColumnFormula>COUNTIF(Scenario5[winner1-ability1],AvatarAbilities1Scenario5[[#This Row],[ability]])+COUNTIF(Scenario5[winner2-ability1],AvatarAbilities1Scenario5[[#This Row],[ability]])</calculatedColumnFormula>
    </tableColumn>
    <tableColumn id="5" xr3:uid="{60EECE99-E6A5-4BB5-9B60-32ABD159D3BC}" name="battles-take-rate" dataDxfId="703">
      <calculatedColumnFormula>IF(SUM(AvatarAbilities1Scenario5[[#This Row],[takes]]) &gt; 0,AvatarAbilities1Scenario5[[#This Row],[takes]]/SUM(AvatarAbilities1Scenario5[takes]),0)</calculatedColumnFormula>
    </tableColumn>
    <tableColumn id="7" xr3:uid="{2C8CC4B8-C7F0-4500-87DF-5692B2B5BB02}" name="take-win-rate" dataDxfId="702">
      <calculatedColumnFormula>IF(AvatarAbilities1Scenario5[[#This Row],[takes]]&gt;0,AvatarAbilities1Scenario5[[#This Row],[wins]]/AvatarAbilities1Scenario5[[#This Row],[takes]],0)</calculatedColumnFormula>
    </tableColumn>
  </tableColumns>
  <tableStyleInfo name="TableStyleMedium2" showFirstColumn="0" showLastColumn="0" showRowStripes="1" showColumnStripes="0"/>
</table>
</file>

<file path=xl/tables/table1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4" xr:uid="{CBBDEBBB-90D8-4E5D-9AE0-1A74C21DEEF4}" name="AvatarAbilities2Scenario5" displayName="AvatarAbilities2Scenario5" ref="K112:O115" totalsRowShown="0" headerRowDxfId="701" headerRowBorderDxfId="700" tableBorderDxfId="699" totalsRowBorderDxfId="698">
  <autoFilter ref="K112:O115" xr:uid="{CBBDEBBB-90D8-4E5D-9AE0-1A74C21DEEF4}"/>
  <tableColumns count="5">
    <tableColumn id="1" xr3:uid="{CF9A300F-1869-49D6-A1AB-CC05F039C199}" name="ability"/>
    <tableColumn id="2" xr3:uid="{C13D1E19-BA69-4BE9-8CA5-73271E57DC52}" name="takes" dataDxfId="697">
      <calculatedColumnFormula>COUNTIF(Scenario5[winner1-ability2],AvatarAbilities2Scenario5[[#This Row],[ability]])+COUNTIF(Scenario5[winner2-ability2],AvatarAbilities2Scenario5[[#This Row],[ability]])+COUNTIF(Scenario5[loser1-ability2],AvatarAbilities2Scenario5[[#This Row],[ability]])+COUNTIF(Scenario5[loser2-ability2],AvatarAbilities2Scenario5[[#This Row],[ability]])</calculatedColumnFormula>
    </tableColumn>
    <tableColumn id="3" xr3:uid="{F49F1857-A72C-4663-88BA-64CB25C8BEE2}" name="wins" dataDxfId="696">
      <calculatedColumnFormula>COUNTIF(Scenario5[winner1-ability2],AvatarAbilities2Scenario5[[#This Row],[ability]])+COUNTIF(Scenario5[winner2-ability2],AvatarAbilities2Scenario5[[#This Row],[ability]])</calculatedColumnFormula>
    </tableColumn>
    <tableColumn id="4" xr3:uid="{6F2A5CDA-8633-4456-A2A2-B5B64D7F45DD}" name="battles-take-rate" dataDxfId="695">
      <calculatedColumnFormula>IF(SUM(AvatarAbilities2Scenario5[[#This Row],[takes]]) &gt; 0,AvatarAbilities2Scenario5[[#This Row],[takes]]/SUM(AvatarAbilities2Scenario5[takes]),0)</calculatedColumnFormula>
    </tableColumn>
    <tableColumn id="5" xr3:uid="{753E52A7-8E66-4667-9FAE-58723DFB3FF0}" name="take-win-rate" dataDxfId="694">
      <calculatedColumnFormula>IF(AvatarAbilities2Scenario5[[#This Row],[takes]]&gt;0,AvatarAbilities2Scenario5[[#This Row],[wins]]/AvatarAbilities2Scenario5[[#This Row],[takes]],0)</calculatedColumnFormula>
    </tableColumn>
  </tableColumns>
  <tableStyleInfo name="TableStyleMedium2" showFirstColumn="0" showLastColumn="0" showRowStripes="1" showColumnStripes="0"/>
</table>
</file>

<file path=xl/tables/table1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5" xr:uid="{BC0276C8-E11A-4882-9AD9-E5F6051EAAC9}" name="AvatarAbilities3Scenario5" displayName="AvatarAbilities3Scenario5" ref="K117:O120" totalsRowShown="0" headerRowDxfId="693" headerRowBorderDxfId="692" tableBorderDxfId="691" totalsRowBorderDxfId="690">
  <autoFilter ref="K117:O120" xr:uid="{BC0276C8-E11A-4882-9AD9-E5F6051EAAC9}"/>
  <tableColumns count="5">
    <tableColumn id="1" xr3:uid="{3152ADDB-EA65-4543-84DF-B1FBA2051429}" name="ability"/>
    <tableColumn id="2" xr3:uid="{6B84DE1C-4B40-418F-819D-A76290DCC098}" name="takes" dataDxfId="689">
      <calculatedColumnFormula>COUNTIF(Scenario5[winner1-ability3],AvatarAbilities3Scenario5[[#This Row],[ability]])+COUNTIF(Scenario5[winner2-ability3],AvatarAbilities3Scenario5[[#This Row],[ability]])+COUNTIF(Scenario5[loser1-ability3],AvatarAbilities3Scenario5[[#This Row],[ability]])+COUNTIF(Scenario5[loser2-ability3],AvatarAbilities3Scenario5[[#This Row],[ability]])</calculatedColumnFormula>
    </tableColumn>
    <tableColumn id="3" xr3:uid="{54EB35D0-D6D8-4050-987B-640131794313}" name="wins" dataDxfId="688">
      <calculatedColumnFormula>COUNTIF(Scenario5[winner1-ability3],AvatarAbilities3Scenario5[[#This Row],[ability]])+COUNTIF(Scenario5[winner2-ability3],AvatarAbilities3Scenario5[[#This Row],[ability]])</calculatedColumnFormula>
    </tableColumn>
    <tableColumn id="4" xr3:uid="{50FBC524-41B6-48B1-91B1-92ACC21AC477}" name="battles-take-rate" dataDxfId="687">
      <calculatedColumnFormula>IF(SUM(AvatarAbilities3Scenario5[[#This Row],[takes]]) &gt; 0,AvatarAbilities3Scenario5[[#This Row],[takes]]/SUM(AvatarAbilities3Scenario5[takes]),0)</calculatedColumnFormula>
    </tableColumn>
    <tableColumn id="5" xr3:uid="{D2419E36-6DD6-418C-B583-C32EA9339A19}" name="take-win-rate" dataDxfId="686">
      <calculatedColumnFormula>IF(AvatarAbilities3Scenario5[[#This Row],[takes]]&gt;0,AvatarAbilities3Scenario5[[#This Row],[wins]]/AvatarAbilities3Scenario5[[#This Row],[takes]],0)</calculatedColumnFormula>
    </tableColumn>
  </tableColumns>
  <tableStyleInfo name="TableStyleMedium2" showFirstColumn="0" showLastColumn="0" showRowStripes="1" showColumnStripes="0"/>
</table>
</file>

<file path=xl/tables/table1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6" xr:uid="{E059746D-E675-4EF0-88F4-8791605FEEED}" name="AvatarAbilities4Scenario5" displayName="AvatarAbilities4Scenario5" ref="K122:O125" totalsRowShown="0" headerRowDxfId="685" headerRowBorderDxfId="684" tableBorderDxfId="683" totalsRowBorderDxfId="682">
  <autoFilter ref="K122:O125" xr:uid="{E059746D-E675-4EF0-88F4-8791605FEEED}"/>
  <tableColumns count="5">
    <tableColumn id="1" xr3:uid="{20267F99-9DF2-489F-A0FB-268A63BB5519}" name="ability" dataDxfId="681"/>
    <tableColumn id="2" xr3:uid="{ED1C9F8E-8284-4586-BDDB-F607F38E81E8}" name="takes" dataDxfId="680">
      <calculatedColumnFormula>COUNTIF(Scenario5[winner1-ability4],AvatarAbilities4Scenario5[[#This Row],[ability]])+COUNTIF(Scenario5[winner2-ability4],AvatarAbilities4Scenario5[[#This Row],[ability]])+COUNTIF(Scenario5[loser1-ability4],AvatarAbilities4Scenario5[[#This Row],[ability]])+COUNTIF(Scenario5[loser2-ability4],AvatarAbilities4Scenario5[[#This Row],[ability]])</calculatedColumnFormula>
    </tableColumn>
    <tableColumn id="3" xr3:uid="{AE7B4946-7098-4FBF-B131-F3A974E87301}" name="wins" dataDxfId="679">
      <calculatedColumnFormula>COUNTIF(Scenario5[winner1-ability4],AvatarAbilities4Scenario5[[#This Row],[ability]])+COUNTIF(Scenario5[winner2-ability4],AvatarAbilities4Scenario5[[#This Row],[ability]])</calculatedColumnFormula>
    </tableColumn>
    <tableColumn id="4" xr3:uid="{C7CCC661-4091-430B-B65F-B26F3EA3BD87}" name="battles-take-rate" dataDxfId="678">
      <calculatedColumnFormula>IF(SUM(AvatarAbilities4Scenario5[[#This Row],[takes]]) &gt; 0,AvatarAbilities4Scenario5[[#This Row],[takes]]/SUM(AvatarAbilities4Scenario5[takes]),0)</calculatedColumnFormula>
    </tableColumn>
    <tableColumn id="5" xr3:uid="{B00A15C0-76BF-4F98-A2DC-A10707EFA8C4}" name="take-win-rate" dataDxfId="677">
      <calculatedColumnFormula>IF(AvatarAbilities4Scenario5[[#This Row],[takes]]&gt;0,AvatarAbilities4Scenario5[[#This Row],[wins]]/AvatarAbilities4Scenario5[[#This Row],[takes]],0)</calculatedColumnFormula>
    </tableColumn>
  </tableColumns>
  <tableStyleInfo name="TableStyleMedium2" showFirstColumn="0" showLastColumn="0" showRowStripes="1" showColumnStripes="0"/>
</table>
</file>

<file path=xl/tables/table1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7" xr:uid="{463807DC-0694-45EB-88CD-6604807E78B6}" name="AvatarEquipScenario5" displayName="AvatarEquipScenario5" ref="Q107:S110" totalsRowShown="0">
  <autoFilter ref="Q107:S110" xr:uid="{463807DC-0694-45EB-88CD-6604807E78B6}"/>
  <tableColumns count="3">
    <tableColumn id="1" xr3:uid="{A66811CF-40FE-4883-A62B-5DF76C24AB50}" name="level"/>
    <tableColumn id="2" xr3:uid="{E5979893-C68C-4FD1-B6E1-EDD30513A00B}" name="bracers" dataDxfId="676">
      <calculatedColumnFormula>COUNTIFS(Scenario5[winner1],"avatar",Scenario5[winner1-pw],AvatarEquipScenario5[[#This Row],[level]])+COUNTIFS(Scenario5[winner2],"avatar",Scenario5[winner2-pw],AvatarEquipScenario5[[#This Row],[level]])+COUNTIFS(Scenario5[loser1],"avatar",Scenario5[loser1-pw],AvatarEquipScenario5[[#This Row],[level]])+COUNTIFS(Scenario5[loser2],"avatar",Scenario5[loser2-pw],AvatarEquipScenario5[[#This Row],[level]])</calculatedColumnFormula>
    </tableColumn>
    <tableColumn id="4" xr3:uid="{57B02848-8814-42DB-91F6-C9F6AA7D6BEC}" name="chestpiece" dataDxfId="675">
      <calculatedColumnFormula>COUNTIFS(Scenario5[winner1],"avatar",Scenario5[winner1-cp],AvatarEquipScenario5[[#This Row],[level]])+COUNTIFS(Scenario5[winner2],"avatar",Scenario5[winner2-cp],AvatarEquipScenario5[[#This Row],[level]])+COUNTIFS(Scenario5[loser1],"avatar",Scenario5[loser1-cp],AvatarEquipScenario5[[#This Row],[level]])+COUNTIFS(Scenario5[loser2],"avatar",Scenario5[loser2-cp],AvatarEquipScenario5[[#This Row],[level]])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ScenarioStat0" displayName="ScenarioStat0" ref="A2:G212" totalsRowShown="0">
  <autoFilter ref="A2:G212" xr:uid="{00000000-0009-0000-0100-000002000000}"/>
  <tableColumns count="7">
    <tableColumn id="1" xr3:uid="{00000000-0010-0000-0100-000001000000}" name="hero-1"/>
    <tableColumn id="3" xr3:uid="{00000000-0010-0000-0100-000003000000}" name="hero-2"/>
    <tableColumn id="4" xr3:uid="{00000000-0010-0000-0100-000004000000}" name="team-1-win" dataDxfId="1813">
      <calculatedColumnFormula>COUNTIFS(Scenario0[winner1],ScenarioStat0[[#This Row],[hero-1]],Scenario0[winner2],ScenarioStat0[[#This Row],[hero-2]],Scenario0[loser1],ScenarioStat0[[#This Row],[hero-3]],Scenario0[loser2],ScenarioStat0[[#This Row],[hero-4]])</calculatedColumnFormula>
    </tableColumn>
    <tableColumn id="5" xr3:uid="{00000000-0010-0000-0100-000005000000}" name="hero-3"/>
    <tableColumn id="7" xr3:uid="{00000000-0010-0000-0100-000007000000}" name="hero-4"/>
    <tableColumn id="8" xr3:uid="{00000000-0010-0000-0100-000008000000}" name="team-2-win" dataDxfId="1812">
      <calculatedColumnFormula>COUNTIFS(Scenario0[winner1],ScenarioStat0[[#This Row],[hero-3]],Scenario0[winner2],ScenarioStat0[[#This Row],[hero-4]],Scenario0[loser1],ScenarioStat0[[#This Row],[hero-1]],Scenario0[loser2],ScenarioStat0[[#This Row],[hero-2]])</calculatedColumnFormula>
    </tableColumn>
    <tableColumn id="2" xr3:uid="{90B32919-5E45-497D-B7B4-CD5D6F2857E9}" name="battles" dataDxfId="1811">
      <calculatedColumnFormula>ScenarioStat0[[#This Row],[team-1-win]]+ScenarioStat0[[#This Row],[team-2-win]]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A301F1-E0F8-4700-BEE5-2688AF43F23A}" name="ParagonAbilities1" displayName="ParagonAbilities1" ref="A2:E5" totalsRowShown="0">
  <autoFilter ref="A2:E5" xr:uid="{DCA301F1-E0F8-4700-BEE5-2688AF43F23A}"/>
  <tableColumns count="5">
    <tableColumn id="2" xr3:uid="{86A1B7E2-07D2-454B-948F-610858F575D4}" name="ability"/>
    <tableColumn id="6" xr3:uid="{FB974958-9B4B-47EC-9463-E31D21B6A55F}" name="takes" dataDxfId="1764">
      <calculatedColumnFormula>M3+M24+M45+M66+M87+M108</calculatedColumnFormula>
    </tableColumn>
    <tableColumn id="4" xr3:uid="{61A21492-49FF-4C06-A153-6F532C6C5A30}" name="wins" dataDxfId="1763">
      <calculatedColumnFormula>N3+N24+N45+N66+N87+N108</calculatedColumnFormula>
    </tableColumn>
    <tableColumn id="5" xr3:uid="{E54CF930-9561-430F-9E4C-4FBFE41AE34D}" name="battles-take-rate" dataDxfId="1762">
      <calculatedColumnFormula>IF(SUM(ParagonAbilities1[[#This Row],[takes]]) &gt; 0,ParagonAbilities1[[#This Row],[takes]]/SUM(ParagonAbilities1[takes]),0)</calculatedColumnFormula>
    </tableColumn>
    <tableColumn id="7" xr3:uid="{FBDA8D4C-951F-4B32-AA8D-F1B4A35AC2BC}" name="take-win-rate" dataDxfId="1761">
      <calculatedColumnFormula>IF(ParagonAbilities1[[#This Row],[takes]]&gt;0,ParagonAbilities1[[#This Row],[wins]]/ParagonAbilities1[[#This Row],[takes]],0)</calculatedColumnFormula>
    </tableColumn>
  </tableColumns>
  <tableStyleInfo name="TableStyleMedium2" showFirstColumn="0" showLastColumn="0" showRowStripes="1" showColumnStripes="0"/>
</table>
</file>

<file path=xl/tables/table2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2" xr:uid="{4E4B830E-F936-4559-B5B1-E032893198DF}" name="ShadowAbilities1" displayName="ShadowAbilities1" ref="A2:E5" totalsRowShown="0">
  <autoFilter ref="A2:E5" xr:uid="{DCA301F1-E0F8-4700-BEE5-2688AF43F23A}"/>
  <tableColumns count="5">
    <tableColumn id="2" xr3:uid="{CAEDA25C-C1A9-40B1-83C4-26F7727CA3C0}" name="ability"/>
    <tableColumn id="6" xr3:uid="{0F700663-A7D9-427F-AC3A-01879C8D8423}" name="takes" dataDxfId="674">
      <calculatedColumnFormula>L3+L24+L45+L66+L87+L108</calculatedColumnFormula>
    </tableColumn>
    <tableColumn id="4" xr3:uid="{E7594F03-C9FD-4ADD-810F-A5D3A80A11D0}" name="wins" dataDxfId="673">
      <calculatedColumnFormula>M3+M24+M45+M66+M87+M108</calculatedColumnFormula>
    </tableColumn>
    <tableColumn id="5" xr3:uid="{02A46B5D-C22D-499B-A57A-EDE540A8C147}" name="battles-take-rate" dataDxfId="672">
      <calculatedColumnFormula>IF(SUM(ShadowAbilities1[[#This Row],[takes]]) &gt; 0,ShadowAbilities1[[#This Row],[takes]]/SUM(ShadowAbilities1[takes]),0)</calculatedColumnFormula>
    </tableColumn>
    <tableColumn id="7" xr3:uid="{B6291078-4F9B-434F-9224-FE972AD369EB}" name="take-win-rate" dataDxfId="671">
      <calculatedColumnFormula>IF(ShadowAbilities1[[#This Row],[takes]]&gt;0,ShadowAbilities1[[#This Row],[wins]]/ShadowAbilities1[[#This Row],[takes]],0)</calculatedColumnFormula>
    </tableColumn>
  </tableColumns>
  <tableStyleInfo name="TableStyleMedium2" showFirstColumn="0" showLastColumn="0" showRowStripes="1" showColumnStripes="0"/>
</table>
</file>

<file path=xl/tables/table2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3" xr:uid="{F77541C4-DEF5-413C-9B0D-E8FA77B38432}" name="ShadowAbilities2" displayName="ShadowAbilities2" ref="A7:E10" totalsRowShown="0" headerRowDxfId="670" headerRowBorderDxfId="669" tableBorderDxfId="668" totalsRowBorderDxfId="667">
  <autoFilter ref="A7:E10" xr:uid="{8ADAEE31-4DDA-4DF2-9EAD-04808D53FFC1}"/>
  <tableColumns count="5">
    <tableColumn id="1" xr3:uid="{6B5E3AC3-81B5-4343-970F-13E572195192}" name="ability"/>
    <tableColumn id="2" xr3:uid="{3C45E92A-CAB4-4885-8BDF-8DCBCE6BE7E4}" name="takes" dataDxfId="666">
      <calculatedColumnFormula>L8+L29+L50+L71+L92+L113</calculatedColumnFormula>
    </tableColumn>
    <tableColumn id="3" xr3:uid="{F5082C29-A973-4FDC-8C6D-DAB230FD220B}" name="wins" dataDxfId="665">
      <calculatedColumnFormula>M8+M29+M50+M71+M92+M113</calculatedColumnFormula>
    </tableColumn>
    <tableColumn id="4" xr3:uid="{955AA51C-C441-4923-93B4-21A375FB8EAB}" name="battles-take-rate" dataDxfId="664">
      <calculatedColumnFormula>IF(SUM(ShadowAbilities2[[#This Row],[takes]]) &gt; 0,ShadowAbilities2[[#This Row],[takes]]/SUM(ShadowAbilities2[takes]),0)</calculatedColumnFormula>
    </tableColumn>
    <tableColumn id="5" xr3:uid="{D995E179-259B-4157-8794-24D1A9EE1071}" name="take-win-rate" dataDxfId="663">
      <calculatedColumnFormula>IF(ShadowAbilities2[[#This Row],[takes]]&gt;0,ShadowAbilities2[[#This Row],[wins]]/ShadowAbilities2[[#This Row],[takes]],0)</calculatedColumnFormula>
    </tableColumn>
  </tableColumns>
  <tableStyleInfo name="TableStyleMedium2" showFirstColumn="0" showLastColumn="0" showRowStripes="1" showColumnStripes="0"/>
</table>
</file>

<file path=xl/tables/table2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4" xr:uid="{EF896B66-6BC6-4347-8E5F-7C020CB75D2A}" name="ShadowAbilities3" displayName="ShadowAbilities3" ref="A12:E15" totalsRowShown="0" headerRowDxfId="662" headerRowBorderDxfId="661" tableBorderDxfId="660" totalsRowBorderDxfId="659">
  <autoFilter ref="A12:E15" xr:uid="{1B0EA3CA-FA8E-4345-B52C-471D5C94AD38}"/>
  <tableColumns count="5">
    <tableColumn id="1" xr3:uid="{EC3CA277-9F9C-4111-B109-CD35934392AD}" name="ability"/>
    <tableColumn id="2" xr3:uid="{2861288D-B84B-4465-8EA5-F9EAD5D6AFB4}" name="takes" dataDxfId="658">
      <calculatedColumnFormula>L13+L34+L55+L76+L97+L118</calculatedColumnFormula>
    </tableColumn>
    <tableColumn id="3" xr3:uid="{69A0AA59-1954-41A9-9184-3D9DCEC82306}" name="wins" dataDxfId="657">
      <calculatedColumnFormula>M13+M34+M55+M76+M97+M118</calculatedColumnFormula>
    </tableColumn>
    <tableColumn id="4" xr3:uid="{D2E0470C-3533-4EB8-BCB1-093B0305CFE5}" name="battles-take-rate" dataDxfId="656">
      <calculatedColumnFormula>IF(SUM(ShadowAbilities3[[#This Row],[takes]]) &gt; 0,ShadowAbilities3[[#This Row],[takes]]/SUM(ShadowAbilities3[takes]),0)</calculatedColumnFormula>
    </tableColumn>
    <tableColumn id="5" xr3:uid="{D7AB188B-474A-443A-AE35-E210B55BB829}" name="take-win-rate" dataDxfId="655">
      <calculatedColumnFormula>IF(ShadowAbilities3[[#This Row],[takes]]&gt;0,ShadowAbilities3[[#This Row],[wins]]/ShadowAbilities3[[#This Row],[takes]],0)</calculatedColumnFormula>
    </tableColumn>
  </tableColumns>
  <tableStyleInfo name="TableStyleMedium2" showFirstColumn="0" showLastColumn="0" showRowStripes="1" showColumnStripes="0"/>
</table>
</file>

<file path=xl/tables/table2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5" xr:uid="{60C43B3B-F3AC-412A-9F64-5DA50E83D898}" name="ShadowAbilities4" displayName="ShadowAbilities4" ref="A17:E20" totalsRowShown="0" headerRowDxfId="654" headerRowBorderDxfId="653" tableBorderDxfId="652" totalsRowBorderDxfId="651">
  <autoFilter ref="A17:E20" xr:uid="{2AADA4A0-2F4A-4009-8ECF-0BECA693390C}"/>
  <tableColumns count="5">
    <tableColumn id="1" xr3:uid="{508E3F3C-793A-4D3F-8FE4-5033189433FA}" name="ability" dataDxfId="650"/>
    <tableColumn id="2" xr3:uid="{26190FBD-0D5B-4F70-AB7C-38105BD3682B}" name="takes" dataDxfId="649">
      <calculatedColumnFormula>L18+L39+L60+L81+L102+L123</calculatedColumnFormula>
    </tableColumn>
    <tableColumn id="3" xr3:uid="{6304B665-DF35-4910-8085-1B0F98C1C08E}" name="wins" dataDxfId="648">
      <calculatedColumnFormula>M18+M39+M60+M81+M102+M123</calculatedColumnFormula>
    </tableColumn>
    <tableColumn id="4" xr3:uid="{CE4233CF-2026-408F-A9F5-172CFF825DD4}" name="battles-take-rate" dataDxfId="647">
      <calculatedColumnFormula>IF(SUM(ShadowAbilities4[[#This Row],[takes]]) &gt; 0,ShadowAbilities4[[#This Row],[takes]]/SUM(ShadowAbilities4[takes]),0)</calculatedColumnFormula>
    </tableColumn>
    <tableColumn id="5" xr3:uid="{CE593245-D425-440D-A81B-8502700E936A}" name="take-win-rate" dataDxfId="646">
      <calculatedColumnFormula>IF(ShadowAbilities4[[#This Row],[takes]]&gt;0,ShadowAbilities4[[#This Row],[wins]]/ShadowAbilities4[[#This Row],[takes]],0)</calculatedColumnFormula>
    </tableColumn>
  </tableColumns>
  <tableStyleInfo name="TableStyleMedium2" showFirstColumn="0" showLastColumn="0" showRowStripes="1" showColumnStripes="0"/>
</table>
</file>

<file path=xl/tables/table2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6" xr:uid="{0B8A9BA0-2FE0-4ACB-99AD-D08CDE7A441E}" name="ShadowEquip" displayName="ShadowEquip" ref="G2:I5" totalsRowShown="0">
  <autoFilter ref="G2:I5" xr:uid="{C15024E5-2A00-4F8B-BBEB-0FE7A036BC54}"/>
  <tableColumns count="3">
    <tableColumn id="1" xr3:uid="{A36EE635-F1BB-4734-8221-35CCF2A9AB46}" name="level"/>
    <tableColumn id="2" xr3:uid="{241299E0-7D56-42BA-8343-F613331227E1}" name="bow" dataDxfId="645">
      <calculatedColumnFormula>R3+R24+R45+R66+R87+R108</calculatedColumnFormula>
    </tableColumn>
    <tableColumn id="4" xr3:uid="{066CD957-712B-40B8-9181-60B4B646F9D5}" name="chestpiece" dataDxfId="644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2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7" xr:uid="{D464FA53-821F-4E00-8794-31278255C7F5}" name="ShadowAbilities1Scenario0" displayName="ShadowAbilities1Scenario0" ref="K2:O5" totalsRowShown="0">
  <autoFilter ref="K2:O5" xr:uid="{4CDFB74F-734F-4444-929B-80D3797B5492}"/>
  <tableColumns count="5">
    <tableColumn id="2" xr3:uid="{9227A8EF-2604-42EE-B9D3-F7036D561A7B}" name="ability"/>
    <tableColumn id="6" xr3:uid="{BD5D58C3-AB1D-40AA-8974-AF7DED4D9797}" name="takes" dataDxfId="643">
      <calculatedColumnFormula>COUNTIF(Scenario0[winner1-ability1],ShadowAbilities1Scenario0[[#This Row],[ability]])+COUNTIF(Scenario0[winner2-ability1],ShadowAbilities1Scenario0[[#This Row],[ability]])+COUNTIF(Scenario0[loser1-ability1],ShadowAbilities1Scenario0[[#This Row],[ability]])+COUNTIF(Scenario0[loser2-ability1],ShadowAbilities1Scenario0[[#This Row],[ability]])</calculatedColumnFormula>
    </tableColumn>
    <tableColumn id="4" xr3:uid="{FAE3DD51-03AD-496E-9811-091108D9CFE2}" name="wins" dataDxfId="642">
      <calculatedColumnFormula>COUNTIF(Scenario0[winner1-ability1],ShadowAbilities1Scenario0[[#This Row],[ability]])+COUNTIF(Scenario0[winner2-ability1],ShadowAbilities1Scenario0[[#This Row],[ability]])</calculatedColumnFormula>
    </tableColumn>
    <tableColumn id="5" xr3:uid="{1718AA16-FFB5-4851-908D-689B4F3B6A08}" name="battles-take-rate" dataDxfId="641">
      <calculatedColumnFormula>IF(SUM(ShadowAbilities1Scenario0[[#This Row],[takes]]) &gt; 0,ShadowAbilities1Scenario0[[#This Row],[takes]]/SUM(ShadowAbilities1Scenario0[takes]),0)</calculatedColumnFormula>
    </tableColumn>
    <tableColumn id="7" xr3:uid="{B7D201C5-5929-431C-9D78-787F8AF9C29E}" name="take-win-rate" dataDxfId="640">
      <calculatedColumnFormula>IF(ShadowAbilities1Scenario0[[#This Row],[takes]]&gt;0,ShadowAbilities1Scenario0[[#This Row],[wins]]/ShadowAbilities1Scenario0[[#This Row],[takes]],0)</calculatedColumnFormula>
    </tableColumn>
  </tableColumns>
  <tableStyleInfo name="TableStyleMedium2" showFirstColumn="0" showLastColumn="0" showRowStripes="1" showColumnStripes="0"/>
</table>
</file>

<file path=xl/tables/table2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8" xr:uid="{7C32D957-1261-426D-BB2E-FC03E249E4F7}" name="ShadowAbilities2Scenario0" displayName="ShadowAbilities2Scenario0" ref="K7:O10" totalsRowShown="0" headerRowDxfId="639" headerRowBorderDxfId="638" tableBorderDxfId="637" totalsRowBorderDxfId="636">
  <autoFilter ref="K7:O10" xr:uid="{07F4368A-34C9-4286-BBA2-89F699718525}"/>
  <tableColumns count="5">
    <tableColumn id="1" xr3:uid="{B3DF3A41-9FD2-4433-BFB9-D128EAFCC109}" name="ability"/>
    <tableColumn id="2" xr3:uid="{A0FE9104-BE7E-4E97-8339-EDAF87583638}" name="takes" dataDxfId="635">
      <calculatedColumnFormula>COUNTIF(Scenario0[winner1-ability2],ShadowAbilities2Scenario0[[#This Row],[ability]])+COUNTIF(Scenario0[winner2-ability2],ShadowAbilities2Scenario0[[#This Row],[ability]])+COUNTIF(Scenario0[loser1-ability2],ShadowAbilities2Scenario0[[#This Row],[ability]])+COUNTIF(Scenario0[loser2-ability2],ShadowAbilities2Scenario0[[#This Row],[ability]])</calculatedColumnFormula>
    </tableColumn>
    <tableColumn id="3" xr3:uid="{2239B055-55A9-4836-9E4A-4D1C81BD8D64}" name="wins" dataDxfId="634">
      <calculatedColumnFormula>COUNTIF(Scenario0[winner1-ability2],ShadowAbilities2Scenario0[[#This Row],[ability]])+COUNTIF(Scenario0[winner2-ability2],ShadowAbilities2Scenario0[[#This Row],[ability]])</calculatedColumnFormula>
    </tableColumn>
    <tableColumn id="4" xr3:uid="{8AC5B85B-0A9F-473F-BDA6-7A69CD2D7148}" name="battles-take-rate" dataDxfId="633">
      <calculatedColumnFormula>IF(SUM(ShadowAbilities2Scenario0[[#This Row],[takes]]) &gt; 0,ShadowAbilities2Scenario0[[#This Row],[takes]]/SUM(ShadowAbilities2Scenario0[takes]),0)</calculatedColumnFormula>
    </tableColumn>
    <tableColumn id="5" xr3:uid="{DF2043AC-885D-4D3B-8F80-5B1271E2EE94}" name="take-win-rate" dataDxfId="632">
      <calculatedColumnFormula>IF(ShadowAbilities2Scenario0[[#This Row],[takes]]&gt;0,ShadowAbilities2Scenario0[[#This Row],[wins]]/ShadowAbilities2Scenario0[[#This Row],[takes]],0)</calculatedColumnFormula>
    </tableColumn>
  </tableColumns>
  <tableStyleInfo name="TableStyleMedium2" showFirstColumn="0" showLastColumn="0" showRowStripes="1" showColumnStripes="0"/>
</table>
</file>

<file path=xl/tables/table2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9" xr:uid="{D94E2A3B-00CF-4FA1-B706-D3F473F2E5B7}" name="ShadowAbilities3Scenario0" displayName="ShadowAbilities3Scenario0" ref="K12:O15" totalsRowShown="0" headerRowDxfId="631" headerRowBorderDxfId="630" tableBorderDxfId="629" totalsRowBorderDxfId="628">
  <autoFilter ref="K12:O15" xr:uid="{E8520742-705B-4A78-A5FD-1F57726A369B}"/>
  <tableColumns count="5">
    <tableColumn id="1" xr3:uid="{6F761ADC-987C-407F-852B-29C9D5DCC6A4}" name="ability"/>
    <tableColumn id="2" xr3:uid="{27176077-8217-4D8D-B7C6-C5249A8A9269}" name="takes" dataDxfId="627">
      <calculatedColumnFormula>COUNTIF(Scenario0[winner1-ability3],ShadowAbilities3Scenario0[[#This Row],[ability]])+COUNTIF(Scenario0[winner2-ability3],ShadowAbilities3Scenario0[[#This Row],[ability]])+COUNTIF(Scenario0[loser1-ability3],ShadowAbilities3Scenario0[[#This Row],[ability]])+COUNTIF(Scenario0[loser2-ability3],ShadowAbilities3Scenario0[[#This Row],[ability]])</calculatedColumnFormula>
    </tableColumn>
    <tableColumn id="3" xr3:uid="{1123C3C5-1F3F-409E-9B39-017E49C04B91}" name="wins" dataDxfId="626">
      <calculatedColumnFormula>COUNTIF(Scenario0[winner1-ability3],ShadowAbilities3Scenario0[[#This Row],[ability]])+COUNTIF(Scenario0[winner2-ability3],ShadowAbilities3Scenario0[[#This Row],[ability]])</calculatedColumnFormula>
    </tableColumn>
    <tableColumn id="4" xr3:uid="{56CC86D7-08DE-499C-9C9C-169FF2FC0F52}" name="battles-take-rate" dataDxfId="625">
      <calculatedColumnFormula>IF(SUM(ShadowAbilities3Scenario0[[#This Row],[takes]]) &gt; 0,ShadowAbilities3Scenario0[[#This Row],[takes]]/SUM(ShadowAbilities3Scenario0[takes]),0)</calculatedColumnFormula>
    </tableColumn>
    <tableColumn id="5" xr3:uid="{065129C6-CB96-484B-A1C2-D1024E6EAC2B}" name="take-win-rate" dataDxfId="624">
      <calculatedColumnFormula>IF(ShadowAbilities3Scenario0[[#This Row],[takes]]&gt;0,ShadowAbilities3Scenario0[[#This Row],[wins]]/ShadowAbilities3Scenario0[[#This Row],[takes]],0)</calculatedColumnFormula>
    </tableColumn>
  </tableColumns>
  <tableStyleInfo name="TableStyleMedium2" showFirstColumn="0" showLastColumn="0" showRowStripes="1" showColumnStripes="0"/>
</table>
</file>

<file path=xl/tables/table2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0" xr:uid="{1F3EC6B7-9D90-4E77-9344-7ECF91B34C9B}" name="ShadowAbilities4Scenario0" displayName="ShadowAbilities4Scenario0" ref="K17:O20" totalsRowShown="0" headerRowDxfId="623" headerRowBorderDxfId="622" tableBorderDxfId="621" totalsRowBorderDxfId="620">
  <autoFilter ref="K17:O20" xr:uid="{01E0B516-A92C-45D4-946B-0FCF2F31D98A}"/>
  <tableColumns count="5">
    <tableColumn id="1" xr3:uid="{7A69B0E2-20CF-43A3-920A-9AE63CA4EDD6}" name="ability" dataDxfId="619"/>
    <tableColumn id="2" xr3:uid="{A0E31296-499C-405F-BCF6-B2EAB56FDACC}" name="takes" dataDxfId="618">
      <calculatedColumnFormula>COUNTIF(Scenario0[winner1-ability4],ShadowAbilities4Scenario0[[#This Row],[ability]])+COUNTIF(Scenario0[winner2-ability4],ShadowAbilities4Scenario0[[#This Row],[ability]])+COUNTIF(Scenario0[loser1-ability4],ShadowAbilities4Scenario0[[#This Row],[ability]])+COUNTIF(Scenario0[loser2-ability4],ShadowAbilities4Scenario0[[#This Row],[ability]])</calculatedColumnFormula>
    </tableColumn>
    <tableColumn id="3" xr3:uid="{494E54F2-F814-496A-A58D-8842058A1A25}" name="wins" dataDxfId="617">
      <calculatedColumnFormula>COUNTIF(Scenario0[winner1-ability4],ShadowAbilities4Scenario0[[#This Row],[ability]])+COUNTIF(Scenario0[winner2-ability4],ShadowAbilities4Scenario0[[#This Row],[ability]])</calculatedColumnFormula>
    </tableColumn>
    <tableColumn id="4" xr3:uid="{3DA6486E-2DDF-47F6-93E0-B2F5FA67C0D2}" name="battles-take-rate" dataDxfId="616">
      <calculatedColumnFormula>IF(SUM(ShadowAbilities4Scenario0[[#This Row],[takes]]) &gt; 0,ShadowAbilities4Scenario0[[#This Row],[takes]]/SUM(ShadowAbilities4Scenario0[takes]),0)</calculatedColumnFormula>
    </tableColumn>
    <tableColumn id="5" xr3:uid="{E661EC93-1340-4563-B960-7B6F1A9C9122}" name="take-win-rate" dataDxfId="615">
      <calculatedColumnFormula>IF(ShadowAbilities4Scenario0[[#This Row],[takes]]&gt;0,ShadowAbilities4Scenario0[[#This Row],[wins]]/ShadowAbilities4Scenario0[[#This Row],[takes]],0)</calculatedColumnFormula>
    </tableColumn>
  </tableColumns>
  <tableStyleInfo name="TableStyleMedium2" showFirstColumn="0" showLastColumn="0" showRowStripes="1" showColumnStripes="0"/>
</table>
</file>

<file path=xl/tables/table2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1" xr:uid="{9FF1CF35-A352-45E7-8AEA-BCC94D110B95}" name="ShadowEquipScenario0" displayName="ShadowEquipScenario0" ref="Q2:S5" totalsRowShown="0">
  <autoFilter ref="Q2:S5" xr:uid="{E84D91C4-DFF3-43B9-932F-3FEFFBEA9FF1}"/>
  <tableColumns count="3">
    <tableColumn id="1" xr3:uid="{2A73AF38-B7BA-495B-B480-CEBCC44580DF}" name="level"/>
    <tableColumn id="2" xr3:uid="{D219C869-99F3-4DA9-B5EC-B0C496A1F2FB}" name="bow" dataDxfId="614">
      <calculatedColumnFormula>COUNTIFS(Scenario0[winner1],"shadow",Scenario0[winner1-pw],ShadowEquipScenario0[[#This Row],[level]])+COUNTIFS(Scenario0[winner2],"shadow",Scenario0[winner2-pw],ShadowEquipScenario0[[#This Row],[level]])+COUNTIFS(Scenario0[loser1],"shadow",Scenario0[loser1-pw],ShadowEquipScenario0[[#This Row],[level]])+COUNTIFS(Scenario0[loser2],"shadow",Scenario0[loser2-pw],ShadowEquipScenario0[[#This Row],[level]])</calculatedColumnFormula>
    </tableColumn>
    <tableColumn id="4" xr3:uid="{F158CF70-D794-4DAC-B593-ADB8DD7E8E54}" name="chestpiece" dataDxfId="613">
      <calculatedColumnFormula>COUNTIFS(Scenario0[winner1],"shadow",Scenario0[winner1-cp],ShadowEquipScenario0[[#This Row],[level]])+COUNTIFS(Scenario0[winner2],"shadow",Scenario0[winner2-cp],ShadowEquipScenario0[[#This Row],[level]])+COUNTIFS(Scenario0[loser1],"shadow",Scenario0[loser1-cp],ShadowEquipScenario0[[#This Row],[level]])+COUNTIFS(Scenario0[loser2],"shadow",Scenario0[loser2-cp],ShadowEquipScenario0[[#This Row],[level]])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ADAEE31-4DDA-4DF2-9EAD-04808D53FFC1}" name="ParagonAbilities2" displayName="ParagonAbilities2" ref="A7:E10" totalsRowShown="0" headerRowDxfId="1760" headerRowBorderDxfId="1759" tableBorderDxfId="1758" totalsRowBorderDxfId="1757">
  <autoFilter ref="A7:E10" xr:uid="{8ADAEE31-4DDA-4DF2-9EAD-04808D53FFC1}"/>
  <tableColumns count="5">
    <tableColumn id="1" xr3:uid="{2EBB42D4-A151-441A-8D33-DE2FA10B22F8}" name="ability"/>
    <tableColumn id="2" xr3:uid="{F55F352C-3FB6-4924-B8D4-563674F00FC0}" name="takes" dataDxfId="1756">
      <calculatedColumnFormula>M8+M29+M50+M71+M92+M113</calculatedColumnFormula>
    </tableColumn>
    <tableColumn id="3" xr3:uid="{80A922C6-64D8-44FE-96CB-B7E1F6FDC03C}" name="wins" dataDxfId="1755">
      <calculatedColumnFormula>N8+N29+N50+N71+N92+N113</calculatedColumnFormula>
    </tableColumn>
    <tableColumn id="4" xr3:uid="{554161FF-0726-4138-B76E-C5C63F8E633A}" name="battles-take-rate" dataDxfId="1754">
      <calculatedColumnFormula>IF(SUM(ParagonAbilities2[[#This Row],[takes]]) &gt; 0,ParagonAbilities2[[#This Row],[takes]]/SUM(ParagonAbilities2[takes]),0)</calculatedColumnFormula>
    </tableColumn>
    <tableColumn id="5" xr3:uid="{EBDCF172-80BC-41F1-9D53-618ADC3547F0}" name="take-win-rate" dataDxfId="1753">
      <calculatedColumnFormula>IF(ParagonAbilities2[[#This Row],[takes]]&gt;0,ParagonAbilities2[[#This Row],[wins]]/ParagonAbilities2[[#This Row],[takes]],0)</calculatedColumnFormula>
    </tableColumn>
  </tableColumns>
  <tableStyleInfo name="TableStyleMedium2" showFirstColumn="0" showLastColumn="0" showRowStripes="1" showColumnStripes="0"/>
</table>
</file>

<file path=xl/tables/table2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2" xr:uid="{F9ED96BB-47D7-416B-A8C3-C70BA80F1027}" name="ShadowAbilities1Scenario1" displayName="ShadowAbilities1Scenario1" ref="K23:O26" totalsRowShown="0">
  <autoFilter ref="K23:O26" xr:uid="{A0A97CA7-01BF-4D92-A7D1-F51028CD7758}"/>
  <tableColumns count="5">
    <tableColumn id="2" xr3:uid="{008DE325-A586-489D-A2DB-59EF3BAA2B7C}" name="ability"/>
    <tableColumn id="6" xr3:uid="{FE9CC10D-A58A-4550-B8A0-B2C3AC7FA742}" name="takes" dataDxfId="612">
      <calculatedColumnFormula>COUNTIF(Scenario1[winner1-ability1],ShadowAbilities1Scenario1[[#This Row],[ability]])+COUNTIF(Scenario1[winner2-ability1],ShadowAbilities1Scenario1[[#This Row],[ability]])+COUNTIF(Scenario1[loser1-ability1],ShadowAbilities1Scenario1[[#This Row],[ability]])+COUNTIF(Scenario1[loser2-ability1],ShadowAbilities1Scenario1[[#This Row],[ability]])</calculatedColumnFormula>
    </tableColumn>
    <tableColumn id="4" xr3:uid="{D0CFE807-5100-45DB-B48C-2740E7D2C3D9}" name="wins" dataDxfId="611">
      <calculatedColumnFormula>COUNTIF(Scenario1[winner1-ability1],ShadowAbilities1Scenario1[[#This Row],[ability]])+COUNTIF(Scenario1[winner2-ability1],ShadowAbilities1Scenario1[[#This Row],[ability]])</calculatedColumnFormula>
    </tableColumn>
    <tableColumn id="5" xr3:uid="{9376B1A3-0436-432B-BDBF-F36E426E380F}" name="battles-take-rate" dataDxfId="610">
      <calculatedColumnFormula>IF(SUM(ShadowAbilities1Scenario1[[#This Row],[takes]]) &gt; 0,ShadowAbilities1Scenario1[[#This Row],[takes]]/SUM(ShadowAbilities1Scenario1[takes]),0)</calculatedColumnFormula>
    </tableColumn>
    <tableColumn id="7" xr3:uid="{3E54B8AB-27F8-473D-876A-9DBE1A9425EA}" name="take-win-rate" dataDxfId="609">
      <calculatedColumnFormula>IF(ShadowAbilities1Scenario1[[#This Row],[takes]]&gt;0,ShadowAbilities1Scenario1[[#This Row],[wins]]/ShadowAbilities1Scenario1[[#This Row],[takes]],0)</calculatedColumnFormula>
    </tableColumn>
  </tableColumns>
  <tableStyleInfo name="TableStyleMedium2" showFirstColumn="0" showLastColumn="0" showRowStripes="1" showColumnStripes="0"/>
</table>
</file>

<file path=xl/tables/table2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3" xr:uid="{7CB56C41-9B70-4C14-A2D4-CEDCA4BB920D}" name="ShadowAbilities2Scenario1" displayName="ShadowAbilities2Scenario1" ref="K28:O31" totalsRowShown="0" headerRowDxfId="608" headerRowBorderDxfId="607" tableBorderDxfId="606" totalsRowBorderDxfId="605">
  <autoFilter ref="K28:O31" xr:uid="{A29CF70A-0B84-46BB-A412-712C2F594795}"/>
  <tableColumns count="5">
    <tableColumn id="1" xr3:uid="{FE94DC15-4790-41F4-BC69-BF326D2E026F}" name="ability"/>
    <tableColumn id="2" xr3:uid="{7708381C-1CD9-4BA3-B60C-4290D89277B5}" name="takes" dataDxfId="604">
      <calculatedColumnFormula>COUNTIF(Scenario1[winner1-ability2],ShadowAbilities2Scenario1[[#This Row],[ability]])+COUNTIF(Scenario1[winner2-ability2],ShadowAbilities2Scenario1[[#This Row],[ability]])+COUNTIF(Scenario1[loser1-ability2],ShadowAbilities2Scenario1[[#This Row],[ability]])+COUNTIF(Scenario1[loser2-ability2],ShadowAbilities2Scenario1[[#This Row],[ability]])</calculatedColumnFormula>
    </tableColumn>
    <tableColumn id="3" xr3:uid="{AD5D9A42-709C-46B0-89AD-C2D2E53CD046}" name="wins" dataDxfId="603">
      <calculatedColumnFormula>COUNTIF(Scenario1[winner1-ability2],ShadowAbilities2Scenario1[[#This Row],[ability]])+COUNTIF(Scenario1[winner2-ability2],ShadowAbilities2Scenario1[[#This Row],[ability]])</calculatedColumnFormula>
    </tableColumn>
    <tableColumn id="4" xr3:uid="{3558D6B4-65EE-4DBA-B309-AFA9DEA4466A}" name="battles-take-rate" dataDxfId="602">
      <calculatedColumnFormula>IF(SUM(ShadowAbilities2Scenario1[[#This Row],[takes]]) &gt; 0,ShadowAbilities2Scenario1[[#This Row],[takes]]/SUM(ShadowAbilities2Scenario1[takes]),0)</calculatedColumnFormula>
    </tableColumn>
    <tableColumn id="5" xr3:uid="{8A56ADB3-78DF-4EA7-AE3D-3DCEC9E62F47}" name="take-win-rate" dataDxfId="601">
      <calculatedColumnFormula>IF(ShadowAbilities2Scenario1[[#This Row],[takes]]&gt;0,ShadowAbilities2Scenario1[[#This Row],[wins]]/ShadowAbilities2Scenario1[[#This Row],[takes]],0)</calculatedColumnFormula>
    </tableColumn>
  </tableColumns>
  <tableStyleInfo name="TableStyleMedium2" showFirstColumn="0" showLastColumn="0" showRowStripes="1" showColumnStripes="0"/>
</table>
</file>

<file path=xl/tables/table2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4" xr:uid="{8F93C5FE-3490-4C27-8EC3-67DADDC89D38}" name="ShadowAbilities3Scenario1" displayName="ShadowAbilities3Scenario1" ref="K33:O36" totalsRowShown="0" headerRowDxfId="600" headerRowBorderDxfId="599" tableBorderDxfId="598" totalsRowBorderDxfId="597">
  <autoFilter ref="K33:O36" xr:uid="{CBC18F4E-86CD-4BE3-9377-2B862ED3B826}"/>
  <tableColumns count="5">
    <tableColumn id="1" xr3:uid="{46B1700A-E166-4555-85F4-D30DBCCF684B}" name="ability"/>
    <tableColumn id="2" xr3:uid="{4965850A-1D55-4AB0-B418-78A56DC02458}" name="takes" dataDxfId="596">
      <calculatedColumnFormula>COUNTIF(Scenario1[winner1-ability3],ShadowAbilities3Scenario1[[#This Row],[ability]])+COUNTIF(Scenario1[winner2-ability3],ShadowAbilities3Scenario1[[#This Row],[ability]])+COUNTIF(Scenario1[loser1-ability3],ShadowAbilities3Scenario1[[#This Row],[ability]])+COUNTIF(Scenario1[loser2-ability3],ShadowAbilities3Scenario1[[#This Row],[ability]])</calculatedColumnFormula>
    </tableColumn>
    <tableColumn id="3" xr3:uid="{35A0E5BD-7FF0-41F0-8216-6C500009F439}" name="wins" dataDxfId="595">
      <calculatedColumnFormula>COUNTIF(Scenario1[winner1-ability3],ShadowAbilities3Scenario1[[#This Row],[ability]])+COUNTIF(Scenario1[winner2-ability3],ShadowAbilities3Scenario1[[#This Row],[ability]])</calculatedColumnFormula>
    </tableColumn>
    <tableColumn id="4" xr3:uid="{1A537A8D-DE5C-40C1-8C0F-5AD01EFB611F}" name="battles-take-rate" dataDxfId="594">
      <calculatedColumnFormula>IF(SUM(ShadowAbilities3Scenario1[[#This Row],[takes]]) &gt; 0,ShadowAbilities3Scenario1[[#This Row],[takes]]/SUM(ShadowAbilities3Scenario1[takes]),0)</calculatedColumnFormula>
    </tableColumn>
    <tableColumn id="5" xr3:uid="{B007A33C-1672-4F1D-A617-F64057A5D033}" name="take-win-rate" dataDxfId="593">
      <calculatedColumnFormula>IF(ShadowAbilities3Scenario1[[#This Row],[takes]]&gt;0,ShadowAbilities3Scenario1[[#This Row],[wins]]/ShadowAbilities3Scenario1[[#This Row],[takes]],0)</calculatedColumnFormula>
    </tableColumn>
  </tableColumns>
  <tableStyleInfo name="TableStyleMedium2" showFirstColumn="0" showLastColumn="0" showRowStripes="1" showColumnStripes="0"/>
</table>
</file>

<file path=xl/tables/table2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5" xr:uid="{F74B7300-937D-4C51-B097-F12AF43569C3}" name="ShadowAbilities4Scenario1" displayName="ShadowAbilities4Scenario1" ref="K38:O41" totalsRowShown="0" headerRowDxfId="592" headerRowBorderDxfId="591" tableBorderDxfId="590" totalsRowBorderDxfId="589">
  <autoFilter ref="K38:O41" xr:uid="{A1F38E75-59DE-4DB4-B81C-C0322397F6F7}"/>
  <tableColumns count="5">
    <tableColumn id="1" xr3:uid="{B95A8C1F-E83A-4A7B-ACAE-F997D171F354}" name="ability" dataDxfId="588"/>
    <tableColumn id="2" xr3:uid="{B5A87322-37A1-488C-B6C2-23B9D65EEB08}" name="takes" dataDxfId="587">
      <calculatedColumnFormula>COUNTIF(Scenario1[winner1-ability4],ShadowAbilities4Scenario1[[#This Row],[ability]])+COUNTIF(Scenario1[winner2-ability4],ShadowAbilities4Scenario1[[#This Row],[ability]])+COUNTIF(Scenario1[loser1-ability4],ShadowAbilities4Scenario1[[#This Row],[ability]])+COUNTIF(Scenario1[loser2-ability4],ShadowAbilities4Scenario1[[#This Row],[ability]])</calculatedColumnFormula>
    </tableColumn>
    <tableColumn id="3" xr3:uid="{0FFFDCC5-C182-47DA-9E8F-B1DA233CC01A}" name="wins" dataDxfId="586">
      <calculatedColumnFormula>COUNTIF(Scenario1[winner1-ability4],ShadowAbilities4Scenario1[[#This Row],[ability]])+COUNTIF(Scenario1[winner2-ability4],ShadowAbilities4Scenario1[[#This Row],[ability]])</calculatedColumnFormula>
    </tableColumn>
    <tableColumn id="4" xr3:uid="{7FA6BF5E-27A7-4FD2-90DE-A6BE13644EA8}" name="battles-take-rate" dataDxfId="585">
      <calculatedColumnFormula>IF(SUM(ShadowAbilities4Scenario1[[#This Row],[takes]]) &gt; 0,ShadowAbilities4Scenario1[[#This Row],[takes]]/SUM(ShadowAbilities4Scenario1[takes]),0)</calculatedColumnFormula>
    </tableColumn>
    <tableColumn id="5" xr3:uid="{74028A3C-F581-4E0F-B14A-B02F84C99095}" name="take-win-rate" dataDxfId="584">
      <calculatedColumnFormula>IF(ShadowAbilities4Scenario1[[#This Row],[takes]]&gt;0,ShadowAbilities4Scenario1[[#This Row],[wins]]/ShadowAbilities4Scenario1[[#This Row],[takes]],0)</calculatedColumnFormula>
    </tableColumn>
  </tableColumns>
  <tableStyleInfo name="TableStyleMedium2" showFirstColumn="0" showLastColumn="0" showRowStripes="1" showColumnStripes="0"/>
</table>
</file>

<file path=xl/tables/table2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6" xr:uid="{5BFC3DE1-C338-4853-B366-0028F8423C03}" name="ShadowEquipScenario1" displayName="ShadowEquipScenario1" ref="Q23:S26" totalsRowShown="0">
  <autoFilter ref="Q23:S26" xr:uid="{18EECD25-0AE5-4756-B5E1-492D523A2929}"/>
  <tableColumns count="3">
    <tableColumn id="1" xr3:uid="{2A77700A-7044-45F3-988F-3EC818532322}" name="level"/>
    <tableColumn id="2" xr3:uid="{E4D31566-F0D1-4730-8608-5F563805FA29}" name="bow" dataDxfId="583">
      <calculatedColumnFormula>COUNTIFS(Scenario1[winner1],"shadow",Scenario1[winner1-pw],ShadowEquipScenario1[[#This Row],[level]])+COUNTIFS(Scenario1[winner2],"shadow",Scenario1[winner2-pw],ShadowEquipScenario1[[#This Row],[level]])+COUNTIFS(Scenario1[loser1],"shadow",Scenario1[loser1-pw],ShadowEquipScenario1[[#This Row],[level]])+COUNTIFS(Scenario1[loser2],"shadow",Scenario1[loser2-pw],ShadowEquipScenario1[[#This Row],[level]])</calculatedColumnFormula>
    </tableColumn>
    <tableColumn id="4" xr3:uid="{73CA964D-C78A-4377-BFE0-17B46479DCD1}" name="chestpiece" dataDxfId="582">
      <calculatedColumnFormula>COUNTIFS(Scenario1[winner1],"shadow",Scenario1[winner1-cp],ShadowEquipScenario1[[#This Row],[level]])+COUNTIFS(Scenario1[winner2],"shadow",Scenario1[winner2-cp],ShadowEquipScenario1[[#This Row],[level]])+COUNTIFS(Scenario1[loser1],"shadow",Scenario1[loser1-cp],ShadowEquipScenario1[[#This Row],[level]])+COUNTIFS(Scenario1[loser2],"shadow",Scenario1[loser2-cp],ShadowEquipScenario1[[#This Row],[level]])</calculatedColumnFormula>
    </tableColumn>
  </tableColumns>
  <tableStyleInfo name="TableStyleMedium2" showFirstColumn="0" showLastColumn="0" showRowStripes="1" showColumnStripes="0"/>
</table>
</file>

<file path=xl/tables/table2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7" xr:uid="{DD22B9EC-CCE6-4461-80DF-880367BBBCBD}" name="ShadowAbilities1Scenario2" displayName="ShadowAbilities1Scenario2" ref="K44:O47" totalsRowShown="0">
  <autoFilter ref="K44:O47" xr:uid="{81D76695-EE53-4A07-9351-842AC55F2540}"/>
  <tableColumns count="5">
    <tableColumn id="2" xr3:uid="{4629BE3F-DAA4-4934-A0EE-1371B2FE1BDB}" name="ability"/>
    <tableColumn id="6" xr3:uid="{EB33759E-56B1-477E-BC3C-6832E6F20FAC}" name="takes" dataDxfId="581">
      <calculatedColumnFormula>COUNTIF(Scenario2[winner1-ability1],ShadowAbilities1Scenario2[[#This Row],[ability]])+COUNTIF(Scenario2[loser1-ability1],ShadowAbilities1Scenario2[[#This Row],[ability]])</calculatedColumnFormula>
    </tableColumn>
    <tableColumn id="4" xr3:uid="{FE738003-AC04-4A76-9B67-5638D109637C}" name="wins" dataDxfId="580">
      <calculatedColumnFormula>COUNTIF(Scenario2[winner1-ability1],ShadowAbilities1Scenario2[[#This Row],[ability]])</calculatedColumnFormula>
    </tableColumn>
    <tableColumn id="5" xr3:uid="{AE0DC280-6579-4B86-B8B4-CDC9AF90EDBE}" name="battles-take-rate" dataDxfId="579">
      <calculatedColumnFormula>IF(SUM(ShadowAbilities1Scenario2[[#This Row],[takes]]) &gt; 0,ShadowAbilities1Scenario2[[#This Row],[takes]]/SUM(ShadowAbilities1Scenario2[takes]),0)</calculatedColumnFormula>
    </tableColumn>
    <tableColumn id="7" xr3:uid="{A5D22C9E-BE77-4635-B2CB-3DB13AFE1B20}" name="take-win-rate" dataDxfId="578">
      <calculatedColumnFormula>IF(ShadowAbilities1Scenario2[[#This Row],[takes]]&gt;0,ShadowAbilities1Scenario2[[#This Row],[wins]]/ShadowAbilities1Scenario2[[#This Row],[takes]],0)</calculatedColumnFormula>
    </tableColumn>
  </tableColumns>
  <tableStyleInfo name="TableStyleMedium2" showFirstColumn="0" showLastColumn="0" showRowStripes="1" showColumnStripes="0"/>
</table>
</file>

<file path=xl/tables/table2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8" xr:uid="{A0D3D6DA-0647-413D-BED0-D5E7C75A4319}" name="ShadowAbilities2Scenario2" displayName="ShadowAbilities2Scenario2" ref="K49:O52" totalsRowShown="0" headerRowDxfId="577" headerRowBorderDxfId="576" tableBorderDxfId="575" totalsRowBorderDxfId="574">
  <autoFilter ref="K49:O52" xr:uid="{B5828340-8DA1-4B65-ACEB-BDDDED872E64}"/>
  <tableColumns count="5">
    <tableColumn id="1" xr3:uid="{5F69D259-6B87-468D-A7C6-6DC954F308AB}" name="ability"/>
    <tableColumn id="2" xr3:uid="{97AC012A-579E-455B-AC0A-07E4FE22C416}" name="takes" dataDxfId="573">
      <calculatedColumnFormula>COUNTIF(Scenario2[winner1-ability2],ShadowAbilities2Scenario2[[#This Row],[ability]])+COUNTIF(Scenario2[loser1-ability2],ShadowAbilities2Scenario2[[#This Row],[ability]])</calculatedColumnFormula>
    </tableColumn>
    <tableColumn id="3" xr3:uid="{5B8199CD-AE06-4F14-A5CD-40B606AD87E3}" name="wins" dataDxfId="572">
      <calculatedColumnFormula>COUNTIF(Scenario2[winner1-ability2],ShadowAbilities2Scenario2[[#This Row],[ability]])</calculatedColumnFormula>
    </tableColumn>
    <tableColumn id="4" xr3:uid="{348088A2-AD3A-435D-AAD6-1030EDC81266}" name="battles-take-rate" dataDxfId="571">
      <calculatedColumnFormula>IF(SUM(ShadowAbilities2Scenario2[[#This Row],[takes]]) &gt; 0,ShadowAbilities2Scenario2[[#This Row],[takes]]/SUM(ShadowAbilities2Scenario2[takes]),0)</calculatedColumnFormula>
    </tableColumn>
    <tableColumn id="5" xr3:uid="{235B4BB0-D6BF-4BB6-8832-B715BDD3BE87}" name="take-win-rate" dataDxfId="570">
      <calculatedColumnFormula>IF(ShadowAbilities2Scenario2[[#This Row],[takes]]&gt;0,ShadowAbilities2Scenario2[[#This Row],[wins]]/ShadowAbilities2Scenario2[[#This Row],[takes]],0)</calculatedColumnFormula>
    </tableColumn>
  </tableColumns>
  <tableStyleInfo name="TableStyleMedium2" showFirstColumn="0" showLastColumn="0" showRowStripes="1" showColumnStripes="0"/>
</table>
</file>

<file path=xl/tables/table2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9" xr:uid="{104D66A0-47FD-45C0-91D3-ACDEDE0FF10A}" name="ShadowAbilities3Scenario2" displayName="ShadowAbilities3Scenario2" ref="K54:O57" totalsRowShown="0" headerRowDxfId="569" headerRowBorderDxfId="568" tableBorderDxfId="567" totalsRowBorderDxfId="566">
  <autoFilter ref="K54:O57" xr:uid="{34ED10E5-B169-4BBA-8F2C-73FF473D0922}"/>
  <tableColumns count="5">
    <tableColumn id="1" xr3:uid="{6301EBDF-1BC0-4914-97D3-CEE665476939}" name="ability"/>
    <tableColumn id="2" xr3:uid="{20DE5D3D-0E8C-4DBD-AE46-C2AD6DEAE9F6}" name="takes" dataDxfId="565">
      <calculatedColumnFormula>COUNTIF(Scenario2[winner1-ability3],ShadowAbilities3Scenario2[[#This Row],[ability]])+COUNTIF(Scenario2[loser1-ability3],ShadowAbilities3Scenario2[[#This Row],[ability]])</calculatedColumnFormula>
    </tableColumn>
    <tableColumn id="3" xr3:uid="{7DA47513-028B-499E-81F6-E4D5DC0BFAC4}" name="wins" dataDxfId="564">
      <calculatedColumnFormula>COUNTIF(Scenario2[winner1-ability3],ShadowAbilities3Scenario2[[#This Row],[ability]])</calculatedColumnFormula>
    </tableColumn>
    <tableColumn id="4" xr3:uid="{B6BC679A-540A-46F8-8039-4C37B6F8FAD6}" name="battles-take-rate" dataDxfId="563">
      <calculatedColumnFormula>IF(SUM(ShadowAbilities3Scenario2[[#This Row],[takes]]) &gt; 0,ShadowAbilities3Scenario2[[#This Row],[takes]]/SUM(ShadowAbilities3Scenario2[takes]),0)</calculatedColumnFormula>
    </tableColumn>
    <tableColumn id="5" xr3:uid="{7B45EB82-9FF3-4705-BEFD-984E25A3228B}" name="take-win-rate" dataDxfId="562">
      <calculatedColumnFormula>IF(ShadowAbilities3Scenario2[[#This Row],[takes]]&gt;0,ShadowAbilities3Scenario2[[#This Row],[wins]]/ShadowAbilities3Scenario2[[#This Row],[takes]],0)</calculatedColumnFormula>
    </tableColumn>
  </tableColumns>
  <tableStyleInfo name="TableStyleMedium2" showFirstColumn="0" showLastColumn="0" showRowStripes="1" showColumnStripes="0"/>
</table>
</file>

<file path=xl/tables/table2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0" xr:uid="{48FB5608-00F7-4F5C-8567-E0861503FA44}" name="ShadowAbilities4Scenario2" displayName="ShadowAbilities4Scenario2" ref="K59:O62" totalsRowShown="0" headerRowDxfId="561" headerRowBorderDxfId="560" tableBorderDxfId="559" totalsRowBorderDxfId="558">
  <autoFilter ref="K59:O62" xr:uid="{DDB7F110-02A6-4F67-8266-251AF48CB7C0}"/>
  <tableColumns count="5">
    <tableColumn id="1" xr3:uid="{808C7394-83C0-4054-AFB9-9F9E1965E6DC}" name="ability" dataDxfId="557"/>
    <tableColumn id="2" xr3:uid="{A8117EB0-F8AE-4362-841F-EBC31BDC80E7}" name="takes" dataDxfId="556">
      <calculatedColumnFormula>COUNTIF(Scenario2[winner1-ability4],ShadowAbilities4Scenario2[[#This Row],[ability]])+COUNTIF(Scenario2[loser1-ability4],ShadowAbilities4Scenario2[[#This Row],[ability]])</calculatedColumnFormula>
    </tableColumn>
    <tableColumn id="3" xr3:uid="{790E022C-04A3-40D9-BE58-56578068C815}" name="wins" dataDxfId="555">
      <calculatedColumnFormula>COUNTIF(Scenario2[winner1-ability4],ShadowAbilities4Scenario2[[#This Row],[ability]])</calculatedColumnFormula>
    </tableColumn>
    <tableColumn id="4" xr3:uid="{D18D0446-17DA-4367-8791-04B929BF7C7E}" name="battles-take-rate" dataDxfId="554">
      <calculatedColumnFormula>IF(SUM(ShadowAbilities4Scenario2[[#This Row],[takes]]) &gt; 0,ShadowAbilities4Scenario2[[#This Row],[takes]]/SUM(ShadowAbilities4Scenario2[takes]),0)</calculatedColumnFormula>
    </tableColumn>
    <tableColumn id="5" xr3:uid="{254D8BB9-A8B2-4F99-A354-FFD4FD65ECA3}" name="take-win-rate" dataDxfId="553">
      <calculatedColumnFormula>IF(ShadowAbilities4Scenario2[[#This Row],[takes]]&gt;0,ShadowAbilities4Scenario2[[#This Row],[wins]]/ShadowAbilities4Scenario2[[#This Row],[takes]],0)</calculatedColumnFormula>
    </tableColumn>
  </tableColumns>
  <tableStyleInfo name="TableStyleMedium2" showFirstColumn="0" showLastColumn="0" showRowStripes="1" showColumnStripes="0"/>
</table>
</file>

<file path=xl/tables/table2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1" xr:uid="{633BF414-8950-4650-8211-DDD7B5F9EA66}" name="ShadowEquipScenario2" displayName="ShadowEquipScenario2" ref="Q44:S47" totalsRowShown="0">
  <autoFilter ref="Q44:S47" xr:uid="{BDEC3E9D-FA56-4E08-A52D-2A8BEB87833A}"/>
  <tableColumns count="3">
    <tableColumn id="1" xr3:uid="{8C52FA7B-F153-4326-9A25-982398926169}" name="level"/>
    <tableColumn id="2" xr3:uid="{7F46205B-214A-4E4D-8E55-9600054E4654}" name="bow" dataDxfId="552">
      <calculatedColumnFormula>COUNTIFS(Scenario2[winner1],"shadow",Scenario2[winner1-pw],ShadowEquipScenario2[[#This Row],[level]])+COUNTIFS(Scenario2[loser1],"shadow",Scenario2[loser1-pw],ShadowEquipScenario2[[#This Row],[level]])</calculatedColumnFormula>
    </tableColumn>
    <tableColumn id="4" xr3:uid="{F299A8D6-B21B-4204-A41A-57E9F5411651}" name="chestpiece" dataDxfId="551">
      <calculatedColumnFormula>COUNTIFS(Scenario2[winner1],"shadow",Scenario2[winner1-cp],ShadowEquipScenario2[[#This Row],[level]])+COUNTIFS(Scenario2[loser1],"shadow",Scenario2[loser1-cp],ShadowEquipScenario2[[#This Row],[level]])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B0EA3CA-FA8E-4345-B52C-471D5C94AD38}" name="ParagonAbilities3" displayName="ParagonAbilities3" ref="A12:E15" totalsRowShown="0" headerRowDxfId="1752" headerRowBorderDxfId="1751" tableBorderDxfId="1750" totalsRowBorderDxfId="1749">
  <autoFilter ref="A12:E15" xr:uid="{1B0EA3CA-FA8E-4345-B52C-471D5C94AD38}"/>
  <tableColumns count="5">
    <tableColumn id="1" xr3:uid="{B8B19612-9BE1-4890-BD28-044C895D67D5}" name="ability"/>
    <tableColumn id="2" xr3:uid="{CF518B36-9B06-430F-88E0-0EA55DE77CCB}" name="takes" dataDxfId="1748">
      <calculatedColumnFormula>M13+M34+M55+M76+M97+M118</calculatedColumnFormula>
    </tableColumn>
    <tableColumn id="3" xr3:uid="{3EE75CB9-F097-4DDD-B43D-5E1FA49D5DA7}" name="wins" dataDxfId="1747">
      <calculatedColumnFormula>N13+N34+N55+N76+N97+N118</calculatedColumnFormula>
    </tableColumn>
    <tableColumn id="4" xr3:uid="{4386EDC2-3695-4FDE-BF81-4F581D693BFE}" name="battles-take-rate" dataDxfId="1746">
      <calculatedColumnFormula>IF(SUM(ParagonAbilities3[[#This Row],[takes]]) &gt; 0,ParagonAbilities3[[#This Row],[takes]]/SUM(ParagonAbilities3[takes]),0)</calculatedColumnFormula>
    </tableColumn>
    <tableColumn id="5" xr3:uid="{2DDAA65F-690D-446E-8E9B-ACECABF193A6}" name="take-win-rate" dataDxfId="1745">
      <calculatedColumnFormula>IF(ParagonAbilities3[[#This Row],[takes]]&gt;0,ParagonAbilities3[[#This Row],[wins]]/ParagonAbilities3[[#This Row],[takes]],0)</calculatedColumnFormula>
    </tableColumn>
  </tableColumns>
  <tableStyleInfo name="TableStyleMedium2" showFirstColumn="0" showLastColumn="0" showRowStripes="1" showColumnStripes="0"/>
</table>
</file>

<file path=xl/tables/table2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7341B3D-EDB5-4CB6-A0BD-FE86D48746B6}" name="UpgradeStatistics192021222324" displayName="UpgradeStatistics192021222324" ref="U1:V9" totalsRowShown="0">
  <autoFilter ref="U1:V9" xr:uid="{47341B3D-EDB5-4CB6-A0BD-FE86D48746B6}"/>
  <tableColumns count="2">
    <tableColumn id="1" xr3:uid="{0F3EF709-E7A9-4D6F-9139-36B840F6E0F0}" name="upgrade"/>
    <tableColumn id="3" xr3:uid="{D11948F6-51BC-4969-B867-CDE71ADF7ECB}" name="rate" dataDxfId="550"/>
  </tableColumns>
  <tableStyleInfo name="TableStyleMedium2" showFirstColumn="0" showLastColumn="0" showRowStripes="1" showColumnStripes="0"/>
</table>
</file>

<file path=xl/tables/table2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7" xr:uid="{ABBA0D88-EFF9-4299-B4C0-7244A47B1598}" name="ShadowAbilities1Scenario3" displayName="ShadowAbilities1Scenario3" ref="K65:O68" totalsRowShown="0">
  <autoFilter ref="K65:O68" xr:uid="{ABBA0D88-EFF9-4299-B4C0-7244A47B1598}"/>
  <tableColumns count="5">
    <tableColumn id="2" xr3:uid="{5B3EC8E7-6FE6-408E-A5CF-F9C3A1117ED5}" name="ability"/>
    <tableColumn id="6" xr3:uid="{FA56D196-8DBA-436B-B820-2F36FBFE1DC1}" name="takes" dataDxfId="549">
      <calculatedColumnFormula>COUNTIF(Scenario3[winner1-ability1],ShadowAbilities1Scenario3[[#This Row],[ability]])+COUNTIF(Scenario3[loser1-ability1],ShadowAbilities1Scenario3[[#This Row],[ability]])+COUNTIF(Scenario3[loser2-ability1],ShadowAbilities1Scenario3[[#This Row],[ability]])</calculatedColumnFormula>
    </tableColumn>
    <tableColumn id="4" xr3:uid="{98D01748-538E-4B79-98BB-5084234EBFCF}" name="wins" dataDxfId="548">
      <calculatedColumnFormula>COUNTIF(Scenario3[winner1-ability1],ShadowAbilities1Scenario3[[#This Row],[ability]])</calculatedColumnFormula>
    </tableColumn>
    <tableColumn id="5" xr3:uid="{CF3E5CA9-0667-4428-A210-89117623418E}" name="battles-take-rate" dataDxfId="547">
      <calculatedColumnFormula>IF(SUM(ShadowAbilities1Scenario3[[#This Row],[takes]]) &gt; 0,ShadowAbilities1Scenario3[[#This Row],[takes]]/SUM(ShadowAbilities1Scenario3[takes]),0)</calculatedColumnFormula>
    </tableColumn>
    <tableColumn id="7" xr3:uid="{D25081CB-BDA3-4B97-B3CD-E69A54460DB0}" name="take-win-rate" dataDxfId="546">
      <calculatedColumnFormula>IF(ShadowAbilities1Scenario3[[#This Row],[takes]]&gt;0,ShadowAbilities1Scenario3[[#This Row],[wins]]/ShadowAbilities1Scenario3[[#This Row],[takes]],0)</calculatedColumnFormula>
    </tableColumn>
  </tableColumns>
  <tableStyleInfo name="TableStyleMedium2" showFirstColumn="0" showLastColumn="0" showRowStripes="1" showColumnStripes="0"/>
</table>
</file>

<file path=xl/tables/table2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8" xr:uid="{61A842B9-E051-48BC-B146-2C54859A18A1}" name="ShadowAbilities2Scenario3" displayName="ShadowAbilities2Scenario3" ref="K70:O73" totalsRowShown="0" headerRowDxfId="545" headerRowBorderDxfId="544" tableBorderDxfId="543" totalsRowBorderDxfId="542">
  <autoFilter ref="K70:O73" xr:uid="{61A842B9-E051-48BC-B146-2C54859A18A1}"/>
  <tableColumns count="5">
    <tableColumn id="1" xr3:uid="{FC438562-0CC9-4B11-830A-C920F8CB4BA6}" name="ability"/>
    <tableColumn id="2" xr3:uid="{EDCBDCE4-6E3F-4C3D-A182-224E882A3B08}" name="takes" dataDxfId="541">
      <calculatedColumnFormula>COUNTIF(Scenario3[winner1-ability2],ShadowAbilities2Scenario3[[#This Row],[ability]])+COUNTIF(Scenario3[loser1-ability2],ShadowAbilities2Scenario3[[#This Row],[ability]])+COUNTIF(Scenario3[loser2-ability2],ShadowAbilities2Scenario3[[#This Row],[ability]])</calculatedColumnFormula>
    </tableColumn>
    <tableColumn id="3" xr3:uid="{1F86078D-048B-444D-A7A8-9AEEC0A6814C}" name="wins" dataDxfId="540">
      <calculatedColumnFormula>COUNTIF(Scenario3[winner1-ability2],ShadowAbilities2Scenario3[[#This Row],[ability]])</calculatedColumnFormula>
    </tableColumn>
    <tableColumn id="4" xr3:uid="{F55503FB-455E-4E35-B348-DB7A213DC482}" name="battles-take-rate" dataDxfId="539">
      <calculatedColumnFormula>IF(SUM(ShadowAbilities2Scenario3[[#This Row],[takes]]) &gt; 0,ShadowAbilities2Scenario3[[#This Row],[takes]]/SUM(ShadowAbilities2Scenario3[takes]),0)</calculatedColumnFormula>
    </tableColumn>
    <tableColumn id="5" xr3:uid="{08110912-F578-4249-95FD-202C8CBC45FA}" name="take-win-rate" dataDxfId="538">
      <calculatedColumnFormula>IF(ShadowAbilities2Scenario3[[#This Row],[takes]]&gt;0,ShadowAbilities2Scenario3[[#This Row],[wins]]/ShadowAbilities2Scenario3[[#This Row],[takes]],0)</calculatedColumnFormula>
    </tableColumn>
  </tableColumns>
  <tableStyleInfo name="TableStyleMedium2" showFirstColumn="0" showLastColumn="0" showRowStripes="1" showColumnStripes="0"/>
</table>
</file>

<file path=xl/tables/table2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9" xr:uid="{550A6479-5308-4962-AFA9-B91C4059FC88}" name="ShadowAbilities3Scenario3" displayName="ShadowAbilities3Scenario3" ref="K75:O78" totalsRowShown="0" headerRowDxfId="537" headerRowBorderDxfId="536" tableBorderDxfId="535" totalsRowBorderDxfId="534">
  <autoFilter ref="K75:O78" xr:uid="{550A6479-5308-4962-AFA9-B91C4059FC88}"/>
  <tableColumns count="5">
    <tableColumn id="1" xr3:uid="{62C6DAB4-3DEC-4135-973E-03D6C6AFC2E8}" name="ability"/>
    <tableColumn id="2" xr3:uid="{87CCFE13-7307-40E3-B5A1-CBB486F71362}" name="takes" dataDxfId="533">
      <calculatedColumnFormula>COUNTIF(Scenario3[winner1-ability3],ShadowAbilities3Scenario3[[#This Row],[ability]])+COUNTIF(Scenario3[loser1-ability3],ShadowAbilities3Scenario3[[#This Row],[ability]])+COUNTIF(Scenario3[loser2-ability3],ShadowAbilities3Scenario3[[#This Row],[ability]])</calculatedColumnFormula>
    </tableColumn>
    <tableColumn id="3" xr3:uid="{5AB48A51-2E74-4B83-9E47-2EB35C813B52}" name="wins" dataDxfId="532">
      <calculatedColumnFormula>COUNTIF(Scenario3[winner1-ability3],ShadowAbilities3Scenario3[[#This Row],[ability]])</calculatedColumnFormula>
    </tableColumn>
    <tableColumn id="4" xr3:uid="{FE627B80-B071-44ED-96E3-2D22A6BFBE3E}" name="battles-take-rate" dataDxfId="531">
      <calculatedColumnFormula>IF(SUM(ShadowAbilities3Scenario3[[#This Row],[takes]]) &gt; 0,ShadowAbilities3Scenario3[[#This Row],[takes]]/SUM(ShadowAbilities3Scenario3[takes]),0)</calculatedColumnFormula>
    </tableColumn>
    <tableColumn id="5" xr3:uid="{DEC56C79-E3BC-4F29-8683-76262800559C}" name="take-win-rate" dataDxfId="530">
      <calculatedColumnFormula>IF(ShadowAbilities3Scenario3[[#This Row],[takes]]&gt;0,ShadowAbilities3Scenario3[[#This Row],[wins]]/ShadowAbilities3Scenario3[[#This Row],[takes]],0)</calculatedColumnFormula>
    </tableColumn>
  </tableColumns>
  <tableStyleInfo name="TableStyleMedium2" showFirstColumn="0" showLastColumn="0" showRowStripes="1" showColumnStripes="0"/>
</table>
</file>

<file path=xl/tables/table2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0" xr:uid="{89998BA8-FF2B-4F78-B422-0769B096DA12}" name="ShadowAbilities4Scenario3" displayName="ShadowAbilities4Scenario3" ref="K80:O83" totalsRowShown="0" headerRowDxfId="529" headerRowBorderDxfId="528" tableBorderDxfId="527" totalsRowBorderDxfId="526">
  <autoFilter ref="K80:O83" xr:uid="{89998BA8-FF2B-4F78-B422-0769B096DA12}"/>
  <tableColumns count="5">
    <tableColumn id="1" xr3:uid="{9E2ED936-C92E-4DB6-8A8D-6A5D54890827}" name="ability" dataDxfId="525"/>
    <tableColumn id="2" xr3:uid="{30C20F36-9263-41F1-934F-C7B737783080}" name="takes" dataDxfId="524">
      <calculatedColumnFormula>COUNTIF(Scenario3[winner1-ability4],ShadowAbilities4Scenario3[[#This Row],[ability]])+COUNTIF(Scenario3[loser1-ability4],ShadowAbilities4Scenario3[[#This Row],[ability]])+COUNTIF(Scenario3[loser2-ability4],ShadowAbilities4Scenario3[[#This Row],[ability]])</calculatedColumnFormula>
    </tableColumn>
    <tableColumn id="3" xr3:uid="{761632CA-5559-4582-A65E-64D24F1D06EC}" name="wins" dataDxfId="523">
      <calculatedColumnFormula>COUNTIF(Scenario3[winner1-ability4],ShadowAbilities4Scenario3[[#This Row],[ability]])</calculatedColumnFormula>
    </tableColumn>
    <tableColumn id="4" xr3:uid="{C78891C3-5CB5-4131-9173-2B27B1A4D302}" name="battles-take-rate" dataDxfId="522">
      <calculatedColumnFormula>IF(SUM(ShadowAbilities4Scenario3[[#This Row],[takes]]) &gt; 0,ShadowAbilities4Scenario3[[#This Row],[takes]]/SUM(ShadowAbilities4Scenario3[takes]),0)</calculatedColumnFormula>
    </tableColumn>
    <tableColumn id="5" xr3:uid="{4C8D0B12-142E-4263-A4F1-0FAE05320F2B}" name="take-win-rate" dataDxfId="521">
      <calculatedColumnFormula>IF(ShadowAbilities4Scenario3[[#This Row],[takes]]&gt;0,ShadowAbilities4Scenario3[[#This Row],[wins]]/ShadowAbilities4Scenario3[[#This Row],[takes]],0)</calculatedColumnFormula>
    </tableColumn>
  </tableColumns>
  <tableStyleInfo name="TableStyleMedium2" showFirstColumn="0" showLastColumn="0" showRowStripes="1" showColumnStripes="0"/>
</table>
</file>

<file path=xl/tables/table2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1" xr:uid="{46A96F5D-4C39-4F38-BFFE-8A70297F9012}" name="ShadowEquipScenario3" displayName="ShadowEquipScenario3" ref="Q65:S68" totalsRowShown="0">
  <autoFilter ref="Q65:S68" xr:uid="{46A96F5D-4C39-4F38-BFFE-8A70297F9012}"/>
  <tableColumns count="3">
    <tableColumn id="1" xr3:uid="{FC324FA8-963E-4D1D-B0B9-C110B35F3CA0}" name="level"/>
    <tableColumn id="2" xr3:uid="{8A09F58C-E049-4B78-BC3D-5DB1F43D4BD8}" name="bow" dataDxfId="520">
      <calculatedColumnFormula>COUNTIFS(Scenario3[winner1],"shadow",Scenario3[winner1-pw],ShadowEquipScenario3[[#This Row],[level]])+COUNTIFS(Scenario3[loser1],"shadow",Scenario3[loser1-pw],ShadowEquipScenario3[[#This Row],[level]])+COUNTIFS(Scenario3[loser2],"shadow",Scenario3[loser2-pw],ShadowEquipScenario3[[#This Row],[level]])</calculatedColumnFormula>
    </tableColumn>
    <tableColumn id="4" xr3:uid="{3A6C6DAB-9E2A-4C99-A048-EEFBE2785150}" name="chestpiece" dataDxfId="519">
      <calculatedColumnFormula>COUNTIFS(Scenario3[winner1],"shadow",Scenario3[winner1-cp],ShadowEquipScenario3[[#This Row],[level]])+COUNTIFS(Scenario3[loser1],"shadow",Scenario3[loser1-cp],ShadowEquipScenario3[[#This Row],[level]])+COUNTIFS(Scenario3[loser2],"shadow",Scenario3[loser2-cp],ShadowEquipScenario3[[#This Row],[level]])</calculatedColumnFormula>
    </tableColumn>
  </tableColumns>
  <tableStyleInfo name="TableStyleMedium2" showFirstColumn="0" showLastColumn="0" showRowStripes="1" showColumnStripes="0"/>
</table>
</file>

<file path=xl/tables/table2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0" xr:uid="{9E982169-412A-4959-9CB9-C065699E3F30}" name="ShadowAbilities1Scenario4" displayName="ShadowAbilities1Scenario4" ref="K86:O89" totalsRowShown="0">
  <autoFilter ref="K86:O89" xr:uid="{9E982169-412A-4959-9CB9-C065699E3F30}"/>
  <tableColumns count="5">
    <tableColumn id="2" xr3:uid="{79C899D7-CC48-461A-B02D-2F0B69CE0D46}" name="ability"/>
    <tableColumn id="6" xr3:uid="{E10B3F31-3744-41C2-A0CF-53264A8E5C89}" name="takes" dataDxfId="518">
      <calculatedColumnFormula>COUNTIF(Scenario4[winner1-ability1],ShadowAbilities1Scenario4[[#This Row],[ability]])+COUNTIF(Scenario4[loser1-ability1],ShadowAbilities1Scenario4[[#This Row],[ability]])+COUNTIF(Scenario4[loser2-ability1],ShadowAbilities1Scenario4[[#This Row],[ability]])+COUNTIF(Scenario4[loser3-ability1],ShadowAbilities1Scenario4[[#This Row],[ability]])</calculatedColumnFormula>
    </tableColumn>
    <tableColumn id="4" xr3:uid="{A476ED5E-1965-46AA-BACE-AC92DD7BD66D}" name="wins" dataDxfId="517">
      <calculatedColumnFormula>COUNTIF(Scenario4[winner1-ability1],ShadowAbilities1Scenario4[[#This Row],[ability]])</calculatedColumnFormula>
    </tableColumn>
    <tableColumn id="5" xr3:uid="{A901B921-06E8-4AEC-A96B-C713A120EDCD}" name="battles-take-rate" dataDxfId="516">
      <calculatedColumnFormula>IF(SUM(ShadowAbilities1Scenario4[[#This Row],[takes]]) &gt; 0,ShadowAbilities1Scenario4[[#This Row],[takes]]/SUM(ShadowAbilities1Scenario4[takes]),0)</calculatedColumnFormula>
    </tableColumn>
    <tableColumn id="7" xr3:uid="{6C8A1216-F083-470E-AE8F-E7054452D8A1}" name="take-win-rate" dataDxfId="515">
      <calculatedColumnFormula>IF(ShadowAbilities1Scenario4[[#This Row],[takes]]&gt;0,ShadowAbilities1Scenario4[[#This Row],[wins]]/ShadowAbilities1Scenario4[[#This Row],[takes]],0)</calculatedColumnFormula>
    </tableColumn>
  </tableColumns>
  <tableStyleInfo name="TableStyleMedium2" showFirstColumn="0" showLastColumn="0" showRowStripes="1" showColumnStripes="0"/>
</table>
</file>

<file path=xl/tables/table2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1" xr:uid="{7C28C760-F3AA-4696-BD6D-A2AF834CBAD0}" name="ShadowAbilities2Scenario4" displayName="ShadowAbilities2Scenario4" ref="K91:O94" totalsRowShown="0" headerRowDxfId="514" headerRowBorderDxfId="513" tableBorderDxfId="512" totalsRowBorderDxfId="511">
  <autoFilter ref="K91:O94" xr:uid="{7C28C760-F3AA-4696-BD6D-A2AF834CBAD0}"/>
  <tableColumns count="5">
    <tableColumn id="1" xr3:uid="{BD92149E-4D60-4D8D-8054-B53A659FFB1E}" name="ability"/>
    <tableColumn id="2" xr3:uid="{98AC64D4-F64B-4FC2-876B-D45E2A34B88E}" name="takes" dataDxfId="510">
      <calculatedColumnFormula>COUNTIF(Scenario4[winner1-ability2],ShadowAbilities2Scenario4[[#This Row],[ability]])+COUNTIF(Scenario4[loser1-ability2],ShadowAbilities2Scenario4[[#This Row],[ability]])+COUNTIF(Scenario4[loser2-ability2],ShadowAbilities2Scenario4[[#This Row],[ability]])+COUNTIF(Scenario4[loser3-ability2],ShadowAbilities2Scenario4[[#This Row],[ability]])</calculatedColumnFormula>
    </tableColumn>
    <tableColumn id="3" xr3:uid="{74DB4C33-18D8-49D7-A45F-FAF548E113D7}" name="wins" dataDxfId="509">
      <calculatedColumnFormula>COUNTIF(Scenario4[winner1-ability2],ShadowAbilities2Scenario4[[#This Row],[ability]])</calculatedColumnFormula>
    </tableColumn>
    <tableColumn id="4" xr3:uid="{9729481F-2A5B-4AB2-B539-4C8B0BB903C3}" name="battles-take-rate" dataDxfId="508">
      <calculatedColumnFormula>IF(SUM(ShadowAbilities2Scenario4[[#This Row],[takes]]) &gt; 0,ShadowAbilities2Scenario4[[#This Row],[takes]]/SUM(ShadowAbilities2Scenario4[takes]),0)</calculatedColumnFormula>
    </tableColumn>
    <tableColumn id="5" xr3:uid="{BD9E4412-7CBF-4B57-9822-8D53E24838EF}" name="take-win-rate" dataDxfId="507">
      <calculatedColumnFormula>IF(ShadowAbilities2Scenario4[[#This Row],[takes]]&gt;0,ShadowAbilities2Scenario4[[#This Row],[wins]]/ShadowAbilities2Scenario4[[#This Row],[takes]],0)</calculatedColumnFormula>
    </tableColumn>
  </tableColumns>
  <tableStyleInfo name="TableStyleMedium2" showFirstColumn="0" showLastColumn="0" showRowStripes="1" showColumnStripes="0"/>
</table>
</file>

<file path=xl/tables/table2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2" xr:uid="{DB5A94E3-6DE6-495D-929B-37D4EB99B389}" name="ShadowAbilities3Scenario4" displayName="ShadowAbilities3Scenario4" ref="K96:O99" totalsRowShown="0" headerRowDxfId="506" headerRowBorderDxfId="505" tableBorderDxfId="504" totalsRowBorderDxfId="503">
  <autoFilter ref="K96:O99" xr:uid="{DB5A94E3-6DE6-495D-929B-37D4EB99B389}"/>
  <tableColumns count="5">
    <tableColumn id="1" xr3:uid="{6BF2BB17-299C-4953-9DD8-3A301B5E9D8B}" name="ability"/>
    <tableColumn id="2" xr3:uid="{CFB75B91-A25D-432C-BFC9-0E2C0605393F}" name="takes" dataDxfId="502">
      <calculatedColumnFormula>COUNTIF(Scenario4[winner1-ability3],ShadowAbilities3Scenario4[[#This Row],[ability]])+COUNTIF(Scenario4[loser1-ability3],ShadowAbilities3Scenario4[[#This Row],[ability]])+COUNTIF(Scenario4[loser2-ability3],ShadowAbilities3Scenario4[[#This Row],[ability]])+COUNTIF(Scenario4[loser3-ability3],ShadowAbilities3Scenario4[[#This Row],[ability]])</calculatedColumnFormula>
    </tableColumn>
    <tableColumn id="3" xr3:uid="{009FA36B-0E22-4980-9735-28106A219A62}" name="wins" dataDxfId="501">
      <calculatedColumnFormula>COUNTIF(Scenario4[winner1-ability3],ShadowAbilities3Scenario4[[#This Row],[ability]])</calculatedColumnFormula>
    </tableColumn>
    <tableColumn id="4" xr3:uid="{2B28F9B7-A49E-4828-AED2-A5F9D1DB620A}" name="battles-take-rate" dataDxfId="500">
      <calculatedColumnFormula>IF(SUM(ShadowAbilities3Scenario4[[#This Row],[takes]]) &gt; 0,ShadowAbilities3Scenario4[[#This Row],[takes]]/SUM(ShadowAbilities3Scenario4[takes]),0)</calculatedColumnFormula>
    </tableColumn>
    <tableColumn id="5" xr3:uid="{12469B8B-C26C-460B-8A69-3657A4B4E64F}" name="take-win-rate" dataDxfId="499">
      <calculatedColumnFormula>IF(ShadowAbilities3Scenario4[[#This Row],[takes]]&gt;0,ShadowAbilities3Scenario4[[#This Row],[wins]]/ShadowAbilities3Scenario4[[#This Row],[takes]],0)</calculatedColumnFormula>
    </tableColumn>
  </tableColumns>
  <tableStyleInfo name="TableStyleMedium2" showFirstColumn="0" showLastColumn="0" showRowStripes="1" showColumnStripes="0"/>
</table>
</file>

<file path=xl/tables/table2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3" xr:uid="{1C609518-452E-4A91-AF17-394CB05FB0F3}" name="ShadowAbilities4Scenario4" displayName="ShadowAbilities4Scenario4" ref="K101:O104" totalsRowShown="0" headerRowDxfId="498" headerRowBorderDxfId="497" tableBorderDxfId="496" totalsRowBorderDxfId="495">
  <autoFilter ref="K101:O104" xr:uid="{1C609518-452E-4A91-AF17-394CB05FB0F3}"/>
  <tableColumns count="5">
    <tableColumn id="1" xr3:uid="{CC33268F-C34A-43D0-A56A-74B0F609F718}" name="ability" dataDxfId="494"/>
    <tableColumn id="2" xr3:uid="{6F12010D-206B-4AD4-9F1C-7792709F1041}" name="takes" dataDxfId="493">
      <calculatedColumnFormula>COUNTIF(Scenario4[winner1-ability4],ShadowAbilities4Scenario4[[#This Row],[ability]])+COUNTIF(Scenario4[loser1-ability4],ShadowAbilities4Scenario4[[#This Row],[ability]])+COUNTIF(Scenario4[loser2-ability4],ShadowAbilities4Scenario4[[#This Row],[ability]])+COUNTIF(Scenario4[loser3-ability4],ShadowAbilities4Scenario4[[#This Row],[ability]])</calculatedColumnFormula>
    </tableColumn>
    <tableColumn id="3" xr3:uid="{C63C4ADD-F1B3-4E4F-9A42-2E4273ED55BE}" name="wins" dataDxfId="492">
      <calculatedColumnFormula>COUNTIF(Scenario4[winner1-ability4],ShadowAbilities4Scenario4[[#This Row],[ability]])</calculatedColumnFormula>
    </tableColumn>
    <tableColumn id="4" xr3:uid="{1F1D8ECE-DB99-4E3C-A674-360B53ED1293}" name="battles-take-rate" dataDxfId="491">
      <calculatedColumnFormula>IF(SUM(ShadowAbilities4Scenario4[[#This Row],[takes]]) &gt; 0,ShadowAbilities4Scenario4[[#This Row],[takes]]/SUM(ShadowAbilities4Scenario4[takes]),0)</calculatedColumnFormula>
    </tableColumn>
    <tableColumn id="5" xr3:uid="{8138137D-9D87-4444-9265-5BC0C5C1C1B5}" name="take-win-rate" dataDxfId="490">
      <calculatedColumnFormula>IF(ShadowAbilities4Scenario4[[#This Row],[takes]]&gt;0,ShadowAbilities4Scenario4[[#This Row],[wins]]/ShadowAbilities4Scenario4[[#This Row],[takes]],0)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AADA4A0-2F4A-4009-8ECF-0BECA693390C}" name="ParagonAbilities4" displayName="ParagonAbilities4" ref="A17:E20" totalsRowShown="0" headerRowDxfId="1744" headerRowBorderDxfId="1743" tableBorderDxfId="1742" totalsRowBorderDxfId="1741">
  <autoFilter ref="A17:E20" xr:uid="{2AADA4A0-2F4A-4009-8ECF-0BECA693390C}"/>
  <tableColumns count="5">
    <tableColumn id="1" xr3:uid="{E897B7B6-F256-4CEB-96AC-55AC5FFE6DC0}" name="ability"/>
    <tableColumn id="2" xr3:uid="{1AAFA939-1DDE-4DEA-AC16-B2FC44C9BDBC}" name="takes" dataDxfId="1740">
      <calculatedColumnFormula>M18+M39+M60+M81+M102+M123</calculatedColumnFormula>
    </tableColumn>
    <tableColumn id="3" xr3:uid="{FCDACB04-C3C9-4451-9344-563AAD645EE3}" name="wins" dataDxfId="1739">
      <calculatedColumnFormula>N18+N39+N60+N81+N102+N123</calculatedColumnFormula>
    </tableColumn>
    <tableColumn id="4" xr3:uid="{A43A8590-7A57-4069-B1B8-09F7A5FC26AC}" name="battles-take-rate" dataDxfId="1738">
      <calculatedColumnFormula>IF(SUM(ParagonAbilities4[[#This Row],[takes]]) &gt; 0,ParagonAbilities4[[#This Row],[takes]]/SUM(ParagonAbilities4[takes]),0)</calculatedColumnFormula>
    </tableColumn>
    <tableColumn id="5" xr3:uid="{F6E20B64-B1E9-4E09-B5F6-4AF0DC786552}" name="take-win-rate" dataDxfId="1737">
      <calculatedColumnFormula>IF(ParagonAbilities4[[#This Row],[takes]]&gt;0,ParagonAbilities4[[#This Row],[wins]]/ParagonAbilities4[[#This Row],[takes]],0)</calculatedColumnFormula>
    </tableColumn>
  </tableColumns>
  <tableStyleInfo name="TableStyleMedium2" showFirstColumn="0" showLastColumn="0" showRowStripes="1" showColumnStripes="0"/>
</table>
</file>

<file path=xl/tables/table2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4" xr:uid="{1B6A964F-B9C5-47D9-A2CE-93D57C2B0A54}" name="ShadowEquipScenario4" displayName="ShadowEquipScenario4" ref="Q86:S89" totalsRowShown="0">
  <autoFilter ref="Q86:S89" xr:uid="{1B6A964F-B9C5-47D9-A2CE-93D57C2B0A54}"/>
  <tableColumns count="3">
    <tableColumn id="1" xr3:uid="{65008156-94FA-4BDA-BF92-C2EC8254077F}" name="level"/>
    <tableColumn id="2" xr3:uid="{78510399-CF25-4981-A98C-6920D2591481}" name="bow" dataDxfId="489">
      <calculatedColumnFormula>COUNTIFS(Scenario4[winner1],"shadow",Scenario4[winner1-pw],ShadowEquipScenario4[[#This Row],[level]])+COUNTIFS(Scenario4[loser1],"shadow",Scenario4[loser1-pw],ShadowEquipScenario4[[#This Row],[level]])+COUNTIFS(Scenario4[loser2],"shadow",Scenario4[loser2-pw],ShadowEquipScenario4[[#This Row],[level]])+COUNTIFS(Scenario4[loser3],"shadow",Scenario4[loser3-pw],ShadowEquipScenario4[[#This Row],[level]])</calculatedColumnFormula>
    </tableColumn>
    <tableColumn id="4" xr3:uid="{7496CB0C-F986-4629-BBB5-355099B40471}" name="chestpiece" dataDxfId="488">
      <calculatedColumnFormula>COUNTIFS(Scenario4[winner1],"shadow",Scenario4[winner1-cp],ShadowEquipScenario4[[#This Row],[level]])+COUNTIFS(Scenario4[loser1],"shadow",Scenario4[loser1-cp],ShadowEquipScenario4[[#This Row],[level]])+COUNTIFS(Scenario4[loser2],"shadow",Scenario4[loser2-cp],ShadowEquipScenario4[[#This Row],[level]])+COUNTIFS(Scenario4[loser3],"shadow",Scenario4[loser3-cp],ShadowEquipScenario4[[#This Row],[level]])</calculatedColumnFormula>
    </tableColumn>
  </tableColumns>
  <tableStyleInfo name="TableStyleMedium2" showFirstColumn="0" showLastColumn="0" showRowStripes="1" showColumnStripes="0"/>
</table>
</file>

<file path=xl/tables/table2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8" xr:uid="{DE21820A-14D3-4A0C-BF97-DF408A974F6C}" name="ShadowAbilities1Scenario5" displayName="ShadowAbilities1Scenario5" ref="K107:O110" totalsRowShown="0">
  <autoFilter ref="K107:O110" xr:uid="{DE21820A-14D3-4A0C-BF97-DF408A974F6C}"/>
  <tableColumns count="5">
    <tableColumn id="2" xr3:uid="{F4529A4D-1199-49B2-8BDC-589376F69120}" name="ability"/>
    <tableColumn id="6" xr3:uid="{D4138976-86AC-4FBE-91BA-16841C250855}" name="takes" dataDxfId="487">
      <calculatedColumnFormula>COUNTIF(Scenario5[winner1-ability1],ShadowAbilities1Scenario5[[#This Row],[ability]])+COUNTIF(Scenario5[winner2-ability1],ShadowAbilities1Scenario5[[#This Row],[ability]])+COUNTIF(Scenario5[loser1-ability1],ShadowAbilities1Scenario5[[#This Row],[ability]])+COUNTIF(Scenario5[loser2-ability1],ShadowAbilities1Scenario5[[#This Row],[ability]])</calculatedColumnFormula>
    </tableColumn>
    <tableColumn id="4" xr3:uid="{DCD837E4-962C-47F6-9795-50CD3E6077C4}" name="wins" dataDxfId="486">
      <calculatedColumnFormula>COUNTIF(Scenario5[winner1-ability1],ShadowAbilities1Scenario5[[#This Row],[ability]])+COUNTIF(Scenario5[winner2-ability1],ShadowAbilities1Scenario5[[#This Row],[ability]])</calculatedColumnFormula>
    </tableColumn>
    <tableColumn id="5" xr3:uid="{BCF5EF91-99E2-46C7-8F77-A949ABD4D053}" name="battles-take-rate" dataDxfId="485">
      <calculatedColumnFormula>IF(SUM(ShadowAbilities1Scenario5[[#This Row],[takes]]) &gt; 0,ShadowAbilities1Scenario5[[#This Row],[takes]]/SUM(ShadowAbilities1Scenario5[takes]),0)</calculatedColumnFormula>
    </tableColumn>
    <tableColumn id="7" xr3:uid="{1F4A9480-57BE-4107-A009-23A57EB92D84}" name="take-win-rate" dataDxfId="484">
      <calculatedColumnFormula>IF(ShadowAbilities1Scenario5[[#This Row],[takes]]&gt;0,ShadowAbilities1Scenario5[[#This Row],[wins]]/ShadowAbilities1Scenario5[[#This Row],[takes]],0)</calculatedColumnFormula>
    </tableColumn>
  </tableColumns>
  <tableStyleInfo name="TableStyleMedium2" showFirstColumn="0" showLastColumn="0" showRowStripes="1" showColumnStripes="0"/>
</table>
</file>

<file path=xl/tables/table2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9" xr:uid="{A623B0EF-8DF6-4DD9-80E0-720CA1DAB5B4}" name="ShadowAbilities2Scenario5" displayName="ShadowAbilities2Scenario5" ref="K112:O115" totalsRowShown="0" headerRowDxfId="483" headerRowBorderDxfId="482" tableBorderDxfId="481" totalsRowBorderDxfId="480">
  <autoFilter ref="K112:O115" xr:uid="{A623B0EF-8DF6-4DD9-80E0-720CA1DAB5B4}"/>
  <tableColumns count="5">
    <tableColumn id="1" xr3:uid="{0CE10BD5-D3D0-4267-A09B-B65EE2B7C4E6}" name="ability"/>
    <tableColumn id="2" xr3:uid="{2AC1CE09-F579-42B0-BF28-62932F60A9F0}" name="takes" dataDxfId="479">
      <calculatedColumnFormula>COUNTIF(Scenario5[winner1-ability2],ShadowAbilities2Scenario5[[#This Row],[ability]])+COUNTIF(Scenario5[winner2-ability2],ShadowAbilities2Scenario5[[#This Row],[ability]])+COUNTIF(Scenario5[loser1-ability2],ShadowAbilities2Scenario5[[#This Row],[ability]])+COUNTIF(Scenario5[loser2-ability2],ShadowAbilities2Scenario5[[#This Row],[ability]])</calculatedColumnFormula>
    </tableColumn>
    <tableColumn id="3" xr3:uid="{43ADAB28-6BDD-499C-A42E-85FD38B815EE}" name="wins" dataDxfId="478">
      <calculatedColumnFormula>COUNTIF(Scenario5[winner1-ability2],ShadowAbilities2Scenario5[[#This Row],[ability]])+COUNTIF(Scenario5[winner2-ability2],ShadowAbilities2Scenario5[[#This Row],[ability]])</calculatedColumnFormula>
    </tableColumn>
    <tableColumn id="4" xr3:uid="{477DFD48-32E7-471F-B617-E888BCAC0F22}" name="battles-take-rate" dataDxfId="477">
      <calculatedColumnFormula>IF(SUM(ShadowAbilities2Scenario5[[#This Row],[takes]]) &gt; 0,ShadowAbilities2Scenario5[[#This Row],[takes]]/SUM(ShadowAbilities2Scenario5[takes]),0)</calculatedColumnFormula>
    </tableColumn>
    <tableColumn id="5" xr3:uid="{C634EFD5-285E-4BAA-AE26-AEDC9B9CB053}" name="take-win-rate" dataDxfId="476">
      <calculatedColumnFormula>IF(ShadowAbilities2Scenario5[[#This Row],[takes]]&gt;0,ShadowAbilities2Scenario5[[#This Row],[wins]]/ShadowAbilities2Scenario5[[#This Row],[takes]],0)</calculatedColumnFormula>
    </tableColumn>
  </tableColumns>
  <tableStyleInfo name="TableStyleMedium2" showFirstColumn="0" showLastColumn="0" showRowStripes="1" showColumnStripes="0"/>
</table>
</file>

<file path=xl/tables/table2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0" xr:uid="{E7D25AB1-10E0-4C33-ADC2-9CBA404E12DC}" name="ShadowAbilities3Scenario5" displayName="ShadowAbilities3Scenario5" ref="K117:O120" totalsRowShown="0" headerRowDxfId="475" headerRowBorderDxfId="474" tableBorderDxfId="473" totalsRowBorderDxfId="472">
  <autoFilter ref="K117:O120" xr:uid="{E7D25AB1-10E0-4C33-ADC2-9CBA404E12DC}"/>
  <tableColumns count="5">
    <tableColumn id="1" xr3:uid="{A0789E90-AFFB-414B-B200-58B7B18C1B94}" name="ability"/>
    <tableColumn id="2" xr3:uid="{D554BADC-A831-421E-9492-34AEBC8AC4CE}" name="takes" dataDxfId="471">
      <calculatedColumnFormula>COUNTIF(Scenario5[winner1-ability3],ShadowAbilities3Scenario5[[#This Row],[ability]])+COUNTIF(Scenario5[winner2-ability3],ShadowAbilities3Scenario5[[#This Row],[ability]])+COUNTIF(Scenario5[loser1-ability3],ShadowAbilities3Scenario5[[#This Row],[ability]])+COUNTIF(Scenario5[loser2-ability3],ShadowAbilities3Scenario5[[#This Row],[ability]])</calculatedColumnFormula>
    </tableColumn>
    <tableColumn id="3" xr3:uid="{004DCE92-2E62-4D35-9270-1DDDF0573BCE}" name="wins" dataDxfId="470">
      <calculatedColumnFormula>COUNTIF(Scenario5[winner1-ability3],ShadowAbilities3Scenario5[[#This Row],[ability]])+COUNTIF(Scenario5[winner2-ability3],ShadowAbilities3Scenario5[[#This Row],[ability]])</calculatedColumnFormula>
    </tableColumn>
    <tableColumn id="4" xr3:uid="{37234F19-C842-4ECE-BB91-5762D904076E}" name="battles-take-rate" dataDxfId="469">
      <calculatedColumnFormula>IF(SUM(ShadowAbilities3Scenario5[[#This Row],[takes]]) &gt; 0,ShadowAbilities3Scenario5[[#This Row],[takes]]/SUM(ShadowAbilities3Scenario5[takes]),0)</calculatedColumnFormula>
    </tableColumn>
    <tableColumn id="5" xr3:uid="{64E9FADE-8537-4B36-BD3D-DC3E34C0AC8C}" name="take-win-rate" dataDxfId="468">
      <calculatedColumnFormula>IF(ShadowAbilities3Scenario5[[#This Row],[takes]]&gt;0,ShadowAbilities3Scenario5[[#This Row],[wins]]/ShadowAbilities3Scenario5[[#This Row],[takes]],0)</calculatedColumnFormula>
    </tableColumn>
  </tableColumns>
  <tableStyleInfo name="TableStyleMedium2" showFirstColumn="0" showLastColumn="0" showRowStripes="1" showColumnStripes="0"/>
</table>
</file>

<file path=xl/tables/table2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1" xr:uid="{74C00B1E-EEA9-48AB-A27C-B009AE4D0A5D}" name="ShadowAbilities4Scenario5" displayName="ShadowAbilities4Scenario5" ref="K122:O125" totalsRowShown="0" headerRowDxfId="467" headerRowBorderDxfId="466" tableBorderDxfId="465" totalsRowBorderDxfId="464">
  <autoFilter ref="K122:O125" xr:uid="{74C00B1E-EEA9-48AB-A27C-B009AE4D0A5D}"/>
  <tableColumns count="5">
    <tableColumn id="1" xr3:uid="{0AB4169E-2A81-436A-8816-892597836570}" name="ability" dataDxfId="463"/>
    <tableColumn id="2" xr3:uid="{63FA27CA-DCA1-4F45-8BB0-FAAEBF52C2E6}" name="takes" dataDxfId="462">
      <calculatedColumnFormula>COUNTIF(Scenario5[winner1-ability4],ShadowAbilities4Scenario5[[#This Row],[ability]])+COUNTIF(Scenario5[winner2-ability4],ShadowAbilities4Scenario5[[#This Row],[ability]])+COUNTIF(Scenario5[loser1-ability4],ShadowAbilities4Scenario5[[#This Row],[ability]])+COUNTIF(Scenario5[loser2-ability4],ShadowAbilities4Scenario5[[#This Row],[ability]])</calculatedColumnFormula>
    </tableColumn>
    <tableColumn id="3" xr3:uid="{123EC329-C290-4E20-8C49-0D89295A0AB0}" name="wins" dataDxfId="461">
      <calculatedColumnFormula>COUNTIF(Scenario5[winner1-ability4],ShadowAbilities4Scenario5[[#This Row],[ability]])+COUNTIF(Scenario5[winner2-ability4],ShadowAbilities4Scenario5[[#This Row],[ability]])</calculatedColumnFormula>
    </tableColumn>
    <tableColumn id="4" xr3:uid="{EBAEF474-A350-4A15-8892-13BAAB15B184}" name="battles-take-rate" dataDxfId="460">
      <calculatedColumnFormula>IF(SUM(ShadowAbilities4Scenario5[[#This Row],[takes]]) &gt; 0,ShadowAbilities4Scenario5[[#This Row],[takes]]/SUM(ShadowAbilities4Scenario5[takes]),0)</calculatedColumnFormula>
    </tableColumn>
    <tableColumn id="5" xr3:uid="{34FD99AA-C01C-4FF1-94CA-5BCED972D213}" name="take-win-rate" dataDxfId="459">
      <calculatedColumnFormula>IF(ShadowAbilities4Scenario5[[#This Row],[takes]]&gt;0,ShadowAbilities4Scenario5[[#This Row],[wins]]/ShadowAbilities4Scenario5[[#This Row],[takes]],0)</calculatedColumnFormula>
    </tableColumn>
  </tableColumns>
  <tableStyleInfo name="TableStyleMedium2" showFirstColumn="0" showLastColumn="0" showRowStripes="1" showColumnStripes="0"/>
</table>
</file>

<file path=xl/tables/table2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2" xr:uid="{F6B2C3DC-5C82-4D26-8932-57DABD3BACB8}" name="ShadowEquipScenario5" displayName="ShadowEquipScenario5" ref="Q107:S110" totalsRowShown="0">
  <autoFilter ref="Q107:S110" xr:uid="{F6B2C3DC-5C82-4D26-8932-57DABD3BACB8}"/>
  <tableColumns count="3">
    <tableColumn id="1" xr3:uid="{FAA07A41-02AA-4F41-9C94-5E875931577F}" name="level"/>
    <tableColumn id="2" xr3:uid="{3E10723D-C53F-4B6B-B714-15825EEA2A0C}" name="bow" dataDxfId="458">
      <calculatedColumnFormula>COUNTIFS(Scenario5[winner1],"shadow",Scenario5[winner1-pw],ShadowEquipScenario5[[#This Row],[level]])+COUNTIFS(Scenario5[winner2],"shadow",Scenario5[winner2-pw],ShadowEquipScenario5[[#This Row],[level]])+COUNTIFS(Scenario5[loser1],"shadow",Scenario5[loser1-pw],ShadowEquipScenario5[[#This Row],[level]])+COUNTIFS(Scenario5[loser2],"shadow",Scenario5[loser2-pw],ShadowEquipScenario5[[#This Row],[level]])</calculatedColumnFormula>
    </tableColumn>
    <tableColumn id="4" xr3:uid="{A6554FC9-7C44-45C4-800C-2A08288B07F8}" name="chestpiece" dataDxfId="457">
      <calculatedColumnFormula>COUNTIFS(Scenario5[winner1],"shadow",Scenario5[winner1-cp],ShadowEquipScenario5[[#This Row],[level]])+COUNTIFS(Scenario5[winner2],"shadow",Scenario5[winner2-cp],ShadowEquipScenario5[[#This Row],[level]])+COUNTIFS(Scenario5[loser1],"shadow",Scenario5[loser1-cp],ShadowEquipScenario5[[#This Row],[level]])+COUNTIFS(Scenario5[loser2],"shadow",Scenario5[loser2-cp],ShadowEquipScenario5[[#This Row],[level]])</calculatedColumnFormula>
    </tableColumn>
  </tableColumns>
  <tableStyleInfo name="TableStyleMedium2" showFirstColumn="0" showLastColumn="0" showRowStripes="1" showColumnStripes="0"/>
</table>
</file>

<file path=xl/tables/table2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2" xr:uid="{F10BF5AB-0846-401C-8B6A-8C4F55C439AF}" name="LightbringerAbilities1" displayName="LightbringerAbilities1" ref="A2:E5" totalsRowShown="0">
  <autoFilter ref="A2:E5" xr:uid="{DCA301F1-E0F8-4700-BEE5-2688AF43F23A}"/>
  <tableColumns count="5">
    <tableColumn id="2" xr3:uid="{98735C45-E340-4619-9064-7E9FECA17B5B}" name="ability"/>
    <tableColumn id="6" xr3:uid="{29C39187-837A-4712-AC83-04F8F0BFB2B8}" name="takes" dataDxfId="456">
      <calculatedColumnFormula>L3+L24+L45+L66+L87+L108</calculatedColumnFormula>
    </tableColumn>
    <tableColumn id="4" xr3:uid="{58CA11D9-169A-46E2-9A57-9E370495AE74}" name="wins" dataDxfId="455">
      <calculatedColumnFormula>M3+M24+M45+M66+M87+M108</calculatedColumnFormula>
    </tableColumn>
    <tableColumn id="5" xr3:uid="{FCD1957D-8B13-463F-918E-7541CD4802BE}" name="battles-take-rate" dataDxfId="454">
      <calculatedColumnFormula>IF(SUM(LightbringerAbilities1[[#This Row],[takes]]) &gt; 0,LightbringerAbilities1[[#This Row],[takes]]/SUM(LightbringerAbilities1[takes]),0)</calculatedColumnFormula>
    </tableColumn>
    <tableColumn id="7" xr3:uid="{72776B96-F695-43BF-B58B-E173C60C4E80}" name="take-win-rate" dataDxfId="453">
      <calculatedColumnFormula>IF(LightbringerAbilities1[[#This Row],[takes]]&gt;0,LightbringerAbilities1[[#This Row],[wins]]/LightbringerAbilities1[[#This Row],[takes]],0)</calculatedColumnFormula>
    </tableColumn>
  </tableColumns>
  <tableStyleInfo name="TableStyleMedium2" showFirstColumn="0" showLastColumn="0" showRowStripes="1" showColumnStripes="0"/>
</table>
</file>

<file path=xl/tables/table2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3" xr:uid="{3F133A2F-3487-4471-A28B-16B170D88610}" name="LightbringerAbilities2" displayName="LightbringerAbilities2" ref="A7:E10" totalsRowShown="0" headerRowDxfId="452" headerRowBorderDxfId="451" tableBorderDxfId="450" totalsRowBorderDxfId="449">
  <autoFilter ref="A7:E10" xr:uid="{8ADAEE31-4DDA-4DF2-9EAD-04808D53FFC1}"/>
  <tableColumns count="5">
    <tableColumn id="1" xr3:uid="{D813E5AF-63F1-4403-B4EC-EBD2990DC13D}" name="ability"/>
    <tableColumn id="2" xr3:uid="{DB8A2500-F085-42B3-BBAF-672A1A387ECE}" name="takes" dataDxfId="448">
      <calculatedColumnFormula>L8+L29+L50+L71+L92+L113</calculatedColumnFormula>
    </tableColumn>
    <tableColumn id="3" xr3:uid="{8036E5FE-9DB3-44E7-AF19-651F4FEED3A5}" name="wins" dataDxfId="447">
      <calculatedColumnFormula>M8+M29+M50+M71+M92+M113</calculatedColumnFormula>
    </tableColumn>
    <tableColumn id="4" xr3:uid="{F340980B-9818-44CD-839E-1CE580EFB60A}" name="battles-take-rate" dataDxfId="446">
      <calculatedColumnFormula>IF(SUM(LightbringerAbilities2[[#This Row],[takes]]) &gt; 0,LightbringerAbilities2[[#This Row],[takes]]/SUM(LightbringerAbilities2[takes]),0)</calculatedColumnFormula>
    </tableColumn>
    <tableColumn id="5" xr3:uid="{17B6F15A-3912-4519-844F-033A2A012472}" name="take-win-rate" dataDxfId="445">
      <calculatedColumnFormula>IF(LightbringerAbilities2[[#This Row],[takes]]&gt;0,LightbringerAbilities2[[#This Row],[wins]]/LightbringerAbilities2[[#This Row],[takes]],0)</calculatedColumnFormula>
    </tableColumn>
  </tableColumns>
  <tableStyleInfo name="TableStyleMedium2" showFirstColumn="0" showLastColumn="0" showRowStripes="1" showColumnStripes="0"/>
</table>
</file>

<file path=xl/tables/table2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4" xr:uid="{13DD10D2-A073-4683-9BA0-3636C891C4A0}" name="LightbringerAbilities3" displayName="LightbringerAbilities3" ref="A12:E15" totalsRowShown="0" headerRowDxfId="444" headerRowBorderDxfId="443" tableBorderDxfId="442" totalsRowBorderDxfId="441">
  <autoFilter ref="A12:E15" xr:uid="{1B0EA3CA-FA8E-4345-B52C-471D5C94AD38}"/>
  <tableColumns count="5">
    <tableColumn id="1" xr3:uid="{759DB761-54D7-46D9-8CAC-D7EE31205856}" name="ability"/>
    <tableColumn id="2" xr3:uid="{67BB5C11-3F65-40CE-AB0D-C2ADAE6ED8A2}" name="takes" dataDxfId="440">
      <calculatedColumnFormula>L13+L34+L55+L76+L97+L118</calculatedColumnFormula>
    </tableColumn>
    <tableColumn id="3" xr3:uid="{C75B917B-4ECC-4DD1-9024-BE6CDFC7ADF6}" name="wins" dataDxfId="439">
      <calculatedColumnFormula>M13+M34+M55+M76+M97+M118</calculatedColumnFormula>
    </tableColumn>
    <tableColumn id="4" xr3:uid="{33AA1918-8E3F-4AE7-B461-1D2AFB04069A}" name="battles-take-rate" dataDxfId="438">
      <calculatedColumnFormula>IF(SUM(LightbringerAbilities3[[#This Row],[takes]]) &gt; 0,LightbringerAbilities3[[#This Row],[takes]]/SUM(LightbringerAbilities3[takes]),0)</calculatedColumnFormula>
    </tableColumn>
    <tableColumn id="5" xr3:uid="{71D1046A-4216-43A8-B0DC-DD49F2AC2E93}" name="take-win-rate" dataDxfId="437">
      <calculatedColumnFormula>IF(LightbringerAbilities3[[#This Row],[takes]]&gt;0,LightbringerAbilities3[[#This Row],[wins]]/LightbringerAbilities3[[#This Row],[takes]],0)</calculatedColumnFormula>
    </tableColumn>
  </tableColumns>
  <tableStyleInfo name="TableStyleMedium2" showFirstColumn="0" showLastColumn="0" showRowStripes="1" showColumnStripes="0"/>
</table>
</file>

<file path=xl/tables/table2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5" xr:uid="{94B0A036-352E-4B0A-A37E-BA2B3ADF5748}" name="LightbringerAbilities4" displayName="LightbringerAbilities4" ref="A17:E20" totalsRowShown="0" headerRowDxfId="436" headerRowBorderDxfId="435" tableBorderDxfId="434" totalsRowBorderDxfId="433">
  <autoFilter ref="A17:E20" xr:uid="{2AADA4A0-2F4A-4009-8ECF-0BECA693390C}"/>
  <tableColumns count="5">
    <tableColumn id="1" xr3:uid="{0F824B32-1B2D-4DB9-A0E4-042F6AAA65D0}" name="ability" dataDxfId="432"/>
    <tableColumn id="2" xr3:uid="{C861246F-E022-49C0-BFAD-6CD3013B0246}" name="takes" dataDxfId="431">
      <calculatedColumnFormula>L18+L39+L60+L81+L102+L123</calculatedColumnFormula>
    </tableColumn>
    <tableColumn id="3" xr3:uid="{3FA0E70F-04C8-4FC4-898C-79D0A5C6E6C3}" name="wins" dataDxfId="430">
      <calculatedColumnFormula>M18+M39+M60+M81+M102+M123</calculatedColumnFormula>
    </tableColumn>
    <tableColumn id="4" xr3:uid="{047E06AD-872B-4FB4-9AB8-8B8E2717658B}" name="battles-take-rate" dataDxfId="429">
      <calculatedColumnFormula>IF(SUM(LightbringerAbilities4[[#This Row],[takes]]) &gt; 0,LightbringerAbilities4[[#This Row],[takes]]/SUM(LightbringerAbilities4[takes]),0)</calculatedColumnFormula>
    </tableColumn>
    <tableColumn id="5" xr3:uid="{FA448077-391B-45D1-9D16-B46B83102F43}" name="take-win-rate" dataDxfId="428">
      <calculatedColumnFormula>IF(LightbringerAbilities4[[#This Row],[takes]]&gt;0,LightbringerAbilities4[[#This Row],[wins]]/LightbringerAbilities4[[#This Row],[takes]],0)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C15024E5-2A00-4F8B-BBEB-0FE7A036BC54}" name="ParagonEquip" displayName="ParagonEquip" ref="G2:J5" totalsRowShown="0">
  <autoFilter ref="G2:J5" xr:uid="{C15024E5-2A00-4F8B-BBEB-0FE7A036BC54}"/>
  <tableColumns count="4">
    <tableColumn id="1" xr3:uid="{8B1F2C44-EA02-4821-AAA5-49A7D2E47A7E}" name="level"/>
    <tableColumn id="2" xr3:uid="{F62B10F6-8A81-4A5B-A655-EF553400866D}" name="spear" dataDxfId="1736">
      <calculatedColumnFormula>S3+S24+S45+S66+S87+S108</calculatedColumnFormula>
    </tableColumn>
    <tableColumn id="3" xr3:uid="{F4CFC04E-00E1-447E-954B-909DEBE33E7C}" name="shield" dataDxfId="1735">
      <calculatedColumnFormula>T3+T24+T45+T66+T87+T108</calculatedColumnFormula>
    </tableColumn>
    <tableColumn id="4" xr3:uid="{3051F8DD-C458-45A9-A22A-CA5DF4CE7313}" name="chestpiece" dataDxfId="1734">
      <calculatedColumnFormula>U3+U24+U45+U66+U87+U108</calculatedColumnFormula>
    </tableColumn>
  </tableColumns>
  <tableStyleInfo name="TableStyleMedium2" showFirstColumn="0" showLastColumn="0" showRowStripes="1" showColumnStripes="0"/>
</table>
</file>

<file path=xl/tables/table2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6" xr:uid="{A5DFA900-2974-4B88-96E9-EB3C14436107}" name="LightbringerEquip" displayName="LightbringerEquip" ref="G2:I5" totalsRowShown="0">
  <autoFilter ref="G2:I5" xr:uid="{C15024E5-2A00-4F8B-BBEB-0FE7A036BC54}"/>
  <tableColumns count="3">
    <tableColumn id="1" xr3:uid="{C6D46C83-6431-430F-A922-6522BAFD369D}" name="level"/>
    <tableColumn id="2" xr3:uid="{158C2CBB-945D-4498-9873-74D98212D579}" name="hammer" dataDxfId="427">
      <calculatedColumnFormula>R3+R24+R45+R66+R87+R108</calculatedColumnFormula>
    </tableColumn>
    <tableColumn id="4" xr3:uid="{F2CC5FCF-C346-4903-B131-24F9A7A7ADC9}" name="chestpiece" dataDxfId="426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2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7" xr:uid="{6AB92963-BA25-45EE-8F63-C0C1C3E36D86}" name="LightbringerAbilities1Scenario0" displayName="LightbringerAbilities1Scenario0" ref="K2:O5" totalsRowShown="0">
  <autoFilter ref="K2:O5" xr:uid="{4CDFB74F-734F-4444-929B-80D3797B5492}"/>
  <tableColumns count="5">
    <tableColumn id="2" xr3:uid="{65F7BD52-74B0-4583-BD4D-0B3E082EB64B}" name="ability"/>
    <tableColumn id="6" xr3:uid="{E2E2EA48-31A9-44A3-8D78-DAFFF0D7A3B1}" name="takes" dataDxfId="425">
      <calculatedColumnFormula>COUNTIF(Scenario0[winner1-ability1],LightbringerAbilities1Scenario0[[#This Row],[ability]])+COUNTIF(Scenario0[winner2-ability1],LightbringerAbilities1Scenario0[[#This Row],[ability]])+COUNTIF(Scenario0[loser1-ability1],LightbringerAbilities1Scenario0[[#This Row],[ability]])+COUNTIF(Scenario0[loser2-ability1],LightbringerAbilities1Scenario0[[#This Row],[ability]])</calculatedColumnFormula>
    </tableColumn>
    <tableColumn id="4" xr3:uid="{C079D1DF-7698-482E-94F3-62D01823CAE6}" name="wins" dataDxfId="424">
      <calculatedColumnFormula>COUNTIF(Scenario0[winner1-ability1],LightbringerAbilities1Scenario0[[#This Row],[ability]])+COUNTIF(Scenario0[winner2-ability1],LightbringerAbilities1Scenario0[[#This Row],[ability]])</calculatedColumnFormula>
    </tableColumn>
    <tableColumn id="5" xr3:uid="{05BCB1B3-128F-46E8-96FB-771C576CCA09}" name="battles-take-rate" dataDxfId="423">
      <calculatedColumnFormula>IF(SUM(LightbringerAbilities1Scenario0[[#This Row],[takes]]) &gt; 0,LightbringerAbilities1Scenario0[[#This Row],[takes]]/SUM(LightbringerAbilities1Scenario0[takes]),0)</calculatedColumnFormula>
    </tableColumn>
    <tableColumn id="7" xr3:uid="{4801DD29-6D35-4ED6-871B-94306A1D022F}" name="take-win-rate" dataDxfId="422">
      <calculatedColumnFormula>IF(LightbringerAbilities1Scenario0[[#This Row],[takes]]&gt;0,LightbringerAbilities1Scenario0[[#This Row],[wins]]/LightbringerAbilities1Scenario0[[#This Row],[takes]],0)</calculatedColumnFormula>
    </tableColumn>
  </tableColumns>
  <tableStyleInfo name="TableStyleMedium2" showFirstColumn="0" showLastColumn="0" showRowStripes="1" showColumnStripes="0"/>
</table>
</file>

<file path=xl/tables/table2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8" xr:uid="{BB9271A8-8274-43E8-BFF5-22A0214CDC34}" name="LightbringerAbilities2Scenario0" displayName="LightbringerAbilities2Scenario0" ref="K7:O10" totalsRowShown="0" headerRowDxfId="421" headerRowBorderDxfId="420" tableBorderDxfId="419" totalsRowBorderDxfId="418">
  <autoFilter ref="K7:O10" xr:uid="{07F4368A-34C9-4286-BBA2-89F699718525}"/>
  <tableColumns count="5">
    <tableColumn id="1" xr3:uid="{531EA6BB-2084-48FF-95A2-C93B8C0CB1F6}" name="ability"/>
    <tableColumn id="2" xr3:uid="{BDF787D3-9156-41D3-A108-2986B5016B3F}" name="takes" dataDxfId="417">
      <calculatedColumnFormula>COUNTIF(Scenario0[winner1-ability2],LightbringerAbilities2Scenario0[[#This Row],[ability]])+COUNTIF(Scenario0[winner2-ability2],LightbringerAbilities2Scenario0[[#This Row],[ability]])+COUNTIF(Scenario0[loser1-ability2],LightbringerAbilities2Scenario0[[#This Row],[ability]])+COUNTIF(Scenario0[loser2-ability2],LightbringerAbilities2Scenario0[[#This Row],[ability]])</calculatedColumnFormula>
    </tableColumn>
    <tableColumn id="3" xr3:uid="{47F671FD-DA19-4F48-9955-CD609C994E8A}" name="wins" dataDxfId="416">
      <calculatedColumnFormula>COUNTIF(Scenario0[winner1-ability2],LightbringerAbilities2Scenario0[[#This Row],[ability]])+COUNTIF(Scenario0[winner2-ability2],LightbringerAbilities2Scenario0[[#This Row],[ability]])</calculatedColumnFormula>
    </tableColumn>
    <tableColumn id="4" xr3:uid="{5B7282CE-1EA3-46E9-BAE7-C04ED04B6B57}" name="battles-take-rate" dataDxfId="415">
      <calculatedColumnFormula>IF(SUM(LightbringerAbilities2Scenario0[[#This Row],[takes]]) &gt; 0,LightbringerAbilities2Scenario0[[#This Row],[takes]]/SUM(LightbringerAbilities2Scenario0[takes]),0)</calculatedColumnFormula>
    </tableColumn>
    <tableColumn id="5" xr3:uid="{D1673A60-D7E9-43F1-9E75-C721D93F59C9}" name="take-win-rate" dataDxfId="414">
      <calculatedColumnFormula>IF(LightbringerAbilities2Scenario0[[#This Row],[takes]]&gt;0,LightbringerAbilities2Scenario0[[#This Row],[wins]]/LightbringerAbilities2Scenario0[[#This Row],[takes]],0)</calculatedColumnFormula>
    </tableColumn>
  </tableColumns>
  <tableStyleInfo name="TableStyleMedium2" showFirstColumn="0" showLastColumn="0" showRowStripes="1" showColumnStripes="0"/>
</table>
</file>

<file path=xl/tables/table2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9" xr:uid="{23B5AEA5-EF74-4F0D-9E03-3082F9812565}" name="LightbringerAbilities3Scenario0" displayName="LightbringerAbilities3Scenario0" ref="K12:O15" totalsRowShown="0" headerRowDxfId="413" headerRowBorderDxfId="412" tableBorderDxfId="411" totalsRowBorderDxfId="410">
  <autoFilter ref="K12:O15" xr:uid="{E8520742-705B-4A78-A5FD-1F57726A369B}"/>
  <tableColumns count="5">
    <tableColumn id="1" xr3:uid="{42A93561-7A14-4810-8682-8F5E8388D2FC}" name="ability"/>
    <tableColumn id="2" xr3:uid="{01F60FF8-0743-4E22-9038-816D780FC4E7}" name="takes" dataDxfId="409">
      <calculatedColumnFormula>COUNTIF(Scenario0[winner1-ability3],LightbringerAbilities3Scenario0[[#This Row],[ability]])+COUNTIF(Scenario0[winner2-ability3],LightbringerAbilities3Scenario0[[#This Row],[ability]])+COUNTIF(Scenario0[loser1-ability3],LightbringerAbilities3Scenario0[[#This Row],[ability]])+COUNTIF(Scenario0[loser2-ability3],LightbringerAbilities3Scenario0[[#This Row],[ability]])</calculatedColumnFormula>
    </tableColumn>
    <tableColumn id="3" xr3:uid="{A359DEF3-5918-400D-A92B-72C97C683D40}" name="wins" dataDxfId="408">
      <calculatedColumnFormula>COUNTIF(Scenario0[winner1-ability3],LightbringerAbilities3Scenario0[[#This Row],[ability]])+COUNTIF(Scenario0[winner2-ability3],LightbringerAbilities3Scenario0[[#This Row],[ability]])</calculatedColumnFormula>
    </tableColumn>
    <tableColumn id="4" xr3:uid="{669A923A-0938-41E3-8F6D-18167B489090}" name="battles-take-rate" dataDxfId="407">
      <calculatedColumnFormula>IF(SUM(LightbringerAbilities3Scenario0[[#This Row],[takes]]) &gt; 0,LightbringerAbilities3Scenario0[[#This Row],[takes]]/SUM(LightbringerAbilities3Scenario0[takes]),0)</calculatedColumnFormula>
    </tableColumn>
    <tableColumn id="5" xr3:uid="{619BCCA4-5ECA-49E8-A4EF-8D98A15B766B}" name="take-win-rate" dataDxfId="406">
      <calculatedColumnFormula>IF(LightbringerAbilities3Scenario0[[#This Row],[takes]]&gt;0,LightbringerAbilities3Scenario0[[#This Row],[wins]]/LightbringerAbilities3Scenario0[[#This Row],[takes]],0)</calculatedColumnFormula>
    </tableColumn>
  </tableColumns>
  <tableStyleInfo name="TableStyleMedium2" showFirstColumn="0" showLastColumn="0" showRowStripes="1" showColumnStripes="0"/>
</table>
</file>

<file path=xl/tables/table2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0" xr:uid="{320CE7E0-ACCC-46EB-94B6-0BC92A05C911}" name="LightbringerAbilities4Scenario0" displayName="LightbringerAbilities4Scenario0" ref="K17:O20" totalsRowShown="0" headerRowDxfId="405" headerRowBorderDxfId="404" tableBorderDxfId="403" totalsRowBorderDxfId="402">
  <autoFilter ref="K17:O20" xr:uid="{01E0B516-A92C-45D4-946B-0FCF2F31D98A}"/>
  <tableColumns count="5">
    <tableColumn id="1" xr3:uid="{95251227-5274-48FA-A791-C1AC52DA6F2E}" name="ability" dataDxfId="401"/>
    <tableColumn id="2" xr3:uid="{B7211C4B-8C9B-4B1A-B9B4-26E32C837D31}" name="takes" dataDxfId="400">
      <calculatedColumnFormula>COUNTIF(Scenario0[winner1-ability4],LightbringerAbilities4Scenario0[[#This Row],[ability]])+COUNTIF(Scenario0[winner2-ability4],LightbringerAbilities4Scenario0[[#This Row],[ability]])+COUNTIF(Scenario0[loser1-ability4],LightbringerAbilities4Scenario0[[#This Row],[ability]])+COUNTIF(Scenario0[loser2-ability4],LightbringerAbilities4Scenario0[[#This Row],[ability]])</calculatedColumnFormula>
    </tableColumn>
    <tableColumn id="3" xr3:uid="{2284DBA2-D789-4EB3-83A4-7727DB764E6C}" name="wins" dataDxfId="399">
      <calculatedColumnFormula>COUNTIF(Scenario0[winner1-ability4],LightbringerAbilities4Scenario0[[#This Row],[ability]])+COUNTIF(Scenario0[winner2-ability4],LightbringerAbilities4Scenario0[[#This Row],[ability]])</calculatedColumnFormula>
    </tableColumn>
    <tableColumn id="4" xr3:uid="{6CAF9818-60FB-47D7-BD08-34E6E2EE85AD}" name="battles-take-rate" dataDxfId="398">
      <calculatedColumnFormula>IF(SUM(LightbringerAbilities4Scenario0[[#This Row],[takes]]) &gt; 0,LightbringerAbilities4Scenario0[[#This Row],[takes]]/SUM(LightbringerAbilities4Scenario0[takes]),0)</calculatedColumnFormula>
    </tableColumn>
    <tableColumn id="5" xr3:uid="{2AFF37EF-7EDA-4019-B944-78E41DBDD4E3}" name="take-win-rate" dataDxfId="397">
      <calculatedColumnFormula>IF(LightbringerAbilities4Scenario0[[#This Row],[takes]]&gt;0,LightbringerAbilities4Scenario0[[#This Row],[wins]]/LightbringerAbilities4Scenario0[[#This Row],[takes]],0)</calculatedColumnFormula>
    </tableColumn>
  </tableColumns>
  <tableStyleInfo name="TableStyleMedium2" showFirstColumn="0" showLastColumn="0" showRowStripes="1" showColumnStripes="0"/>
</table>
</file>

<file path=xl/tables/table2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1" xr:uid="{75E56E6F-12AD-4A81-A826-36179C63C8B0}" name="LightbringerEquipScenario0" displayName="LightbringerEquipScenario0" ref="Q2:S5" totalsRowShown="0">
  <autoFilter ref="Q2:S5" xr:uid="{E84D91C4-DFF3-43B9-932F-3FEFFBEA9FF1}"/>
  <tableColumns count="3">
    <tableColumn id="1" xr3:uid="{A91C72E0-C94C-4503-B714-486883EE44C8}" name="level"/>
    <tableColumn id="2" xr3:uid="{64E641DD-C24A-4BDC-8823-CEEDE7155E6D}" name="hammer" dataDxfId="396">
      <calculatedColumnFormula>COUNTIFS(Scenario0[winner1],"lightbringer",Scenario0[winner1-pw],LightbringerEquipScenario0[[#This Row],[level]])+COUNTIFS(Scenario0[winner2],"lightbringer",Scenario0[winner2-pw],LightbringerEquipScenario0[[#This Row],[level]])+COUNTIFS(Scenario0[loser1],"lightbringer",Scenario0[loser1-pw],LightbringerEquipScenario0[[#This Row],[level]])+COUNTIFS(Scenario0[loser2],"lightbringer",Scenario0[loser2-pw],LightbringerEquipScenario0[[#This Row],[level]])</calculatedColumnFormula>
    </tableColumn>
    <tableColumn id="4" xr3:uid="{DE7525A8-59F5-44D9-A598-DD86097CF596}" name="chestpiece" dataDxfId="395">
      <calculatedColumnFormula>COUNTIFS(Scenario0[winner1],"lightbringer",Scenario0[winner1-cp],LightbringerEquipScenario0[[#This Row],[level]])+COUNTIFS(Scenario0[winner2],"lightbringer",Scenario0[winner2-cp],LightbringerEquipScenario0[[#This Row],[level]])+COUNTIFS(Scenario0[loser1],"lightbringer",Scenario0[loser1-cp],LightbringerEquipScenario0[[#This Row],[level]])+COUNTIFS(Scenario0[loser2],"lightbringer",Scenario0[loser2-cp],LightbringerEquipScenario0[[#This Row],[level]])</calculatedColumnFormula>
    </tableColumn>
  </tableColumns>
  <tableStyleInfo name="TableStyleMedium2" showFirstColumn="0" showLastColumn="0" showRowStripes="1" showColumnStripes="0"/>
</table>
</file>

<file path=xl/tables/table2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2" xr:uid="{AAC7A1E2-1DEA-4187-A2F9-9C13ABA6CE8C}" name="LightbringerAbilities1Scenario1" displayName="LightbringerAbilities1Scenario1" ref="K23:O26" totalsRowShown="0">
  <autoFilter ref="K23:O26" xr:uid="{A0A97CA7-01BF-4D92-A7D1-F51028CD7758}"/>
  <tableColumns count="5">
    <tableColumn id="2" xr3:uid="{F38EDE01-9B3E-4400-923E-DD0621883D6C}" name="ability"/>
    <tableColumn id="6" xr3:uid="{CEFD0E18-6FF5-4B30-BFA3-7728E155640A}" name="takes" dataDxfId="394">
      <calculatedColumnFormula>COUNTIF(Scenario1[winner1-ability1],LightbringerAbilities1Scenario1[[#This Row],[ability]])+COUNTIF(Scenario1[winner2-ability1],LightbringerAbilities1Scenario1[[#This Row],[ability]])+COUNTIF(Scenario1[loser1-ability1],LightbringerAbilities1Scenario1[[#This Row],[ability]])+COUNTIF(Scenario1[loser2-ability1],LightbringerAbilities1Scenario1[[#This Row],[ability]])</calculatedColumnFormula>
    </tableColumn>
    <tableColumn id="4" xr3:uid="{53B56E1E-D02C-46D7-B03D-07EDEE800D72}" name="wins" dataDxfId="393">
      <calculatedColumnFormula>COUNTIF(Scenario1[winner1-ability1],LightbringerAbilities1Scenario1[[#This Row],[ability]])+COUNTIF(Scenario1[winner2-ability1],LightbringerAbilities1Scenario1[[#This Row],[ability]])</calculatedColumnFormula>
    </tableColumn>
    <tableColumn id="5" xr3:uid="{DCCD9433-1128-4689-9A2B-FB1E8C0CEBB7}" name="battles-take-rate" dataDxfId="392">
      <calculatedColumnFormula>IF(SUM(LightbringerAbilities1Scenario1[[#This Row],[takes]]) &gt; 0,LightbringerAbilities1Scenario1[[#This Row],[takes]]/SUM(LightbringerAbilities1Scenario1[takes]),0)</calculatedColumnFormula>
    </tableColumn>
    <tableColumn id="7" xr3:uid="{9537F125-D1DA-4CAA-AC44-300264B6F881}" name="take-win-rate" dataDxfId="391">
      <calculatedColumnFormula>IF(LightbringerAbilities1Scenario1[[#This Row],[takes]]&gt;0,LightbringerAbilities1Scenario1[[#This Row],[wins]]/LightbringerAbilities1Scenario1[[#This Row],[takes]],0)</calculatedColumnFormula>
    </tableColumn>
  </tableColumns>
  <tableStyleInfo name="TableStyleMedium2" showFirstColumn="0" showLastColumn="0" showRowStripes="1" showColumnStripes="0"/>
</table>
</file>

<file path=xl/tables/table2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3" xr:uid="{7BC8C804-144D-4BFF-BC25-B2B7C799A905}" name="LightbringerAbilities2Scenario1" displayName="LightbringerAbilities2Scenario1" ref="K28:O31" totalsRowShown="0" headerRowDxfId="390" headerRowBorderDxfId="389" tableBorderDxfId="388" totalsRowBorderDxfId="387">
  <autoFilter ref="K28:O31" xr:uid="{A29CF70A-0B84-46BB-A412-712C2F594795}"/>
  <tableColumns count="5">
    <tableColumn id="1" xr3:uid="{DB6A24AC-944F-4490-8C5E-708A4F7A9451}" name="ability"/>
    <tableColumn id="2" xr3:uid="{365BA1DD-524E-4FDB-91CB-D331A233F769}" name="takes" dataDxfId="386">
      <calculatedColumnFormula>COUNTIF(Scenario1[winner1-ability2],LightbringerAbilities2Scenario1[[#This Row],[ability]])+COUNTIF(Scenario1[winner2-ability2],LightbringerAbilities2Scenario1[[#This Row],[ability]])+COUNTIF(Scenario1[loser1-ability2],LightbringerAbilities2Scenario1[[#This Row],[ability]])+COUNTIF(Scenario1[loser2-ability2],LightbringerAbilities2Scenario1[[#This Row],[ability]])</calculatedColumnFormula>
    </tableColumn>
    <tableColumn id="3" xr3:uid="{7461FBBA-B7AE-4C55-90DB-42863B5A7C5F}" name="wins" dataDxfId="385">
      <calculatedColumnFormula>COUNTIF(Scenario1[winner1-ability2],LightbringerAbilities2Scenario1[[#This Row],[ability]])+COUNTIF(Scenario1[winner2-ability2],LightbringerAbilities2Scenario1[[#This Row],[ability]])</calculatedColumnFormula>
    </tableColumn>
    <tableColumn id="4" xr3:uid="{E9EE6894-0DC8-4D1E-964C-7A9C568CB6ED}" name="battles-take-rate" dataDxfId="384">
      <calculatedColumnFormula>IF(SUM(LightbringerAbilities2Scenario1[[#This Row],[takes]]) &gt; 0,LightbringerAbilities2Scenario1[[#This Row],[takes]]/SUM(LightbringerAbilities2Scenario1[takes]),0)</calculatedColumnFormula>
    </tableColumn>
    <tableColumn id="5" xr3:uid="{23574AC2-824F-4C7B-B7C5-97B29FC9373B}" name="take-win-rate" dataDxfId="383">
      <calculatedColumnFormula>IF(LightbringerAbilities2Scenario1[[#This Row],[takes]]&gt;0,LightbringerAbilities2Scenario1[[#This Row],[wins]]/LightbringerAbilities2Scenario1[[#This Row],[takes]],0)</calculatedColumnFormula>
    </tableColumn>
  </tableColumns>
  <tableStyleInfo name="TableStyleMedium2" showFirstColumn="0" showLastColumn="0" showRowStripes="1" showColumnStripes="0"/>
</table>
</file>

<file path=xl/tables/table2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4" xr:uid="{4FC53115-67A0-4640-A35D-1355900B3ED7}" name="LightbringerAbilities3Scenario1" displayName="LightbringerAbilities3Scenario1" ref="K33:O36" totalsRowShown="0" headerRowDxfId="382" headerRowBorderDxfId="381" tableBorderDxfId="380" totalsRowBorderDxfId="379">
  <autoFilter ref="K33:O36" xr:uid="{CBC18F4E-86CD-4BE3-9377-2B862ED3B826}"/>
  <tableColumns count="5">
    <tableColumn id="1" xr3:uid="{8587B815-8205-48B3-8B08-347A64A5AD14}" name="ability"/>
    <tableColumn id="2" xr3:uid="{74BC49FD-4040-45CF-BB38-53647E992CF5}" name="takes" dataDxfId="378">
      <calculatedColumnFormula>COUNTIF(Scenario1[winner1-ability3],LightbringerAbilities3Scenario1[[#This Row],[ability]])+COUNTIF(Scenario1[winner2-ability3],LightbringerAbilities3Scenario1[[#This Row],[ability]])+COUNTIF(Scenario1[loser1-ability3],LightbringerAbilities3Scenario1[[#This Row],[ability]])+COUNTIF(Scenario1[loser2-ability3],LightbringerAbilities3Scenario1[[#This Row],[ability]])</calculatedColumnFormula>
    </tableColumn>
    <tableColumn id="3" xr3:uid="{39853AEC-56A0-423A-BD00-513E9B54E4E2}" name="wins" dataDxfId="377">
      <calculatedColumnFormula>COUNTIF(Scenario1[winner1-ability3],LightbringerAbilities3Scenario1[[#This Row],[ability]])+COUNTIF(Scenario1[winner2-ability3],LightbringerAbilities3Scenario1[[#This Row],[ability]])</calculatedColumnFormula>
    </tableColumn>
    <tableColumn id="4" xr3:uid="{7EE28E58-2CE1-424D-86EA-6CD37D2947C4}" name="battles-take-rate" dataDxfId="376">
      <calculatedColumnFormula>IF(SUM(LightbringerAbilities3Scenario1[[#This Row],[takes]]) &gt; 0,LightbringerAbilities3Scenario1[[#This Row],[takes]]/SUM(LightbringerAbilities3Scenario1[takes]),0)</calculatedColumnFormula>
    </tableColumn>
    <tableColumn id="5" xr3:uid="{1C9778F2-8911-4E08-BE32-BA19C86FF5E1}" name="take-win-rate" dataDxfId="375">
      <calculatedColumnFormula>IF(LightbringerAbilities3Scenario1[[#This Row],[takes]]&gt;0,LightbringerAbilities3Scenario1[[#This Row],[wins]]/LightbringerAbilities3Scenario1[[#This Row],[takes]],0)</calculatedColumnFormula>
    </tableColumn>
  </tableColumns>
  <tableStyleInfo name="TableStyleMedium2" showFirstColumn="0" showLastColumn="0" showRowStripes="1" showColumnStripes="0"/>
</table>
</file>

<file path=xl/tables/table2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5" xr:uid="{C3B40518-D816-4C59-9260-EF207D5CAFAD}" name="LightbringerAbilities4Scenario1" displayName="LightbringerAbilities4Scenario1" ref="K38:O41" totalsRowShown="0" headerRowDxfId="374" headerRowBorderDxfId="373" tableBorderDxfId="372" totalsRowBorderDxfId="371">
  <autoFilter ref="K38:O41" xr:uid="{A1F38E75-59DE-4DB4-B81C-C0322397F6F7}"/>
  <tableColumns count="5">
    <tableColumn id="1" xr3:uid="{D120DB3D-0A5D-420D-9741-6F25B01853C8}" name="ability" dataDxfId="370"/>
    <tableColumn id="2" xr3:uid="{917AA9FD-5BE5-479F-8517-062A9D4A84E5}" name="takes" dataDxfId="369">
      <calculatedColumnFormula>COUNTIF(Scenario1[winner1-ability4],LightbringerAbilities4Scenario1[[#This Row],[ability]])+COUNTIF(Scenario1[winner2-ability4],LightbringerAbilities4Scenario1[[#This Row],[ability]])+COUNTIF(Scenario1[loser1-ability4],LightbringerAbilities4Scenario1[[#This Row],[ability]])+COUNTIF(Scenario1[loser2-ability4],LightbringerAbilities4Scenario1[[#This Row],[ability]])</calculatedColumnFormula>
    </tableColumn>
    <tableColumn id="3" xr3:uid="{F9AB1BA9-24EC-4043-9934-DF4D5F3EA5F6}" name="wins" dataDxfId="368">
      <calculatedColumnFormula>COUNTIF(Scenario1[winner1-ability4],LightbringerAbilities4Scenario1[[#This Row],[ability]])+COUNTIF(Scenario1[winner2-ability4],LightbringerAbilities4Scenario1[[#This Row],[ability]])</calculatedColumnFormula>
    </tableColumn>
    <tableColumn id="4" xr3:uid="{0BEA733C-D36C-44E2-981F-2F1CADE62FF8}" name="battles-take-rate" dataDxfId="367">
      <calculatedColumnFormula>IF(SUM(LightbringerAbilities4Scenario1[[#This Row],[takes]]) &gt; 0,LightbringerAbilities4Scenario1[[#This Row],[takes]]/SUM(LightbringerAbilities4Scenario1[takes]),0)</calculatedColumnFormula>
    </tableColumn>
    <tableColumn id="5" xr3:uid="{586E5672-8457-4C44-B96A-D8C61F2AE142}" name="take-win-rate" dataDxfId="366">
      <calculatedColumnFormula>IF(LightbringerAbilities4Scenario1[[#This Row],[takes]]&gt;0,LightbringerAbilities4Scenario1[[#This Row],[wins]]/LightbringerAbilities4Scenario1[[#This Row],[takes]],0)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4CDFB74F-734F-4444-929B-80D3797B5492}" name="ParagonAbilities1Scenario0" displayName="ParagonAbilities1Scenario0" ref="L2:P5" totalsRowShown="0">
  <autoFilter ref="L2:P5" xr:uid="{4CDFB74F-734F-4444-929B-80D3797B5492}"/>
  <tableColumns count="5">
    <tableColumn id="2" xr3:uid="{992CC6AC-D997-4858-8B6F-85973D20C2BF}" name="ability"/>
    <tableColumn id="6" xr3:uid="{4B123EEF-BACE-4880-8F0F-48A9940D4A62}" name="takes" dataDxfId="1733">
      <calculatedColumnFormula>COUNTIF(Scenario0[winner1-ability1],ParagonAbilities1Scenario0[[#This Row],[ability]])+COUNTIF(Scenario0[winner2-ability1],ParagonAbilities1Scenario0[[#This Row],[ability]])+COUNTIF(Scenario0[loser1-ability1],ParagonAbilities1Scenario0[[#This Row],[ability]])+COUNTIF(Scenario0[loser2-ability1],ParagonAbilities1Scenario0[[#This Row],[ability]])</calculatedColumnFormula>
    </tableColumn>
    <tableColumn id="4" xr3:uid="{97B7EB5F-DC0B-4232-AE26-DF569746E460}" name="wins" dataDxfId="1732">
      <calculatedColumnFormula>COUNTIF(Scenario0[winner1-ability1],ParagonAbilities1Scenario0[[#This Row],[ability]])+COUNTIF(Scenario0[winner2-ability1],ParagonAbilities1Scenario0[[#This Row],[ability]])</calculatedColumnFormula>
    </tableColumn>
    <tableColumn id="5" xr3:uid="{05B172FF-C0C2-40A2-B29A-155EF2522B1E}" name="battles-take-rate" dataDxfId="1731">
      <calculatedColumnFormula>IF(SUM(ParagonAbilities1Scenario0[[#This Row],[takes]]) &gt; 0,ParagonAbilities1Scenario0[[#This Row],[takes]]/SUM(ParagonAbilities1Scenario0[takes]),0)</calculatedColumnFormula>
    </tableColumn>
    <tableColumn id="7" xr3:uid="{C5D043CD-CC36-487C-B73F-C93637AE2923}" name="take-win-rate" dataDxfId="1730">
      <calculatedColumnFormula>IF(ParagonAbilities1Scenario0[[#This Row],[takes]]&gt;0,ParagonAbilities1Scenario0[[#This Row],[wins]]/ParagonAbilities1Scenario0[[#This Row],[takes]],0)</calculatedColumnFormula>
    </tableColumn>
  </tableColumns>
  <tableStyleInfo name="TableStyleMedium2" showFirstColumn="0" showLastColumn="0" showRowStripes="1" showColumnStripes="0"/>
</table>
</file>

<file path=xl/tables/table2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6" xr:uid="{D7DAEEBA-E822-4065-9AE2-F1EE0E61291F}" name="LightbringerEquipScenario1" displayName="LightbringerEquipScenario1" ref="Q23:S26" totalsRowShown="0">
  <autoFilter ref="Q23:S26" xr:uid="{18EECD25-0AE5-4756-B5E1-492D523A2929}"/>
  <tableColumns count="3">
    <tableColumn id="1" xr3:uid="{5135329B-2495-474E-A344-1E18A263C344}" name="level"/>
    <tableColumn id="2" xr3:uid="{031CC407-4FAE-4573-85C1-521C6B778961}" name="hammer" dataDxfId="365">
      <calculatedColumnFormula>COUNTIFS(Scenario1[winner1],"lightbringer",Scenario1[winner1-pw],LightbringerEquipScenario1[[#This Row],[level]])+COUNTIFS(Scenario1[winner2],"lightbringer",Scenario1[winner2-pw],LightbringerEquipScenario1[[#This Row],[level]])+COUNTIFS(Scenario1[loser1],"lightbringer",Scenario1[loser1-pw],LightbringerEquipScenario1[[#This Row],[level]])+COUNTIFS(Scenario1[loser2],"lightbringer",Scenario1[loser2-pw],LightbringerEquipScenario1[[#This Row],[level]])</calculatedColumnFormula>
    </tableColumn>
    <tableColumn id="4" xr3:uid="{19F87733-F830-4588-84E9-2D255BEE60F9}" name="chestpiece" dataDxfId="364">
      <calculatedColumnFormula>COUNTIFS(Scenario1[winner1],"lightbringer",Scenario1[winner1-cp],LightbringerEquipScenario1[[#This Row],[level]])+COUNTIFS(Scenario1[winner2],"lightbringer",Scenario1[winner2-cp],LightbringerEquipScenario1[[#This Row],[level]])+COUNTIFS(Scenario1[loser1],"lightbringer",Scenario1[loser1-cp],LightbringerEquipScenario1[[#This Row],[level]])+COUNTIFS(Scenario1[loser2],"lightbringer",Scenario1[loser2-cp],LightbringerEquipScenario1[[#This Row],[level]])</calculatedColumnFormula>
    </tableColumn>
  </tableColumns>
  <tableStyleInfo name="TableStyleMedium2" showFirstColumn="0" showLastColumn="0" showRowStripes="1" showColumnStripes="0"/>
</table>
</file>

<file path=xl/tables/table2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7" xr:uid="{14B16F53-16CC-433B-B141-36882EA93502}" name="LightbringerAbilities1Scenario2" displayName="LightbringerAbilities1Scenario2" ref="K44:O47" totalsRowShown="0">
  <autoFilter ref="K44:O47" xr:uid="{81D76695-EE53-4A07-9351-842AC55F2540}"/>
  <tableColumns count="5">
    <tableColumn id="2" xr3:uid="{25350EE4-D0C1-4DE5-A821-C71EFBBB52B3}" name="ability"/>
    <tableColumn id="6" xr3:uid="{61F62187-E2A4-4533-8CDC-14B749570A8A}" name="takes" dataDxfId="363">
      <calculatedColumnFormula>COUNTIF(Scenario2[winner1-ability1],LightbringerAbilities1Scenario2[[#This Row],[ability]])+COUNTIF(Scenario2[loser1-ability1],LightbringerAbilities1Scenario2[[#This Row],[ability]])</calculatedColumnFormula>
    </tableColumn>
    <tableColumn id="4" xr3:uid="{13F987A2-DF66-40E9-A5D9-5F9E37F8403B}" name="wins" dataDxfId="362">
      <calculatedColumnFormula>COUNTIF(Scenario2[winner1-ability1],LightbringerAbilities1Scenario2[[#This Row],[ability]])</calculatedColumnFormula>
    </tableColumn>
    <tableColumn id="5" xr3:uid="{421271B6-A7F2-416D-9C86-7A46EDB0C967}" name="battles-take-rate" dataDxfId="361">
      <calculatedColumnFormula>IF(SUM(LightbringerAbilities1Scenario2[[#This Row],[takes]]) &gt; 0,LightbringerAbilities1Scenario2[[#This Row],[takes]]/SUM(LightbringerAbilities1Scenario2[takes]),0)</calculatedColumnFormula>
    </tableColumn>
    <tableColumn id="7" xr3:uid="{F01D67F2-B1B8-4397-830F-9E74F7C298BD}" name="take-win-rate" dataDxfId="360">
      <calculatedColumnFormula>IF(LightbringerAbilities1Scenario2[[#This Row],[takes]]&gt;0,LightbringerAbilities1Scenario2[[#This Row],[wins]]/LightbringerAbilities1Scenario2[[#This Row],[takes]],0)</calculatedColumnFormula>
    </tableColumn>
  </tableColumns>
  <tableStyleInfo name="TableStyleMedium2" showFirstColumn="0" showLastColumn="0" showRowStripes="1" showColumnStripes="0"/>
</table>
</file>

<file path=xl/tables/table2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8" xr:uid="{9137F525-F15D-4A82-A7B3-8342FC9477AF}" name="LightbringerAbilities2Scenario2" displayName="LightbringerAbilities2Scenario2" ref="K49:O52" totalsRowShown="0" headerRowDxfId="359" headerRowBorderDxfId="358" tableBorderDxfId="357" totalsRowBorderDxfId="356">
  <autoFilter ref="K49:O52" xr:uid="{B5828340-8DA1-4B65-ACEB-BDDDED872E64}"/>
  <tableColumns count="5">
    <tableColumn id="1" xr3:uid="{B8F02F74-14AA-4189-88C7-EBBBCB861774}" name="ability"/>
    <tableColumn id="2" xr3:uid="{CDE83B91-CEEC-4736-9BFD-3D15FB0D803B}" name="takes" dataDxfId="355">
      <calculatedColumnFormula>COUNTIF(Scenario2[winner1-ability2],LightbringerAbilities2Scenario2[[#This Row],[ability]])+COUNTIF(Scenario2[loser1-ability2],LightbringerAbilities2Scenario2[[#This Row],[ability]])</calculatedColumnFormula>
    </tableColumn>
    <tableColumn id="3" xr3:uid="{0635DE76-BDF9-425D-8AEF-CC5655168794}" name="wins" dataDxfId="354">
      <calculatedColumnFormula>COUNTIF(Scenario2[winner1-ability2],LightbringerAbilities2Scenario2[[#This Row],[ability]])</calculatedColumnFormula>
    </tableColumn>
    <tableColumn id="4" xr3:uid="{5D047490-B112-443E-8E4D-D9E9CE757DF6}" name="battles-take-rate" dataDxfId="353">
      <calculatedColumnFormula>IF(SUM(LightbringerAbilities2Scenario2[[#This Row],[takes]]) &gt; 0,LightbringerAbilities2Scenario2[[#This Row],[takes]]/SUM(LightbringerAbilities2Scenario2[takes]),0)</calculatedColumnFormula>
    </tableColumn>
    <tableColumn id="5" xr3:uid="{D7471079-81A0-42F0-959E-272C724584A2}" name="take-win-rate" dataDxfId="352">
      <calculatedColumnFormula>IF(LightbringerAbilities2Scenario2[[#This Row],[takes]]&gt;0,LightbringerAbilities2Scenario2[[#This Row],[wins]]/LightbringerAbilities2Scenario2[[#This Row],[takes]],0)</calculatedColumnFormula>
    </tableColumn>
  </tableColumns>
  <tableStyleInfo name="TableStyleMedium2" showFirstColumn="0" showLastColumn="0" showRowStripes="1" showColumnStripes="0"/>
</table>
</file>

<file path=xl/tables/table2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9" xr:uid="{60556BF0-4E41-49BC-879D-F117DAE478B6}" name="LightbringerAbilities3Scenario2" displayName="LightbringerAbilities3Scenario2" ref="K54:O57" totalsRowShown="0" headerRowDxfId="351" headerRowBorderDxfId="350" tableBorderDxfId="349" totalsRowBorderDxfId="348">
  <autoFilter ref="K54:O57" xr:uid="{34ED10E5-B169-4BBA-8F2C-73FF473D0922}"/>
  <tableColumns count="5">
    <tableColumn id="1" xr3:uid="{4620BF1B-4B2C-4F31-A6B7-05E6C8F933AD}" name="ability"/>
    <tableColumn id="2" xr3:uid="{1EA407D8-D061-4CE1-B92E-FEB3ECF39CDE}" name="takes" dataDxfId="347">
      <calculatedColumnFormula>COUNTIF(Scenario2[winner1-ability3],LightbringerAbilities3Scenario2[[#This Row],[ability]])+COUNTIF(Scenario2[loser1-ability3],LightbringerAbilities3Scenario2[[#This Row],[ability]])</calculatedColumnFormula>
    </tableColumn>
    <tableColumn id="3" xr3:uid="{86B1BC2F-1AF9-4F70-AEC8-AAC38D3DAC29}" name="wins" dataDxfId="346">
      <calculatedColumnFormula>COUNTIF(Scenario2[winner1-ability3],LightbringerAbilities3Scenario2[[#This Row],[ability]])</calculatedColumnFormula>
    </tableColumn>
    <tableColumn id="4" xr3:uid="{311DFE61-88B3-4D35-B576-B6D2BF9CA16D}" name="battles-take-rate" dataDxfId="345">
      <calculatedColumnFormula>IF(SUM(LightbringerAbilities3Scenario2[[#This Row],[takes]]) &gt; 0,LightbringerAbilities3Scenario2[[#This Row],[takes]]/SUM(LightbringerAbilities3Scenario2[takes]),0)</calculatedColumnFormula>
    </tableColumn>
    <tableColumn id="5" xr3:uid="{813BDAB8-4498-474B-9AC0-9EC8B7E891C9}" name="take-win-rate" dataDxfId="344">
      <calculatedColumnFormula>IF(LightbringerAbilities3Scenario2[[#This Row],[takes]]&gt;0,LightbringerAbilities3Scenario2[[#This Row],[wins]]/LightbringerAbilities3Scenario2[[#This Row],[takes]],0)</calculatedColumnFormula>
    </tableColumn>
  </tableColumns>
  <tableStyleInfo name="TableStyleMedium2" showFirstColumn="0" showLastColumn="0" showRowStripes="1" showColumnStripes="0"/>
</table>
</file>

<file path=xl/tables/table2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0" xr:uid="{DFB86C43-02AE-49AA-A766-418A2D2DADEC}" name="LightbringerAbilities4Scenario2" displayName="LightbringerAbilities4Scenario2" ref="K59:O62" totalsRowShown="0" headerRowDxfId="343" headerRowBorderDxfId="342" tableBorderDxfId="341" totalsRowBorderDxfId="340">
  <autoFilter ref="K59:O62" xr:uid="{DDB7F110-02A6-4F67-8266-251AF48CB7C0}"/>
  <tableColumns count="5">
    <tableColumn id="1" xr3:uid="{10AC8AF3-38AA-4A13-B22D-4BB6F815DE68}" name="ability" dataDxfId="339"/>
    <tableColumn id="2" xr3:uid="{71D3D958-AF17-4056-8501-6475CD621FEA}" name="takes" dataDxfId="338">
      <calculatedColumnFormula>COUNTIF(Scenario2[winner1-ability4],LightbringerAbilities4Scenario2[[#This Row],[ability]])+COUNTIF(Scenario2[loser1-ability4],LightbringerAbilities4Scenario2[[#This Row],[ability]])</calculatedColumnFormula>
    </tableColumn>
    <tableColumn id="3" xr3:uid="{02C842D1-62F2-4B06-B95A-7DC391C12A94}" name="wins" dataDxfId="337">
      <calculatedColumnFormula>COUNTIF(Scenario2[winner1-ability4],LightbringerAbilities4Scenario2[[#This Row],[ability]])</calculatedColumnFormula>
    </tableColumn>
    <tableColumn id="4" xr3:uid="{14757AA8-CCDC-4DD4-89B6-B2A1BEC4DE49}" name="battles-take-rate" dataDxfId="336">
      <calculatedColumnFormula>IF(SUM(LightbringerAbilities4Scenario2[[#This Row],[takes]]) &gt; 0,LightbringerAbilities4Scenario2[[#This Row],[takes]]/SUM(LightbringerAbilities4Scenario2[takes]),0)</calculatedColumnFormula>
    </tableColumn>
    <tableColumn id="5" xr3:uid="{8B4FEE96-FA7E-4FB5-84A5-26DB26479731}" name="take-win-rate" dataDxfId="335">
      <calculatedColumnFormula>IF(LightbringerAbilities4Scenario2[[#This Row],[takes]]&gt;0,LightbringerAbilities4Scenario2[[#This Row],[wins]]/LightbringerAbilities4Scenario2[[#This Row],[takes]],0)</calculatedColumnFormula>
    </tableColumn>
  </tableColumns>
  <tableStyleInfo name="TableStyleMedium2" showFirstColumn="0" showLastColumn="0" showRowStripes="1" showColumnStripes="0"/>
</table>
</file>

<file path=xl/tables/table2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1" xr:uid="{92CEDF9E-8CC4-4B08-85B8-FF715A9D75DB}" name="LightbringerEquipScenario2" displayName="LightbringerEquipScenario2" ref="Q44:S47" totalsRowShown="0">
  <autoFilter ref="Q44:S47" xr:uid="{BDEC3E9D-FA56-4E08-A52D-2A8BEB87833A}"/>
  <tableColumns count="3">
    <tableColumn id="1" xr3:uid="{7FEB254D-BAB2-48EE-992E-3628BA6A3F33}" name="level"/>
    <tableColumn id="2" xr3:uid="{0A521553-74D4-491A-B456-F9C7D2A20F4F}" name="hammer" dataDxfId="334">
      <calculatedColumnFormula>COUNTIFS(Scenario2[winner1],"lightbringer",Scenario2[winner1-pw],LightbringerEquipScenario2[[#This Row],[level]])+COUNTIFS(Scenario2[loser1],"lightbringer",Scenario2[loser1-pw],LightbringerEquipScenario2[[#This Row],[level]])</calculatedColumnFormula>
    </tableColumn>
    <tableColumn id="4" xr3:uid="{39298028-A267-427D-8B99-3CE7DD752F1D}" name="chestpiece" dataDxfId="333">
      <calculatedColumnFormula>COUNTIFS(Scenario2[winner1],"lightbringer",Scenario2[winner1-cp],LightbringerEquipScenario2[[#This Row],[level]])+COUNTIFS(Scenario2[loser1],"lightbringer",Scenario2[loser1-cp],LightbringerEquipScenario2[[#This Row],[level]])</calculatedColumnFormula>
    </tableColumn>
  </tableColumns>
  <tableStyleInfo name="TableStyleMedium2" showFirstColumn="0" showLastColumn="0" showRowStripes="1" showColumnStripes="0"/>
</table>
</file>

<file path=xl/tables/table2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2A8CBB4D-8E86-42AB-AABA-EE39915A203D}" name="UpgradeStatistics19202122232425" displayName="UpgradeStatistics19202122232425" ref="U1:V9" totalsRowShown="0">
  <autoFilter ref="U1:V9" xr:uid="{2A8CBB4D-8E86-42AB-AABA-EE39915A203D}"/>
  <tableColumns count="2">
    <tableColumn id="1" xr3:uid="{983FF04C-065F-4B9D-9F88-72B724A0233F}" name="upgrade"/>
    <tableColumn id="3" xr3:uid="{B18C5280-EE88-470F-A5A5-1E92562926EE}" name="rate" dataDxfId="332"/>
  </tableColumns>
  <tableStyleInfo name="TableStyleMedium2" showFirstColumn="0" showLastColumn="0" showRowStripes="1" showColumnStripes="0"/>
</table>
</file>

<file path=xl/tables/table2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2" xr:uid="{5036B6AA-9539-42EA-B289-BF898D503310}" name="LightbringerAbilities1Scenario3" displayName="LightbringerAbilities1Scenario3" ref="K65:O68" totalsRowShown="0">
  <autoFilter ref="K65:O68" xr:uid="{5036B6AA-9539-42EA-B289-BF898D503310}"/>
  <tableColumns count="5">
    <tableColumn id="2" xr3:uid="{FDDEFBFA-2737-4330-BC63-D99FE3165A67}" name="ability"/>
    <tableColumn id="6" xr3:uid="{AEA10C96-F6D1-491A-BCDA-8849DFD60B62}" name="takes" dataDxfId="331">
      <calculatedColumnFormula>COUNTIF(Scenario3[winner1-ability1],LightbringerAbilities1Scenario3[[#This Row],[ability]])+COUNTIF(Scenario3[loser1-ability1],LightbringerAbilities1Scenario3[[#This Row],[ability]])+COUNTIF(Scenario3[loser2-ability1],LightbringerAbilities1Scenario3[[#This Row],[ability]])</calculatedColumnFormula>
    </tableColumn>
    <tableColumn id="4" xr3:uid="{580721F6-C357-455B-972D-0CF47F0F5215}" name="wins" dataDxfId="330">
      <calculatedColumnFormula>COUNTIF(Scenario3[winner1-ability1],LightbringerAbilities1Scenario3[[#This Row],[ability]])</calculatedColumnFormula>
    </tableColumn>
    <tableColumn id="5" xr3:uid="{442CCED2-01BE-4987-8D33-2A2A0AF05951}" name="battles-take-rate" dataDxfId="329">
      <calculatedColumnFormula>IF(SUM(LightbringerAbilities1Scenario3[[#This Row],[takes]]) &gt; 0,LightbringerAbilities1Scenario3[[#This Row],[takes]]/SUM(LightbringerAbilities1Scenario3[takes]),0)</calculatedColumnFormula>
    </tableColumn>
    <tableColumn id="7" xr3:uid="{D7E50159-862F-4ABF-988A-486614D6CF0A}" name="take-win-rate" dataDxfId="328">
      <calculatedColumnFormula>IF(LightbringerAbilities1Scenario3[[#This Row],[takes]]&gt;0,LightbringerAbilities1Scenario3[[#This Row],[wins]]/LightbringerAbilities1Scenario3[[#This Row],[takes]],0)</calculatedColumnFormula>
    </tableColumn>
  </tableColumns>
  <tableStyleInfo name="TableStyleMedium2" showFirstColumn="0" showLastColumn="0" showRowStripes="1" showColumnStripes="0"/>
</table>
</file>

<file path=xl/tables/table2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3" xr:uid="{F5EBEFDE-788E-474A-8B98-F2566F5DBF81}" name="LightbringerAbilities2Scenario3" displayName="LightbringerAbilities2Scenario3" ref="K70:O73" totalsRowShown="0" headerRowDxfId="327" headerRowBorderDxfId="326" tableBorderDxfId="325" totalsRowBorderDxfId="324">
  <autoFilter ref="K70:O73" xr:uid="{F5EBEFDE-788E-474A-8B98-F2566F5DBF81}"/>
  <tableColumns count="5">
    <tableColumn id="1" xr3:uid="{97DBEBAC-D398-4A18-940F-5E5829452B9A}" name="ability"/>
    <tableColumn id="2" xr3:uid="{36EAC00E-B795-4EC1-BF9F-787D32FF8DFA}" name="takes" dataDxfId="323">
      <calculatedColumnFormula>COUNTIF(Scenario3[winner1-ability2],LightbringerAbilities2Scenario3[[#This Row],[ability]])+COUNTIF(Scenario3[loser1-ability2],LightbringerAbilities2Scenario3[[#This Row],[ability]])+COUNTIF(Scenario3[loser2-ability2],LightbringerAbilities2Scenario3[[#This Row],[ability]])</calculatedColumnFormula>
    </tableColumn>
    <tableColumn id="3" xr3:uid="{C7963D5B-3556-4B6D-9A9F-21CD2C6C93B8}" name="wins" dataDxfId="322">
      <calculatedColumnFormula>COUNTIF(Scenario3[winner1-ability2],LightbringerAbilities2Scenario3[[#This Row],[ability]])</calculatedColumnFormula>
    </tableColumn>
    <tableColumn id="4" xr3:uid="{48A42F91-DB45-40CB-99DC-B2AEBEF1B9A0}" name="battles-take-rate" dataDxfId="321">
      <calculatedColumnFormula>IF(SUM(LightbringerAbilities2Scenario3[[#This Row],[takes]]) &gt; 0,LightbringerAbilities2Scenario3[[#This Row],[takes]]/SUM(LightbringerAbilities2Scenario3[takes]),0)</calculatedColumnFormula>
    </tableColumn>
    <tableColumn id="5" xr3:uid="{16D9D061-3906-4BDA-9D10-797B8BF37B2C}" name="take-win-rate" dataDxfId="320">
      <calculatedColumnFormula>IF(LightbringerAbilities2Scenario3[[#This Row],[takes]]&gt;0,LightbringerAbilities2Scenario3[[#This Row],[wins]]/LightbringerAbilities2Scenario3[[#This Row],[takes]],0)</calculatedColumnFormula>
    </tableColumn>
  </tableColumns>
  <tableStyleInfo name="TableStyleMedium2" showFirstColumn="0" showLastColumn="0" showRowStripes="1" showColumnStripes="0"/>
</table>
</file>

<file path=xl/tables/table2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4" xr:uid="{00353553-5562-433E-95B7-57AD0F3F3F6B}" name="LightbringerAbilities3Scenario3" displayName="LightbringerAbilities3Scenario3" ref="K75:O78" totalsRowShown="0" headerRowDxfId="319" headerRowBorderDxfId="318" tableBorderDxfId="317" totalsRowBorderDxfId="316">
  <autoFilter ref="K75:O78" xr:uid="{00353553-5562-433E-95B7-57AD0F3F3F6B}"/>
  <tableColumns count="5">
    <tableColumn id="1" xr3:uid="{70A98D39-107F-4081-BF59-2725C35917F8}" name="ability"/>
    <tableColumn id="2" xr3:uid="{3865146D-6511-4D5F-9C79-95FB0A25A52D}" name="takes" dataDxfId="315">
      <calculatedColumnFormula>COUNTIF(Scenario3[winner1-ability3],LightbringerAbilities3Scenario3[[#This Row],[ability]])+COUNTIF(Scenario3[loser1-ability3],LightbringerAbilities3Scenario3[[#This Row],[ability]])+COUNTIF(Scenario3[loser2-ability3],LightbringerAbilities3Scenario3[[#This Row],[ability]])</calculatedColumnFormula>
    </tableColumn>
    <tableColumn id="3" xr3:uid="{3299682E-D6B6-44B7-BFAF-AF90F65F3E19}" name="wins" dataDxfId="314">
      <calculatedColumnFormula>COUNTIF(Scenario3[winner1-ability3],LightbringerAbilities3Scenario3[[#This Row],[ability]])</calculatedColumnFormula>
    </tableColumn>
    <tableColumn id="4" xr3:uid="{E0297031-1158-4FAF-A378-24CA56CC0F85}" name="battles-take-rate" dataDxfId="313">
      <calculatedColumnFormula>IF(SUM(LightbringerAbilities3Scenario3[[#This Row],[takes]]) &gt; 0,LightbringerAbilities3Scenario3[[#This Row],[takes]]/SUM(LightbringerAbilities3Scenario3[takes]),0)</calculatedColumnFormula>
    </tableColumn>
    <tableColumn id="5" xr3:uid="{85C9F64C-DE37-4094-B3D1-1B65DCAE6DF2}" name="take-win-rate" dataDxfId="312">
      <calculatedColumnFormula>IF(LightbringerAbilities3Scenario3[[#This Row],[takes]]&gt;0,LightbringerAbilities3Scenario3[[#This Row],[wins]]/LightbringerAbilities3Scenario3[[#This Row],[takes]],0)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7F4368A-34C9-4286-BBA2-89F699718525}" name="ParagonAbilities2Scenario0" displayName="ParagonAbilities2Scenario0" ref="L7:P10" totalsRowShown="0" headerRowDxfId="1729" headerRowBorderDxfId="1728" tableBorderDxfId="1727" totalsRowBorderDxfId="1726">
  <autoFilter ref="L7:P10" xr:uid="{07F4368A-34C9-4286-BBA2-89F699718525}"/>
  <tableColumns count="5">
    <tableColumn id="1" xr3:uid="{B109BB57-A7EC-4486-B630-D6B0421FE6E3}" name="ability"/>
    <tableColumn id="2" xr3:uid="{CCEEF67E-5221-41DB-898B-DFE710ABC776}" name="takes" dataDxfId="1725">
      <calculatedColumnFormula>COUNTIF(Scenario0[winner1-ability2],ParagonAbilities2Scenario0[[#This Row],[ability]])+COUNTIF(Scenario0[winner2-ability2],ParagonAbilities2Scenario0[[#This Row],[ability]])+COUNTIF(Scenario0[loser1-ability2],ParagonAbilities2Scenario0[[#This Row],[ability]])+COUNTIF(Scenario0[loser2-ability2],ParagonAbilities2Scenario0[[#This Row],[ability]])</calculatedColumnFormula>
    </tableColumn>
    <tableColumn id="3" xr3:uid="{80449362-74E8-496C-A7CC-05848F1FF731}" name="wins" dataDxfId="1724">
      <calculatedColumnFormula>COUNTIF(Scenario0[winner1-ability2],ParagonAbilities2Scenario0[[#This Row],[ability]])+COUNTIF(Scenario0[winner2-ability2],ParagonAbilities2Scenario0[[#This Row],[ability]])</calculatedColumnFormula>
    </tableColumn>
    <tableColumn id="4" xr3:uid="{B2B72184-CDBB-4A8E-8363-4DA4D93C0341}" name="battles-take-rate" dataDxfId="1723">
      <calculatedColumnFormula>IF(SUM(ParagonAbilities2Scenario0[[#This Row],[takes]]) &gt; 0,ParagonAbilities2Scenario0[[#This Row],[takes]]/SUM(ParagonAbilities2Scenario0[takes]),0)</calculatedColumnFormula>
    </tableColumn>
    <tableColumn id="5" xr3:uid="{8C0F52CD-2849-48A8-972E-CEC3A6B28A83}" name="take-win-rate" dataDxfId="1722">
      <calculatedColumnFormula>IF(ParagonAbilities2Scenario0[[#This Row],[takes]]&gt;0,ParagonAbilities2Scenario0[[#This Row],[wins]]/ParagonAbilities2Scenario0[[#This Row],[takes]],0)</calculatedColumnFormula>
    </tableColumn>
  </tableColumns>
  <tableStyleInfo name="TableStyleMedium2" showFirstColumn="0" showLastColumn="0" showRowStripes="1" showColumnStripes="0"/>
</table>
</file>

<file path=xl/tables/table2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5" xr:uid="{F49F780C-91EA-4137-817A-655CE8B0C91F}" name="LightbringerAbilities4Scenario3" displayName="LightbringerAbilities4Scenario3" ref="K80:O83" totalsRowShown="0" headerRowDxfId="311" headerRowBorderDxfId="310" tableBorderDxfId="309" totalsRowBorderDxfId="308">
  <autoFilter ref="K80:O83" xr:uid="{F49F780C-91EA-4137-817A-655CE8B0C91F}"/>
  <tableColumns count="5">
    <tableColumn id="1" xr3:uid="{138AE503-6600-46A3-BBD7-4F7DDB8524ED}" name="ability" dataDxfId="307"/>
    <tableColumn id="2" xr3:uid="{38FBAF79-85EE-4F74-89FD-CD7FAD9E38AA}" name="takes" dataDxfId="306">
      <calculatedColumnFormula>COUNTIF(Scenario3[winner1-ability4],LightbringerAbilities4Scenario3[[#This Row],[ability]])+COUNTIF(Scenario3[loser1-ability4],LightbringerAbilities4Scenario3[[#This Row],[ability]])+COUNTIF(Scenario3[loser2-ability4],LightbringerAbilities4Scenario3[[#This Row],[ability]])</calculatedColumnFormula>
    </tableColumn>
    <tableColumn id="3" xr3:uid="{5990E17D-70D8-48C6-8015-31EA7BD62AA9}" name="wins" dataDxfId="305">
      <calculatedColumnFormula>COUNTIF(Scenario3[winner1-ability4],LightbringerAbilities4Scenario3[[#This Row],[ability]])</calculatedColumnFormula>
    </tableColumn>
    <tableColumn id="4" xr3:uid="{1A9F0BCE-5FB4-44B7-A642-F0622DC4289B}" name="battles-take-rate" dataDxfId="304">
      <calculatedColumnFormula>IF(SUM(LightbringerAbilities4Scenario3[[#This Row],[takes]]) &gt; 0,LightbringerAbilities4Scenario3[[#This Row],[takes]]/SUM(LightbringerAbilities4Scenario3[takes]),0)</calculatedColumnFormula>
    </tableColumn>
    <tableColumn id="5" xr3:uid="{FFBB9DC6-8DE1-4E92-8025-E1363B57D5BC}" name="take-win-rate" dataDxfId="303">
      <calculatedColumnFormula>IF(LightbringerAbilities4Scenario3[[#This Row],[takes]]&gt;0,LightbringerAbilities4Scenario3[[#This Row],[wins]]/LightbringerAbilities4Scenario3[[#This Row],[takes]],0)</calculatedColumnFormula>
    </tableColumn>
  </tableColumns>
  <tableStyleInfo name="TableStyleMedium2" showFirstColumn="0" showLastColumn="0" showRowStripes="1" showColumnStripes="0"/>
</table>
</file>

<file path=xl/tables/table2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6" xr:uid="{75A53A27-D646-4C45-84CC-049AB3EBD586}" name="LightbringerEquipScenario3" displayName="LightbringerEquipScenario3" ref="Q65:S68" totalsRowShown="0">
  <autoFilter ref="Q65:S68" xr:uid="{75A53A27-D646-4C45-84CC-049AB3EBD586}"/>
  <tableColumns count="3">
    <tableColumn id="1" xr3:uid="{F487DB9C-FF57-4A8E-B250-ADDCB775C465}" name="level"/>
    <tableColumn id="2" xr3:uid="{272FA552-31F6-4B9B-B13E-60E4A1800256}" name="hammer" dataDxfId="302">
      <calculatedColumnFormula>COUNTIFS(Scenario3[winner1],"lightbringer",Scenario3[winner1-pw],LightbringerEquipScenario3[[#This Row],[level]])+COUNTIFS(Scenario3[loser1],"lightbringer",Scenario3[loser1-pw],LightbringerEquipScenario3[[#This Row],[level]])+COUNTIFS(Scenario3[loser2],"lightbringer",Scenario3[loser2-pw],LightbringerEquipScenario3[[#This Row],[level]])</calculatedColumnFormula>
    </tableColumn>
    <tableColumn id="4" xr3:uid="{21B2F007-8CB3-4263-BC41-FCC404EA6C1B}" name="chestpiece" dataDxfId="301">
      <calculatedColumnFormula>COUNTIFS(Scenario3[winner1],"lightbringer",Scenario3[winner1-cp],LightbringerEquipScenario3[[#This Row],[level]])+COUNTIFS(Scenario3[loser1],"lightbringer",Scenario3[loser1-cp],LightbringerEquipScenario3[[#This Row],[level]])+COUNTIFS(Scenario3[loser2],"lightbringer",Scenario3[loser2-cp],LightbringerEquipScenario3[[#This Row],[level]])</calculatedColumnFormula>
    </tableColumn>
  </tableColumns>
  <tableStyleInfo name="TableStyleMedium2" showFirstColumn="0" showLastColumn="0" showRowStripes="1" showColumnStripes="0"/>
</table>
</file>

<file path=xl/tables/table2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5" xr:uid="{8CBC275A-92CA-4AA7-864D-6AF8819D27C9}" name="LightbringerAbilities1Scenario4" displayName="LightbringerAbilities1Scenario4" ref="K86:O89" totalsRowShown="0">
  <autoFilter ref="K86:O89" xr:uid="{8CBC275A-92CA-4AA7-864D-6AF8819D27C9}"/>
  <tableColumns count="5">
    <tableColumn id="2" xr3:uid="{7732ECD8-D14F-45A2-9D27-015E756A6E63}" name="ability"/>
    <tableColumn id="6" xr3:uid="{5CA1F7FD-5257-42B3-9055-FA9F1FFC0139}" name="takes" dataDxfId="300">
      <calculatedColumnFormula>COUNTIF(Scenario4[winner1-ability1],LightbringerAbilities1Scenario4[[#This Row],[ability]])+COUNTIF(Scenario4[loser1-ability1],LightbringerAbilities1Scenario4[[#This Row],[ability]])+COUNTIF(Scenario4[loser2-ability1],LightbringerAbilities1Scenario4[[#This Row],[ability]])+COUNTIF(Scenario4[loser3-ability1],LightbringerAbilities1Scenario4[[#This Row],[ability]])</calculatedColumnFormula>
    </tableColumn>
    <tableColumn id="4" xr3:uid="{150247CB-E9F2-440A-8EBD-D49FA1F30850}" name="wins" dataDxfId="299">
      <calculatedColumnFormula>COUNTIF(Scenario4[winner1-ability1],LightbringerAbilities1Scenario4[[#This Row],[ability]])</calculatedColumnFormula>
    </tableColumn>
    <tableColumn id="5" xr3:uid="{45178AAD-4B51-4D67-85F4-62CE355238B1}" name="battles-take-rate" dataDxfId="298">
      <calculatedColumnFormula>IF(SUM(LightbringerAbilities1Scenario4[[#This Row],[takes]]) &gt; 0,LightbringerAbilities1Scenario4[[#This Row],[takes]]/SUM(LightbringerAbilities1Scenario4[takes]),0)</calculatedColumnFormula>
    </tableColumn>
    <tableColumn id="7" xr3:uid="{9775AB3B-D328-43FF-9A5F-D3845CE37BE8}" name="take-win-rate" dataDxfId="297">
      <calculatedColumnFormula>IF(LightbringerAbilities1Scenario4[[#This Row],[takes]]&gt;0,LightbringerAbilities1Scenario4[[#This Row],[wins]]/LightbringerAbilities1Scenario4[[#This Row],[takes]],0)</calculatedColumnFormula>
    </tableColumn>
  </tableColumns>
  <tableStyleInfo name="TableStyleMedium2" showFirstColumn="0" showLastColumn="0" showRowStripes="1" showColumnStripes="0"/>
</table>
</file>

<file path=xl/tables/table2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6" xr:uid="{14B45FBE-E55C-4AA9-A337-6E97F36FD88E}" name="LightbringerAbilities2Scenario4" displayName="LightbringerAbilities2Scenario4" ref="K91:O94" totalsRowShown="0" headerRowDxfId="296" headerRowBorderDxfId="295" tableBorderDxfId="294" totalsRowBorderDxfId="293">
  <autoFilter ref="K91:O94" xr:uid="{14B45FBE-E55C-4AA9-A337-6E97F36FD88E}"/>
  <tableColumns count="5">
    <tableColumn id="1" xr3:uid="{68AA52AA-6B87-4C6B-9F20-0B05F86370E8}" name="ability"/>
    <tableColumn id="2" xr3:uid="{75E39195-DEC2-4FBB-9BB8-DDCA40F58A85}" name="takes" dataDxfId="292">
      <calculatedColumnFormula>COUNTIF(Scenario4[winner1-ability2],LightbringerAbilities2Scenario4[[#This Row],[ability]])+COUNTIF(Scenario4[loser1-ability2],LightbringerAbilities2Scenario4[[#This Row],[ability]])+COUNTIF(Scenario4[loser2-ability2],LightbringerAbilities2Scenario4[[#This Row],[ability]])+COUNTIF(Scenario4[loser3-ability2],LightbringerAbilities2Scenario4[[#This Row],[ability]])</calculatedColumnFormula>
    </tableColumn>
    <tableColumn id="3" xr3:uid="{E5262F2C-8ECA-418E-B4BA-77FAE69CB49C}" name="wins" dataDxfId="291">
      <calculatedColumnFormula>COUNTIF(Scenario4[winner1-ability2],LightbringerAbilities2Scenario4[[#This Row],[ability]])</calculatedColumnFormula>
    </tableColumn>
    <tableColumn id="4" xr3:uid="{EBE016AC-7FDA-442C-9388-CD751A608501}" name="battles-take-rate" dataDxfId="290">
      <calculatedColumnFormula>IF(SUM(LightbringerAbilities2Scenario4[[#This Row],[takes]]) &gt; 0,LightbringerAbilities2Scenario4[[#This Row],[takes]]/SUM(LightbringerAbilities2Scenario4[takes]),0)</calculatedColumnFormula>
    </tableColumn>
    <tableColumn id="5" xr3:uid="{DF887F2D-474B-4047-A2B8-7128AB2C9443}" name="take-win-rate" dataDxfId="289">
      <calculatedColumnFormula>IF(LightbringerAbilities2Scenario4[[#This Row],[takes]]&gt;0,LightbringerAbilities2Scenario4[[#This Row],[wins]]/LightbringerAbilities2Scenario4[[#This Row],[takes]],0)</calculatedColumnFormula>
    </tableColumn>
  </tableColumns>
  <tableStyleInfo name="TableStyleMedium2" showFirstColumn="0" showLastColumn="0" showRowStripes="1" showColumnStripes="0"/>
</table>
</file>

<file path=xl/tables/table2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7" xr:uid="{01D53B96-86CA-4EFF-87A2-60AD31557C34}" name="LightbringerAbilities3Scenario4" displayName="LightbringerAbilities3Scenario4" ref="K96:O99" totalsRowShown="0" headerRowDxfId="288" headerRowBorderDxfId="287" tableBorderDxfId="286" totalsRowBorderDxfId="285">
  <autoFilter ref="K96:O99" xr:uid="{01D53B96-86CA-4EFF-87A2-60AD31557C34}"/>
  <tableColumns count="5">
    <tableColumn id="1" xr3:uid="{FAB0BE08-D61B-4F2B-87E3-A4A71430E684}" name="ability"/>
    <tableColumn id="2" xr3:uid="{3AD74C74-B80E-476B-AEC4-24ABC016E874}" name="takes" dataDxfId="284">
      <calculatedColumnFormula>COUNTIF(Scenario4[winner1-ability3],LightbringerAbilities3Scenario4[[#This Row],[ability]])+COUNTIF(Scenario4[loser1-ability3],LightbringerAbilities3Scenario4[[#This Row],[ability]])+COUNTIF(Scenario4[loser2-ability3],LightbringerAbilities3Scenario4[[#This Row],[ability]])+COUNTIF(Scenario4[loser3-ability3],LightbringerAbilities3Scenario4[[#This Row],[ability]])</calculatedColumnFormula>
    </tableColumn>
    <tableColumn id="3" xr3:uid="{EDC0EDD5-49AC-4CA4-BE1E-0D5D2C427B0B}" name="wins" dataDxfId="283">
      <calculatedColumnFormula>COUNTIF(Scenario4[winner1-ability3],LightbringerAbilities3Scenario4[[#This Row],[ability]])</calculatedColumnFormula>
    </tableColumn>
    <tableColumn id="4" xr3:uid="{11AEA053-B930-4F0D-A4CB-EA26416CD3B0}" name="battles-take-rate" dataDxfId="282">
      <calculatedColumnFormula>IF(SUM(LightbringerAbilities3Scenario4[[#This Row],[takes]]) &gt; 0,LightbringerAbilities3Scenario4[[#This Row],[takes]]/SUM(LightbringerAbilities3Scenario4[takes]),0)</calculatedColumnFormula>
    </tableColumn>
    <tableColumn id="5" xr3:uid="{1768B116-0871-4CAF-B162-2E04112130B5}" name="take-win-rate" dataDxfId="281">
      <calculatedColumnFormula>IF(LightbringerAbilities3Scenario4[[#This Row],[takes]]&gt;0,LightbringerAbilities3Scenario4[[#This Row],[wins]]/LightbringerAbilities3Scenario4[[#This Row],[takes]],0)</calculatedColumnFormula>
    </tableColumn>
  </tableColumns>
  <tableStyleInfo name="TableStyleMedium2" showFirstColumn="0" showLastColumn="0" showRowStripes="1" showColumnStripes="0"/>
</table>
</file>

<file path=xl/tables/table2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8" xr:uid="{C6F46D23-B1D4-4713-9D97-360EE74CE1F5}" name="LightbringerAbilities4Scenario4" displayName="LightbringerAbilities4Scenario4" ref="K101:O104" totalsRowShown="0" headerRowDxfId="280" headerRowBorderDxfId="279" tableBorderDxfId="278" totalsRowBorderDxfId="277">
  <autoFilter ref="K101:O104" xr:uid="{C6F46D23-B1D4-4713-9D97-360EE74CE1F5}"/>
  <tableColumns count="5">
    <tableColumn id="1" xr3:uid="{B3B7DCCA-7B08-4F79-AC94-5F36F2CC9893}" name="ability" dataDxfId="276"/>
    <tableColumn id="2" xr3:uid="{72F61BD1-75B1-4082-BCF0-F09B0A4179AF}" name="takes" dataDxfId="275">
      <calculatedColumnFormula>COUNTIF(Scenario4[winner1-ability4],LightbringerAbilities4Scenario4[[#This Row],[ability]])+COUNTIF(Scenario4[loser1-ability4],LightbringerAbilities4Scenario4[[#This Row],[ability]])+COUNTIF(Scenario4[loser2-ability4],LightbringerAbilities4Scenario4[[#This Row],[ability]])+COUNTIF(Scenario4[loser3-ability4],LightbringerAbilities4Scenario4[[#This Row],[ability]])</calculatedColumnFormula>
    </tableColumn>
    <tableColumn id="3" xr3:uid="{0AD96460-701E-423A-8C0E-755559F3E9E3}" name="wins" dataDxfId="274">
      <calculatedColumnFormula>COUNTIF(Scenario4[winner1-ability4],LightbringerAbilities4Scenario4[[#This Row],[ability]])</calculatedColumnFormula>
    </tableColumn>
    <tableColumn id="4" xr3:uid="{EFC8BBAB-2D7F-4055-9E8D-A279EDB458FC}" name="battles-take-rate" dataDxfId="273">
      <calculatedColumnFormula>IF(SUM(LightbringerAbilities4Scenario4[[#This Row],[takes]]) &gt; 0,LightbringerAbilities4Scenario4[[#This Row],[takes]]/SUM(LightbringerAbilities4Scenario4[takes]),0)</calculatedColumnFormula>
    </tableColumn>
    <tableColumn id="5" xr3:uid="{A06B4A88-67E4-49BA-832F-653BBD804796}" name="take-win-rate" dataDxfId="272">
      <calculatedColumnFormula>IF(LightbringerAbilities4Scenario4[[#This Row],[takes]]&gt;0,LightbringerAbilities4Scenario4[[#This Row],[wins]]/LightbringerAbilities4Scenario4[[#This Row],[takes]],0)</calculatedColumnFormula>
    </tableColumn>
  </tableColumns>
  <tableStyleInfo name="TableStyleMedium2" showFirstColumn="0" showLastColumn="0" showRowStripes="1" showColumnStripes="0"/>
</table>
</file>

<file path=xl/tables/table2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9" xr:uid="{4FAA8F81-EE81-4212-B751-4E5BF3C05695}" name="LightbringerEquipScenario4" displayName="LightbringerEquipScenario4" ref="Q86:S89" totalsRowShown="0">
  <autoFilter ref="Q86:S89" xr:uid="{4FAA8F81-EE81-4212-B751-4E5BF3C05695}"/>
  <tableColumns count="3">
    <tableColumn id="1" xr3:uid="{AAF80707-B889-48AF-AAB3-DB3FD72669F3}" name="level"/>
    <tableColumn id="2" xr3:uid="{4F6394F6-4F36-417C-9D11-045D7F910BA7}" name="hammer" dataDxfId="271">
      <calculatedColumnFormula>COUNTIFS(Scenario4[winner1],"lightbringer",Scenario4[winner1-pw],LightbringerEquipScenario4[[#This Row],[level]])+COUNTIFS(Scenario4[loser1],"lightbringer",Scenario4[loser1-pw],LightbringerEquipScenario4[[#This Row],[level]])+COUNTIFS(Scenario4[loser2],"lightbringer",Scenario4[loser2-pw],LightbringerEquipScenario4[[#This Row],[level]])+COUNTIFS(Scenario4[loser3],"lightbringer",Scenario4[loser3-pw],LightbringerEquipScenario4[[#This Row],[level]])</calculatedColumnFormula>
    </tableColumn>
    <tableColumn id="4" xr3:uid="{9FA648ED-B50C-413D-B04A-13CEDA00807F}" name="chestpiece" dataDxfId="270">
      <calculatedColumnFormula>COUNTIFS(Scenario4[winner1],"lightbringer",Scenario4[winner1-cp],LightbringerEquipScenario4[[#This Row],[level]])+COUNTIFS(Scenario4[loser1],"lightbringer",Scenario4[loser1-cp],LightbringerEquipScenario4[[#This Row],[level]])+COUNTIFS(Scenario4[loser2],"lightbringer",Scenario4[loser2-cp],LightbringerEquipScenario4[[#This Row],[level]])+COUNTIFS(Scenario4[loser3],"lightbringer",Scenario4[loser3-cp],LightbringerEquipScenario4[[#This Row],[level]])</calculatedColumnFormula>
    </tableColumn>
  </tableColumns>
  <tableStyleInfo name="TableStyleMedium2" showFirstColumn="0" showLastColumn="0" showRowStripes="1" showColumnStripes="0"/>
</table>
</file>

<file path=xl/tables/table2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8" xr:uid="{D3919796-2925-407E-AA1B-D4D0AD893173}" name="LightbringerAbilities1Scenario5" displayName="LightbringerAbilities1Scenario5" ref="K107:O110" totalsRowShown="0">
  <autoFilter ref="K107:O110" xr:uid="{D3919796-2925-407E-AA1B-D4D0AD893173}"/>
  <tableColumns count="5">
    <tableColumn id="2" xr3:uid="{6E94E567-5D30-472A-B808-E2F125E9A03A}" name="ability"/>
    <tableColumn id="6" xr3:uid="{220C3D40-5718-44F2-95F4-CDB83D5E8AF3}" name="takes" dataDxfId="269">
      <calculatedColumnFormula>COUNTIF(Scenario5[winner1-ability1],LightbringerAbilities1Scenario5[[#This Row],[ability]])+COUNTIF(Scenario5[winner2-ability1],LightbringerAbilities1Scenario5[[#This Row],[ability]])+COUNTIF(Scenario5[loser1-ability1],LightbringerAbilities1Scenario5[[#This Row],[ability]])+COUNTIF(Scenario5[loser2-ability1],LightbringerAbilities1Scenario5[[#This Row],[ability]])</calculatedColumnFormula>
    </tableColumn>
    <tableColumn id="4" xr3:uid="{F82A0C31-4129-4E9F-AF8C-6A90D6110911}" name="wins" dataDxfId="268">
      <calculatedColumnFormula>COUNTIF(Scenario5[winner1-ability1],LightbringerAbilities1Scenario5[[#This Row],[ability]])+COUNTIF(Scenario5[winner2-ability1],LightbringerAbilities1Scenario5[[#This Row],[ability]])</calculatedColumnFormula>
    </tableColumn>
    <tableColumn id="5" xr3:uid="{CEAF9246-63A3-4AE9-B599-EE3035D9E99A}" name="battles-take-rate" dataDxfId="267">
      <calculatedColumnFormula>IF(SUM(LightbringerAbilities1Scenario5[[#This Row],[takes]]) &gt; 0,LightbringerAbilities1Scenario5[[#This Row],[takes]]/SUM(LightbringerAbilities1Scenario5[takes]),0)</calculatedColumnFormula>
    </tableColumn>
    <tableColumn id="7" xr3:uid="{2ADE0021-D82A-4172-AD04-99525C7B914A}" name="take-win-rate" dataDxfId="266">
      <calculatedColumnFormula>IF(LightbringerAbilities1Scenario5[[#This Row],[takes]]&gt;0,LightbringerAbilities1Scenario5[[#This Row],[wins]]/LightbringerAbilities1Scenario5[[#This Row],[takes]],0)</calculatedColumnFormula>
    </tableColumn>
  </tableColumns>
  <tableStyleInfo name="TableStyleMedium2" showFirstColumn="0" showLastColumn="0" showRowStripes="1" showColumnStripes="0"/>
</table>
</file>

<file path=xl/tables/table2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9" xr:uid="{59C9578F-58C4-4FFD-B7BD-BB4F23F77E26}" name="LightbringerAbilities2Scenario5" displayName="LightbringerAbilities2Scenario5" ref="K112:O115" totalsRowShown="0" headerRowDxfId="265" headerRowBorderDxfId="264" tableBorderDxfId="263" totalsRowBorderDxfId="262">
  <autoFilter ref="K112:O115" xr:uid="{59C9578F-58C4-4FFD-B7BD-BB4F23F77E26}"/>
  <tableColumns count="5">
    <tableColumn id="1" xr3:uid="{EB612310-5F0E-4933-B95C-006BBB8CB807}" name="ability"/>
    <tableColumn id="2" xr3:uid="{8173D447-E95C-4723-B6CF-9A7B03B71F11}" name="takes" dataDxfId="261">
      <calculatedColumnFormula>COUNTIF(Scenario5[winner1-ability2],LightbringerAbilities2Scenario5[[#This Row],[ability]])+COUNTIF(Scenario5[winner2-ability2],LightbringerAbilities2Scenario5[[#This Row],[ability]])+COUNTIF(Scenario5[loser1-ability2],LightbringerAbilities2Scenario5[[#This Row],[ability]])+COUNTIF(Scenario5[loser2-ability2],LightbringerAbilities2Scenario5[[#This Row],[ability]])</calculatedColumnFormula>
    </tableColumn>
    <tableColumn id="3" xr3:uid="{2F5C190B-78D5-4B38-87C6-A51AA6E48ED0}" name="wins" dataDxfId="260">
      <calculatedColumnFormula>COUNTIF(Scenario5[winner1-ability2],LightbringerAbilities2Scenario5[[#This Row],[ability]])+COUNTIF(Scenario5[winner2-ability2],LightbringerAbilities2Scenario5[[#This Row],[ability]])</calculatedColumnFormula>
    </tableColumn>
    <tableColumn id="4" xr3:uid="{7776F8A1-49ED-4A1A-9839-9FB013D32130}" name="battles-take-rate" dataDxfId="259">
      <calculatedColumnFormula>IF(SUM(LightbringerAbilities2Scenario5[[#This Row],[takes]]) &gt; 0,LightbringerAbilities2Scenario5[[#This Row],[takes]]/SUM(LightbringerAbilities2Scenario5[takes]),0)</calculatedColumnFormula>
    </tableColumn>
    <tableColumn id="5" xr3:uid="{97845D62-BE7D-4C60-BD69-2BD0CF96E2EC}" name="take-win-rate" dataDxfId="258">
      <calculatedColumnFormula>IF(LightbringerAbilities2Scenario5[[#This Row],[takes]]&gt;0,LightbringerAbilities2Scenario5[[#This Row],[wins]]/LightbringerAbilities2Scenario5[[#This Row],[takes]],0)</calculatedColumnFormula>
    </tableColumn>
  </tableColumns>
  <tableStyleInfo name="TableStyleMedium2" showFirstColumn="0" showLastColumn="0" showRowStripes="1" showColumnStripes="0"/>
</table>
</file>

<file path=xl/tables/table2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0" xr:uid="{10D791F8-4755-4EAA-949C-E4A5FA795A25}" name="LightbringerAbilities3Scenario5" displayName="LightbringerAbilities3Scenario5" ref="K117:O120" totalsRowShown="0" headerRowDxfId="257" headerRowBorderDxfId="256" tableBorderDxfId="255" totalsRowBorderDxfId="254">
  <autoFilter ref="K117:O120" xr:uid="{10D791F8-4755-4EAA-949C-E4A5FA795A25}"/>
  <tableColumns count="5">
    <tableColumn id="1" xr3:uid="{0C09DE1B-5BE3-403C-B3EA-E82FCFA9955B}" name="ability"/>
    <tableColumn id="2" xr3:uid="{0FAAD5B6-1331-4AA2-9553-8708D068DC70}" name="takes" dataDxfId="253">
      <calculatedColumnFormula>COUNTIF(Scenario5[winner1-ability3],LightbringerAbilities3Scenario5[[#This Row],[ability]])+COUNTIF(Scenario5[winner2-ability3],LightbringerAbilities3Scenario5[[#This Row],[ability]])+COUNTIF(Scenario5[loser1-ability3],LightbringerAbilities3Scenario5[[#This Row],[ability]])+COUNTIF(Scenario5[loser2-ability3],LightbringerAbilities3Scenario5[[#This Row],[ability]])</calculatedColumnFormula>
    </tableColumn>
    <tableColumn id="3" xr3:uid="{7F3B17DF-C1DB-4719-836A-BD9915F49D42}" name="wins" dataDxfId="252">
      <calculatedColumnFormula>COUNTIF(Scenario5[winner1-ability3],LightbringerAbilities3Scenario5[[#This Row],[ability]])+COUNTIF(Scenario5[winner2-ability3],LightbringerAbilities3Scenario5[[#This Row],[ability]])</calculatedColumnFormula>
    </tableColumn>
    <tableColumn id="4" xr3:uid="{B656AD39-B61A-4A8C-A910-9B41EE835B3A}" name="battles-take-rate" dataDxfId="251">
      <calculatedColumnFormula>IF(SUM(LightbringerAbilities3Scenario5[[#This Row],[takes]]) &gt; 0,LightbringerAbilities3Scenario5[[#This Row],[takes]]/SUM(LightbringerAbilities3Scenario5[takes]),0)</calculatedColumnFormula>
    </tableColumn>
    <tableColumn id="5" xr3:uid="{9ADFE9E4-DA06-45D6-9A70-2D280CF39A85}" name="take-win-rate" dataDxfId="250">
      <calculatedColumnFormula>IF(LightbringerAbilities3Scenario5[[#This Row],[takes]]&gt;0,LightbringerAbilities3Scenario5[[#This Row],[wins]]/LightbringerAbilities3Scenario5[[#This Row],[takes]],0)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E8520742-705B-4A78-A5FD-1F57726A369B}" name="ParagonAbilities3Scenario0" displayName="ParagonAbilities3Scenario0" ref="L12:P15" totalsRowShown="0" headerRowDxfId="1721" headerRowBorderDxfId="1720" tableBorderDxfId="1719" totalsRowBorderDxfId="1718">
  <autoFilter ref="L12:P15" xr:uid="{E8520742-705B-4A78-A5FD-1F57726A369B}"/>
  <tableColumns count="5">
    <tableColumn id="1" xr3:uid="{0B03644D-58AD-4F93-A72F-62270FC975A5}" name="ability"/>
    <tableColumn id="2" xr3:uid="{CF02BA2B-D8FA-459A-BB70-6D920C35B223}" name="takes" dataDxfId="1717">
      <calculatedColumnFormula>COUNTIF(Scenario0[winner1-ability3],ParagonAbilities3Scenario0[[#This Row],[ability]])+COUNTIF(Scenario0[winner2-ability3],ParagonAbilities3Scenario0[[#This Row],[ability]])+COUNTIF(Scenario0[loser1-ability3],ParagonAbilities3Scenario0[[#This Row],[ability]])+COUNTIF(Scenario0[loser2-ability3],ParagonAbilities3Scenario0[[#This Row],[ability]])</calculatedColumnFormula>
    </tableColumn>
    <tableColumn id="3" xr3:uid="{608F9E5A-8540-4401-9645-0168287996AE}" name="wins" dataDxfId="1716">
      <calculatedColumnFormula>COUNTIF(Scenario0[winner1-ability3],ParagonAbilities3Scenario0[[#This Row],[ability]])+COUNTIF(Scenario0[winner2-ability3],ParagonAbilities3Scenario0[[#This Row],[ability]])</calculatedColumnFormula>
    </tableColumn>
    <tableColumn id="4" xr3:uid="{AFC9068C-1AEB-40AF-B1E9-7CFED44EDF9E}" name="battles-take-rate" dataDxfId="1715">
      <calculatedColumnFormula>IF(SUM(ParagonAbilities3Scenario0[[#This Row],[takes]]) &gt; 0,ParagonAbilities3Scenario0[[#This Row],[takes]]/SUM(ParagonAbilities3Scenario0[takes]),0)</calculatedColumnFormula>
    </tableColumn>
    <tableColumn id="5" xr3:uid="{13A507F7-7F1D-4AA2-B014-AF900F5E8BB5}" name="take-win-rate" dataDxfId="1714">
      <calculatedColumnFormula>IF(ParagonAbilities3Scenario0[[#This Row],[takes]]&gt;0,ParagonAbilities3Scenario0[[#This Row],[wins]]/ParagonAbilities3Scenario0[[#This Row],[takes]],0)</calculatedColumnFormula>
    </tableColumn>
  </tableColumns>
  <tableStyleInfo name="TableStyleMedium2" showFirstColumn="0" showLastColumn="0" showRowStripes="1" showColumnStripes="0"/>
</table>
</file>

<file path=xl/tables/table2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1" xr:uid="{1A744E4A-3571-459A-BF22-53EBC8CB38DE}" name="LightbringerAbilities4Scenario5" displayName="LightbringerAbilities4Scenario5" ref="K122:O125" totalsRowShown="0" headerRowDxfId="249" headerRowBorderDxfId="248" tableBorderDxfId="247" totalsRowBorderDxfId="246">
  <autoFilter ref="K122:O125" xr:uid="{1A744E4A-3571-459A-BF22-53EBC8CB38DE}"/>
  <tableColumns count="5">
    <tableColumn id="1" xr3:uid="{979953D5-0824-493D-B92F-3E4881005717}" name="ability" dataDxfId="245"/>
    <tableColumn id="2" xr3:uid="{4ED6C1EE-CA65-44BD-8EB5-9DEE908DECE5}" name="takes" dataDxfId="244">
      <calculatedColumnFormula>COUNTIF(Scenario5[winner1-ability4],LightbringerAbilities4Scenario5[[#This Row],[ability]])+COUNTIF(Scenario5[winner2-ability4],LightbringerAbilities4Scenario5[[#This Row],[ability]])+COUNTIF(Scenario5[loser1-ability4],LightbringerAbilities4Scenario5[[#This Row],[ability]])+COUNTIF(Scenario5[loser2-ability4],LightbringerAbilities4Scenario5[[#This Row],[ability]])</calculatedColumnFormula>
    </tableColumn>
    <tableColumn id="3" xr3:uid="{91D324BB-E78E-4AD4-9EEC-96E80F697378}" name="wins" dataDxfId="243">
      <calculatedColumnFormula>COUNTIF(Scenario5[winner1-ability4],LightbringerAbilities4Scenario5[[#This Row],[ability]])+COUNTIF(Scenario5[winner2-ability4],LightbringerAbilities4Scenario5[[#This Row],[ability]])</calculatedColumnFormula>
    </tableColumn>
    <tableColumn id="4" xr3:uid="{782A1EFD-1559-43A9-88D1-F5011F075EB4}" name="battles-take-rate" dataDxfId="242">
      <calculatedColumnFormula>IF(SUM(LightbringerAbilities4Scenario5[[#This Row],[takes]]) &gt; 0,LightbringerAbilities4Scenario5[[#This Row],[takes]]/SUM(LightbringerAbilities4Scenario5[takes]),0)</calculatedColumnFormula>
    </tableColumn>
    <tableColumn id="5" xr3:uid="{3F8A5364-5D16-4F7C-9388-50CC4333B356}" name="take-win-rate" dataDxfId="241">
      <calculatedColumnFormula>IF(LightbringerAbilities4Scenario5[[#This Row],[takes]]&gt;0,LightbringerAbilities4Scenario5[[#This Row],[wins]]/LightbringerAbilities4Scenario5[[#This Row],[takes]],0)</calculatedColumnFormula>
    </tableColumn>
  </tableColumns>
  <tableStyleInfo name="TableStyleMedium2" showFirstColumn="0" showLastColumn="0" showRowStripes="1" showColumnStripes="0"/>
</table>
</file>

<file path=xl/tables/table2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2" xr:uid="{B5B76F21-ADA4-4D86-9762-A5A6EF4D9E68}" name="LightbringerEquipScenario5" displayName="LightbringerEquipScenario5" ref="Q107:S110" totalsRowShown="0">
  <autoFilter ref="Q107:S110" xr:uid="{B5B76F21-ADA4-4D86-9762-A5A6EF4D9E68}"/>
  <tableColumns count="3">
    <tableColumn id="1" xr3:uid="{5564E2E8-143B-459E-8F9E-BDCC1F9FBFF6}" name="level"/>
    <tableColumn id="2" xr3:uid="{047FC288-8223-4EFF-8E97-305EDD307F49}" name="hammer" dataDxfId="240">
      <calculatedColumnFormula>COUNTIFS(Scenario5[winner1],"lightbringer",Scenario5[winner1-pw],LightbringerEquipScenario5[[#This Row],[level]])+COUNTIFS(Scenario5[winner2],"lightbringer",Scenario5[winner2-pw],LightbringerEquipScenario5[[#This Row],[level]])+COUNTIFS(Scenario5[loser1],"lightbringer",Scenario5[loser1-pw],LightbringerEquipScenario5[[#This Row],[level]])+COUNTIFS(Scenario5[loser2],"lightbringer",Scenario5[loser2-pw],LightbringerEquipScenario5[[#This Row],[level]])</calculatedColumnFormula>
    </tableColumn>
    <tableColumn id="4" xr3:uid="{4ED5C65E-950E-4A8A-AF93-97BEB82E0169}" name="chestpiece" dataDxfId="239">
      <calculatedColumnFormula>COUNTIFS(Scenario5[winner1],"lightbringer",Scenario5[winner1-cp],LightbringerEquipScenario5[[#This Row],[level]])+COUNTIFS(Scenario5[winner2],"lightbringer",Scenario5[winner2-cp],LightbringerEquipScenario5[[#This Row],[level]])+COUNTIFS(Scenario5[loser1],"lightbringer",Scenario5[loser1-cp],LightbringerEquipScenario5[[#This Row],[level]])+COUNTIFS(Scenario5[loser2],"lightbringer",Scenario5[loser2-cp],LightbringerEquipScenario5[[#This Row],[level]])</calculatedColumnFormula>
    </tableColumn>
  </tableColumns>
  <tableStyleInfo name="TableStyleMedium2" showFirstColumn="0" showLastColumn="0" showRowStripes="1" showColumnStripes="0"/>
</table>
</file>

<file path=xl/tables/table2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2" xr:uid="{2F143F6A-33A1-423E-9345-995F9DF4A3CE}" name="AvengerAbilities1" displayName="AvengerAbilities1" ref="A2:E5" totalsRowShown="0">
  <autoFilter ref="A2:E5" xr:uid="{DCA301F1-E0F8-4700-BEE5-2688AF43F23A}"/>
  <tableColumns count="5">
    <tableColumn id="2" xr3:uid="{6CAF2FBB-F49B-4ACC-A9D4-0D6B8548174D}" name="ability"/>
    <tableColumn id="6" xr3:uid="{965AAA94-89E6-4C03-BC75-94A000E5C1E4}" name="takes" dataDxfId="238">
      <calculatedColumnFormula>M3+M24+M45+M66+M87+M108</calculatedColumnFormula>
    </tableColumn>
    <tableColumn id="4" xr3:uid="{CDAB9E23-22AA-4C01-8C82-A6CA62B02527}" name="wins" dataDxfId="237">
      <calculatedColumnFormula>N3+N24+N45+N66+N87+N108</calculatedColumnFormula>
    </tableColumn>
    <tableColumn id="5" xr3:uid="{10E225D8-ED8B-4DEA-B697-D56C9AC10EDE}" name="battles-take-rate" dataDxfId="236">
      <calculatedColumnFormula>IF(SUM(AvengerAbilities1[[#This Row],[takes]]) &gt; 0,AvengerAbilities1[[#This Row],[takes]]/SUM(AvengerAbilities1[takes]),0)</calculatedColumnFormula>
    </tableColumn>
    <tableColumn id="7" xr3:uid="{24208BF5-9BB0-4200-8862-7B2A2A79E720}" name="take-win-rate" dataDxfId="235">
      <calculatedColumnFormula>IF(AvengerAbilities1[[#This Row],[takes]]&gt;0,AvengerAbilities1[[#This Row],[wins]]/AvengerAbilities1[[#This Row],[takes]],0)</calculatedColumnFormula>
    </tableColumn>
  </tableColumns>
  <tableStyleInfo name="TableStyleMedium2" showFirstColumn="0" showLastColumn="0" showRowStripes="1" showColumnStripes="0"/>
</table>
</file>

<file path=xl/tables/table2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3" xr:uid="{69EC67BB-B09D-4C4C-981A-209F503DC5AB}" name="AvengerAbilities2" displayName="AvengerAbilities2" ref="A7:E10" totalsRowShown="0" headerRowDxfId="234" headerRowBorderDxfId="233" tableBorderDxfId="232" totalsRowBorderDxfId="231">
  <autoFilter ref="A7:E10" xr:uid="{8ADAEE31-4DDA-4DF2-9EAD-04808D53FFC1}"/>
  <tableColumns count="5">
    <tableColumn id="1" xr3:uid="{A81E0846-1D0F-4692-937D-86858B014037}" name="ability"/>
    <tableColumn id="2" xr3:uid="{7E62D3F3-92BC-479D-AC35-BE29BF7B8C01}" name="takes" dataDxfId="230">
      <calculatedColumnFormula>M8+M29+M50+M71+M92+M113</calculatedColumnFormula>
    </tableColumn>
    <tableColumn id="3" xr3:uid="{B90DED9A-FB36-4010-A0F2-A4F4295C587D}" name="wins" dataDxfId="229">
      <calculatedColumnFormula>N8+N29+N50+N71+N92+N113</calculatedColumnFormula>
    </tableColumn>
    <tableColumn id="4" xr3:uid="{BE0E10ED-A980-43A5-9BDF-619C73B41AFB}" name="battles-take-rate" dataDxfId="228">
      <calculatedColumnFormula>IF(SUM(AvengerAbilities2[[#This Row],[takes]]) &gt; 0,AvengerAbilities2[[#This Row],[takes]]/SUM(AvengerAbilities2[takes]),0)</calculatedColumnFormula>
    </tableColumn>
    <tableColumn id="5" xr3:uid="{0F7B94EB-246F-46AC-91EC-A1F63146C467}" name="take-win-rate" dataDxfId="227">
      <calculatedColumnFormula>IF(AvengerAbilities2[[#This Row],[takes]]&gt;0,AvengerAbilities2[[#This Row],[wins]]/AvengerAbilities2[[#This Row],[takes]],0)</calculatedColumnFormula>
    </tableColumn>
  </tableColumns>
  <tableStyleInfo name="TableStyleMedium2" showFirstColumn="0" showLastColumn="0" showRowStripes="1" showColumnStripes="0"/>
</table>
</file>

<file path=xl/tables/table2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4" xr:uid="{EFEAADFD-234A-447F-95EA-36D751FF6A9E}" name="AvengerAbilities3" displayName="AvengerAbilities3" ref="A12:E15" totalsRowShown="0" headerRowDxfId="226" headerRowBorderDxfId="225" tableBorderDxfId="224" totalsRowBorderDxfId="223">
  <autoFilter ref="A12:E15" xr:uid="{1B0EA3CA-FA8E-4345-B52C-471D5C94AD38}"/>
  <tableColumns count="5">
    <tableColumn id="1" xr3:uid="{6930CC83-4CEA-4F11-86CA-F42307EEA0FE}" name="ability"/>
    <tableColumn id="2" xr3:uid="{814A53D4-87B9-46ED-A827-D3E7AB8BC530}" name="takes" dataDxfId="222">
      <calculatedColumnFormula>M13+M34+M55+M76+M97+M118</calculatedColumnFormula>
    </tableColumn>
    <tableColumn id="3" xr3:uid="{4F19BEBF-12CE-4B6C-A863-4DF3FEA28027}" name="wins" dataDxfId="221">
      <calculatedColumnFormula>N13+N34+N55+N76+N97+N118</calculatedColumnFormula>
    </tableColumn>
    <tableColumn id="4" xr3:uid="{797719FB-C470-4B00-B35C-54DF472BB4A2}" name="battles-take-rate" dataDxfId="220">
      <calculatedColumnFormula>IF(SUM(AvengerAbilities3[[#This Row],[takes]]) &gt; 0,AvengerAbilities3[[#This Row],[takes]]/SUM(AvengerAbilities3[takes]),0)</calculatedColumnFormula>
    </tableColumn>
    <tableColumn id="5" xr3:uid="{7AAC8CCB-A1B3-47B1-B9E7-26A5AAAA4B5F}" name="take-win-rate" dataDxfId="219">
      <calculatedColumnFormula>IF(AvengerAbilities3[[#This Row],[takes]]&gt;0,AvengerAbilities3[[#This Row],[wins]]/AvengerAbilities3[[#This Row],[takes]],0)</calculatedColumnFormula>
    </tableColumn>
  </tableColumns>
  <tableStyleInfo name="TableStyleMedium2" showFirstColumn="0" showLastColumn="0" showRowStripes="1" showColumnStripes="0"/>
</table>
</file>

<file path=xl/tables/table2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5" xr:uid="{C9C5652D-EA2C-4078-9DFF-0AD0CCBAE24E}" name="AvengerAbilities4" displayName="AvengerAbilities4" ref="A17:E20" totalsRowShown="0" headerRowDxfId="218" headerRowBorderDxfId="217" tableBorderDxfId="216" totalsRowBorderDxfId="215">
  <autoFilter ref="A17:E20" xr:uid="{2AADA4A0-2F4A-4009-8ECF-0BECA693390C}"/>
  <tableColumns count="5">
    <tableColumn id="1" xr3:uid="{797653A4-EDCA-4C4D-A3D4-CD6135488CE9}" name="ability" dataDxfId="214"/>
    <tableColumn id="2" xr3:uid="{9958885A-546E-4B41-BF74-36A6885A316D}" name="takes" dataDxfId="213">
      <calculatedColumnFormula>M18+M39+M60+M81+M102+M123</calculatedColumnFormula>
    </tableColumn>
    <tableColumn id="3" xr3:uid="{F49FD5D1-7963-494A-BE27-74BE85A96B9D}" name="wins" dataDxfId="212">
      <calculatedColumnFormula>N18+N39+N60+N81+N102+N123</calculatedColumnFormula>
    </tableColumn>
    <tableColumn id="4" xr3:uid="{F7EC00D3-61D4-46E7-BE58-31BDB9ED271A}" name="battles-take-rate" dataDxfId="211">
      <calculatedColumnFormula>IF(SUM(AvengerAbilities4[[#This Row],[takes]]) &gt; 0,AvengerAbilities4[[#This Row],[takes]]/SUM(AvengerAbilities4[takes]),0)</calculatedColumnFormula>
    </tableColumn>
    <tableColumn id="5" xr3:uid="{2D4BBF56-D463-4A1E-9A76-CF0B9E50570C}" name="take-win-rate" dataDxfId="210">
      <calculatedColumnFormula>IF(AvengerAbilities4[[#This Row],[takes]]&gt;0,AvengerAbilities4[[#This Row],[wins]]/AvengerAbilities4[[#This Row],[takes]],0)</calculatedColumnFormula>
    </tableColumn>
  </tableColumns>
  <tableStyleInfo name="TableStyleMedium2" showFirstColumn="0" showLastColumn="0" showRowStripes="1" showColumnStripes="0"/>
</table>
</file>

<file path=xl/tables/table2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6" xr:uid="{CB961E94-293F-435F-A3F5-48B9830ABB7F}" name="AvengerEquip" displayName="AvengerEquip" ref="G2:J5" totalsRowShown="0">
  <autoFilter ref="G2:J5" xr:uid="{C15024E5-2A00-4F8B-BBEB-0FE7A036BC54}"/>
  <tableColumns count="4">
    <tableColumn id="1" xr3:uid="{D4CD8621-B0A8-4756-91CE-613C615C8962}" name="level"/>
    <tableColumn id="2" xr3:uid="{331AFE36-6923-4E96-9FB8-9E84801A8E5E}" name="sabre" dataDxfId="209">
      <calculatedColumnFormula>S3+S24+S45+S66+S87+S108</calculatedColumnFormula>
    </tableColumn>
    <tableColumn id="3" xr3:uid="{39E8DCAE-D493-4A26-A9B3-9996C564CEE7}" name="blade" dataDxfId="208">
      <calculatedColumnFormula>T3+T24+T45+T66+T87+T108</calculatedColumnFormula>
    </tableColumn>
    <tableColumn id="4" xr3:uid="{F082B021-59DE-4852-B1B3-0AA25C478097}" name="chestpiece" dataDxfId="207">
      <calculatedColumnFormula>U3+U24+U45+U66+U87+U108</calculatedColumnFormula>
    </tableColumn>
  </tableColumns>
  <tableStyleInfo name="TableStyleMedium2" showFirstColumn="0" showLastColumn="0" showRowStripes="1" showColumnStripes="0"/>
</table>
</file>

<file path=xl/tables/table2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7" xr:uid="{EE4EC880-01E8-41B0-9F7E-F047CA739E9C}" name="AvengerAbilities1Scenario0" displayName="AvengerAbilities1Scenario0" ref="L2:P5" totalsRowShown="0">
  <autoFilter ref="L2:P5" xr:uid="{4CDFB74F-734F-4444-929B-80D3797B5492}"/>
  <tableColumns count="5">
    <tableColumn id="2" xr3:uid="{A392A0AF-3F8E-4E7B-BD3D-1E54C96FACC7}" name="ability"/>
    <tableColumn id="6" xr3:uid="{7A3B5F47-CC74-4130-B4D2-E190F41044B3}" name="takes" dataDxfId="206">
      <calculatedColumnFormula>COUNTIF(Scenario0[winner1-ability1],AvengerAbilities1Scenario0[[#This Row],[ability]])+COUNTIF(Scenario0[winner2-ability1],AvengerAbilities1Scenario0[[#This Row],[ability]])+COUNTIF(Scenario0[loser1-ability1],AvengerAbilities1Scenario0[[#This Row],[ability]])+COUNTIF(Scenario0[loser2-ability1],AvengerAbilities1Scenario0[[#This Row],[ability]])</calculatedColumnFormula>
    </tableColumn>
    <tableColumn id="4" xr3:uid="{D59802DD-7F23-4496-A821-8F56F8CCD409}" name="wins" dataDxfId="205">
      <calculatedColumnFormula>COUNTIF(Scenario0[winner1-ability1],AvengerAbilities1Scenario0[[#This Row],[ability]])+COUNTIF(Scenario0[winner2-ability1],AvengerAbilities1Scenario0[[#This Row],[ability]])</calculatedColumnFormula>
    </tableColumn>
    <tableColumn id="5" xr3:uid="{180BE22E-9A3D-438F-A028-922D6607F144}" name="battles-take-rate" dataDxfId="204">
      <calculatedColumnFormula>IF(SUM(AvengerAbilities1Scenario0[[#This Row],[takes]]) &gt; 0,AvengerAbilities1Scenario0[[#This Row],[takes]]/SUM(AvengerAbilities1Scenario0[takes]),0)</calculatedColumnFormula>
    </tableColumn>
    <tableColumn id="7" xr3:uid="{461453E8-32CB-454F-9B1C-C4DE73E4E3F8}" name="take-win-rate" dataDxfId="203">
      <calculatedColumnFormula>IF(AvengerAbilities1Scenario0[[#This Row],[takes]]&gt;0,AvengerAbilities1Scenario0[[#This Row],[wins]]/AvengerAbilities1Scenario0[[#This Row],[takes]],0)</calculatedColumnFormula>
    </tableColumn>
  </tableColumns>
  <tableStyleInfo name="TableStyleMedium2" showFirstColumn="0" showLastColumn="0" showRowStripes="1" showColumnStripes="0"/>
</table>
</file>

<file path=xl/tables/table2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8" xr:uid="{6FFBA9F2-4ABF-438F-B0BF-F65A76F3A2A9}" name="AvengerAbilities2Scenario0" displayName="AvengerAbilities2Scenario0" ref="L7:P10" totalsRowShown="0" headerRowDxfId="202" headerRowBorderDxfId="201" tableBorderDxfId="200" totalsRowBorderDxfId="199">
  <autoFilter ref="L7:P10" xr:uid="{07F4368A-34C9-4286-BBA2-89F699718525}"/>
  <tableColumns count="5">
    <tableColumn id="1" xr3:uid="{7BA6702F-9AF3-490B-A47A-1A6175200DFB}" name="ability"/>
    <tableColumn id="2" xr3:uid="{54CC73DF-6E8C-4236-BE3A-0DB76A584B61}" name="takes" dataDxfId="198">
      <calculatedColumnFormula>COUNTIF(Scenario0[winner1-ability2],AvengerAbilities2Scenario0[[#This Row],[ability]])+COUNTIF(Scenario0[winner2-ability2],AvengerAbilities2Scenario0[[#This Row],[ability]])+COUNTIF(Scenario0[loser1-ability2],AvengerAbilities2Scenario0[[#This Row],[ability]])+COUNTIF(Scenario0[loser2-ability2],AvengerAbilities2Scenario0[[#This Row],[ability]])</calculatedColumnFormula>
    </tableColumn>
    <tableColumn id="3" xr3:uid="{A12D6DA3-A9E2-41D5-B962-695B35E18E3A}" name="wins" dataDxfId="197">
      <calculatedColumnFormula>COUNTIF(Scenario0[winner1-ability2],AvengerAbilities2Scenario0[[#This Row],[ability]])+COUNTIF(Scenario0[winner2-ability2],AvengerAbilities2Scenario0[[#This Row],[ability]])</calculatedColumnFormula>
    </tableColumn>
    <tableColumn id="4" xr3:uid="{551D54AB-A81C-493F-8C06-835E7D6324D9}" name="battles-take-rate" dataDxfId="196">
      <calculatedColumnFormula>IF(SUM(AvengerAbilities2Scenario0[[#This Row],[takes]]) &gt; 0,AvengerAbilities2Scenario0[[#This Row],[takes]]/SUM(AvengerAbilities2Scenario0[takes]),0)</calculatedColumnFormula>
    </tableColumn>
    <tableColumn id="5" xr3:uid="{E38E2133-2814-457E-B74D-620E3AA7A65E}" name="take-win-rate" dataDxfId="195">
      <calculatedColumnFormula>IF(AvengerAbilities2Scenario0[[#This Row],[takes]]&gt;0,AvengerAbilities2Scenario0[[#This Row],[wins]]/AvengerAbilities2Scenario0[[#This Row],[takes]],0)</calculatedColumnFormula>
    </tableColumn>
  </tableColumns>
  <tableStyleInfo name="TableStyleMedium2" showFirstColumn="0" showLastColumn="0" showRowStripes="1" showColumnStripes="0"/>
</table>
</file>

<file path=xl/tables/table2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9" xr:uid="{6358844C-302F-4A8B-83E7-F8BBEF3DD205}" name="AvengerAbilities3Scenario0" displayName="AvengerAbilities3Scenario0" ref="L12:P15" totalsRowShown="0" headerRowDxfId="194" headerRowBorderDxfId="193" tableBorderDxfId="192" totalsRowBorderDxfId="191">
  <autoFilter ref="L12:P15" xr:uid="{E8520742-705B-4A78-A5FD-1F57726A369B}"/>
  <tableColumns count="5">
    <tableColumn id="1" xr3:uid="{ADF0C342-15BB-47FF-8D91-8A96E2809CE0}" name="ability"/>
    <tableColumn id="2" xr3:uid="{58BC4ED4-CE9E-45B4-B255-0EFBFB61D5A0}" name="takes" dataDxfId="190">
      <calculatedColumnFormula>COUNTIF(Scenario0[winner1-ability3],AvengerAbilities3Scenario0[[#This Row],[ability]])+COUNTIF(Scenario0[winner2-ability3],AvengerAbilities3Scenario0[[#This Row],[ability]])+COUNTIF(Scenario0[loser1-ability3],AvengerAbilities3Scenario0[[#This Row],[ability]])+COUNTIF(Scenario0[loser2-ability3],AvengerAbilities3Scenario0[[#This Row],[ability]])</calculatedColumnFormula>
    </tableColumn>
    <tableColumn id="3" xr3:uid="{8C4B4ACA-79F4-467D-8DE5-970B7AC630E2}" name="wins" dataDxfId="189">
      <calculatedColumnFormula>COUNTIF(Scenario0[winner1-ability3],AvengerAbilities3Scenario0[[#This Row],[ability]])+COUNTIF(Scenario0[winner2-ability3],AvengerAbilities3Scenario0[[#This Row],[ability]])</calculatedColumnFormula>
    </tableColumn>
    <tableColumn id="4" xr3:uid="{7A736A26-82EF-44E5-8A0B-7659BA4878C6}" name="battles-take-rate" dataDxfId="188">
      <calculatedColumnFormula>IF(SUM(AvengerAbilities3Scenario0[[#This Row],[takes]]) &gt; 0,AvengerAbilities3Scenario0[[#This Row],[takes]]/SUM(AvengerAbilities3Scenario0[takes]),0)</calculatedColumnFormula>
    </tableColumn>
    <tableColumn id="5" xr3:uid="{F9A0694A-68A8-4EFD-A24A-6DCA2A420EFC}" name="take-win-rate" dataDxfId="187">
      <calculatedColumnFormula>IF(AvengerAbilities3Scenario0[[#This Row],[takes]]&gt;0,AvengerAbilities3Scenario0[[#This Row],[wins]]/AvengerAbilities3Scenario0[[#This Row],[takes]],0)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01E0B516-A92C-45D4-946B-0FCF2F31D98A}" name="ParagonAbilities4Scenario0" displayName="ParagonAbilities4Scenario0" ref="L17:P20" totalsRowShown="0" headerRowDxfId="1713" headerRowBorderDxfId="1712" tableBorderDxfId="1711" totalsRowBorderDxfId="1710">
  <autoFilter ref="L17:P20" xr:uid="{01E0B516-A92C-45D4-946B-0FCF2F31D98A}"/>
  <tableColumns count="5">
    <tableColumn id="1" xr3:uid="{4A93F7E1-E083-46E0-A29E-7F145BC5EB6A}" name="ability"/>
    <tableColumn id="2" xr3:uid="{4C745FD9-B41F-46FF-8182-55A1E3147B13}" name="takes" dataDxfId="1709">
      <calculatedColumnFormula>COUNTIF(Scenario0[winner1-ability4],ParagonAbilities4Scenario0[[#This Row],[ability]])+COUNTIF(Scenario0[winner2-ability4],ParagonAbilities4Scenario0[[#This Row],[ability]])+COUNTIF(Scenario0[loser1-ability4],ParagonAbilities4Scenario0[[#This Row],[ability]])+COUNTIF(Scenario0[loser2-ability4],ParagonAbilities4Scenario0[[#This Row],[ability]])</calculatedColumnFormula>
    </tableColumn>
    <tableColumn id="3" xr3:uid="{CB41A5EC-6A76-419F-8884-4A7AB7A2D2A5}" name="wins" dataDxfId="1708">
      <calculatedColumnFormula>COUNTIF(Scenario0[winner1-ability4],ParagonAbilities4Scenario0[[#This Row],[ability]])+COUNTIF(Scenario0[winner2-ability4],ParagonAbilities4Scenario0[[#This Row],[ability]])</calculatedColumnFormula>
    </tableColumn>
    <tableColumn id="4" xr3:uid="{7C46DEF3-82D6-4B9D-8A26-AC9EFBFA8B7E}" name="battles-take-rate" dataDxfId="1707">
      <calculatedColumnFormula>IF(SUM(ParagonAbilities4Scenario0[[#This Row],[takes]]) &gt; 0,ParagonAbilities4Scenario0[[#This Row],[takes]]/SUM(ParagonAbilities4Scenario0[takes]),0)</calculatedColumnFormula>
    </tableColumn>
    <tableColumn id="5" xr3:uid="{C1A0BEFE-4723-46B7-A630-A4A9A59029FD}" name="take-win-rate" dataDxfId="1706">
      <calculatedColumnFormula>IF(ParagonAbilities4Scenario0[[#This Row],[takes]]&gt;0,ParagonAbilities4Scenario0[[#This Row],[wins]]/ParagonAbilities4Scenario0[[#This Row],[takes]],0)</calculatedColumnFormula>
    </tableColumn>
  </tableColumns>
  <tableStyleInfo name="TableStyleMedium2" showFirstColumn="0" showLastColumn="0" showRowStripes="1" showColumnStripes="0"/>
</table>
</file>

<file path=xl/tables/table2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0" xr:uid="{2889A0D6-4CF3-44F6-B045-A03BC4B77A3C}" name="AvengerAbilities4Scenario0" displayName="AvengerAbilities4Scenario0" ref="L17:P20" totalsRowShown="0" headerRowDxfId="186" headerRowBorderDxfId="185" tableBorderDxfId="184" totalsRowBorderDxfId="183">
  <autoFilter ref="L17:P20" xr:uid="{01E0B516-A92C-45D4-946B-0FCF2F31D98A}"/>
  <tableColumns count="5">
    <tableColumn id="1" xr3:uid="{E980F6C0-E93A-4FFA-8E1B-7186BE3B4D2B}" name="ability" dataDxfId="182"/>
    <tableColumn id="2" xr3:uid="{387091C3-7426-4F2A-A753-72A1D81097AE}" name="takes" dataDxfId="181">
      <calculatedColumnFormula>COUNTIF(Scenario0[winner1-ability4],AvengerAbilities4Scenario0[[#This Row],[ability]])+COUNTIF(Scenario0[winner2-ability4],AvengerAbilities4Scenario0[[#This Row],[ability]])+COUNTIF(Scenario0[loser1-ability4],AvengerAbilities4Scenario0[[#This Row],[ability]])+COUNTIF(Scenario0[loser2-ability4],AvengerAbilities4Scenario0[[#This Row],[ability]])</calculatedColumnFormula>
    </tableColumn>
    <tableColumn id="3" xr3:uid="{027F7A48-FDF1-49B9-AEF6-2D0B509C81B3}" name="wins" dataDxfId="180">
      <calculatedColumnFormula>COUNTIF(Scenario0[winner1-ability4],AvengerAbilities4Scenario0[[#This Row],[ability]])+COUNTIF(Scenario0[winner2-ability4],AvengerAbilities4Scenario0[[#This Row],[ability]])</calculatedColumnFormula>
    </tableColumn>
    <tableColumn id="4" xr3:uid="{9264C2CD-5BD5-4E48-B79C-91C415037922}" name="battles-take-rate" dataDxfId="179">
      <calculatedColumnFormula>IF(SUM(AvengerAbilities4Scenario0[[#This Row],[takes]]) &gt; 0,AvengerAbilities4Scenario0[[#This Row],[takes]]/SUM(AvengerAbilities4Scenario0[takes]),0)</calculatedColumnFormula>
    </tableColumn>
    <tableColumn id="5" xr3:uid="{961169CF-7838-4E98-B5BB-DDCEA7F72CD9}" name="take-win-rate" dataDxfId="178">
      <calculatedColumnFormula>IF(AvengerAbilities4Scenario0[[#This Row],[takes]]&gt;0,AvengerAbilities4Scenario0[[#This Row],[wins]]/AvengerAbilities4Scenario0[[#This Row],[takes]],0)</calculatedColumnFormula>
    </tableColumn>
  </tableColumns>
  <tableStyleInfo name="TableStyleMedium2" showFirstColumn="0" showLastColumn="0" showRowStripes="1" showColumnStripes="0"/>
</table>
</file>

<file path=xl/tables/table2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1" xr:uid="{114BF14B-1E24-4156-B594-2FE6F385EEE4}" name="AvengerEquipScenario0" displayName="AvengerEquipScenario0" ref="R2:U5" totalsRowShown="0">
  <autoFilter ref="R2:U5" xr:uid="{E84D91C4-DFF3-43B9-932F-3FEFFBEA9FF1}"/>
  <tableColumns count="4">
    <tableColumn id="1" xr3:uid="{F210911E-B9B8-47C5-9902-5EC56E06C17A}" name="level"/>
    <tableColumn id="2" xr3:uid="{A0C1A817-B47A-49AB-9954-C99F52E509EB}" name="sabre" dataDxfId="177">
      <calculatedColumnFormula>COUNTIFS(Scenario0[winner1],"avenger",Scenario0[winner1-pw],AvengerEquipScenario0[[#This Row],[level]])+COUNTIFS(Scenario0[winner2],"avenger",Scenario0[winner2-pw],AvengerEquipScenario0[[#This Row],[level]])+COUNTIFS(Scenario0[loser1],"avenger",Scenario0[loser1-pw],AvengerEquipScenario0[[#This Row],[level]])+COUNTIFS(Scenario0[loser2],"avenger",Scenario0[loser2-pw],AvengerEquipScenario0[[#This Row],[level]])</calculatedColumnFormula>
    </tableColumn>
    <tableColumn id="3" xr3:uid="{E207A56E-E760-4666-A16D-6509D4B1A5CC}" name="blade" dataDxfId="176">
      <calculatedColumnFormula>COUNTIFS(Scenario0[winner1],"avenger",Scenario0[winner1-sw],AvengerEquipScenario0[[#This Row],[level]])+COUNTIFS(Scenario0[winner2],"avenger",Scenario0[winner2-sw],AvengerEquipScenario0[[#This Row],[level]])+COUNTIFS(Scenario0[loser1],"avenger",Scenario0[loser1-sw],AvengerEquipScenario0[[#This Row],[level]])+COUNTIFS(Scenario0[loser2],"avenger",Scenario0[loser2-sw],AvengerEquipScenario0[[#This Row],[level]])</calculatedColumnFormula>
    </tableColumn>
    <tableColumn id="4" xr3:uid="{434271AA-8C3F-4E13-BFF4-FEC0DA6AF92A}" name="chestpiece" dataDxfId="175">
      <calculatedColumnFormula>COUNTIFS(Scenario0[winner1],"avenger",Scenario0[winner1-cp],AvengerEquipScenario0[[#This Row],[level]])+COUNTIFS(Scenario0[winner2],"avenger",Scenario0[winner2-cp],AvengerEquipScenario0[[#This Row],[level]])+COUNTIFS(Scenario0[loser1],"avenger",Scenario0[loser1-cp],AvengerEquipScenario0[[#This Row],[level]])+COUNTIFS(Scenario0[loser2],"avenger",Scenario0[loser2-cp],AvengerEquipScenario0[[#This Row],[level]])</calculatedColumnFormula>
    </tableColumn>
  </tableColumns>
  <tableStyleInfo name="TableStyleMedium2" showFirstColumn="0" showLastColumn="0" showRowStripes="1" showColumnStripes="0"/>
</table>
</file>

<file path=xl/tables/table2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2" xr:uid="{EFEBAC4C-EDD1-48CF-A0CE-27A2F6F50C72}" name="AvengerAbilities1Scenario1" displayName="AvengerAbilities1Scenario1" ref="L23:P26" totalsRowShown="0">
  <autoFilter ref="L23:P26" xr:uid="{A0A97CA7-01BF-4D92-A7D1-F51028CD7758}"/>
  <tableColumns count="5">
    <tableColumn id="2" xr3:uid="{36C7E1E6-20D4-4BD6-8C83-FAB277E8743B}" name="ability"/>
    <tableColumn id="6" xr3:uid="{7A343123-7680-4E3D-A1BE-7215ECE50551}" name="takes" dataDxfId="174">
      <calculatedColumnFormula>COUNTIF(Scenario1[winner1-ability1],AvengerAbilities1Scenario1[[#This Row],[ability]])+COUNTIF(Scenario1[winner2-ability1],AvengerAbilities1Scenario1[[#This Row],[ability]])+COUNTIF(Scenario1[loser1-ability1],AvengerAbilities1Scenario1[[#This Row],[ability]])+COUNTIF(Scenario1[loser2-ability1],AvengerAbilities1Scenario1[[#This Row],[ability]])</calculatedColumnFormula>
    </tableColumn>
    <tableColumn id="4" xr3:uid="{905E2429-5D29-48A6-B412-3C6BCE0639A6}" name="wins" dataDxfId="173">
      <calculatedColumnFormula>COUNTIF(Scenario1[winner1-ability1],AvengerAbilities1Scenario1[[#This Row],[ability]])+COUNTIF(Scenario1[winner2-ability1],AvengerAbilities1Scenario1[[#This Row],[ability]])</calculatedColumnFormula>
    </tableColumn>
    <tableColumn id="5" xr3:uid="{EA946A4B-7601-42EC-972C-B033ADF7C244}" name="battles-take-rate" dataDxfId="172">
      <calculatedColumnFormula>IF(SUM(AvengerAbilities1Scenario1[[#This Row],[takes]]) &gt; 0,AvengerAbilities1Scenario1[[#This Row],[takes]]/SUM(AvengerAbilities1Scenario1[takes]),0)</calculatedColumnFormula>
    </tableColumn>
    <tableColumn id="7" xr3:uid="{641C62DB-2EE5-4B71-8202-6E32D82AAA13}" name="take-win-rate" dataDxfId="171">
      <calculatedColumnFormula>IF(AvengerAbilities1Scenario1[[#This Row],[takes]]&gt;0,AvengerAbilities1Scenario1[[#This Row],[wins]]/AvengerAbilities1Scenario1[[#This Row],[takes]],0)</calculatedColumnFormula>
    </tableColumn>
  </tableColumns>
  <tableStyleInfo name="TableStyleMedium2" showFirstColumn="0" showLastColumn="0" showRowStripes="1" showColumnStripes="0"/>
</table>
</file>

<file path=xl/tables/table2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3" xr:uid="{6FE78E7E-CF41-4D88-8056-31CC90E93DD1}" name="AvengerAbilities2Scenario1" displayName="AvengerAbilities2Scenario1" ref="L28:P31" totalsRowShown="0" headerRowDxfId="170" headerRowBorderDxfId="169" tableBorderDxfId="168" totalsRowBorderDxfId="167">
  <autoFilter ref="L28:P31" xr:uid="{A29CF70A-0B84-46BB-A412-712C2F594795}"/>
  <tableColumns count="5">
    <tableColumn id="1" xr3:uid="{1A083687-017B-48CC-A61B-DD706576B86D}" name="ability"/>
    <tableColumn id="2" xr3:uid="{C06CD689-9294-42DF-A29E-AE1B5EF1FAAA}" name="takes" dataDxfId="166">
      <calculatedColumnFormula>COUNTIF(Scenario1[winner1-ability2],AvengerAbilities2Scenario1[[#This Row],[ability]])+COUNTIF(Scenario1[winner2-ability2],AvengerAbilities2Scenario1[[#This Row],[ability]])+COUNTIF(Scenario1[loser1-ability2],AvengerAbilities2Scenario1[[#This Row],[ability]])+COUNTIF(Scenario1[loser2-ability2],AvengerAbilities2Scenario1[[#This Row],[ability]])</calculatedColumnFormula>
    </tableColumn>
    <tableColumn id="3" xr3:uid="{61E015C1-3EBD-4221-9B69-FBD7E8C9F344}" name="wins" dataDxfId="165">
      <calculatedColumnFormula>COUNTIF(Scenario1[winner1-ability2],AvengerAbilities2Scenario1[[#This Row],[ability]])+COUNTIF(Scenario1[winner2-ability2],AvengerAbilities2Scenario1[[#This Row],[ability]])</calculatedColumnFormula>
    </tableColumn>
    <tableColumn id="4" xr3:uid="{EEDD9520-D02F-4130-B011-95A0E10A176D}" name="battles-take-rate" dataDxfId="164">
      <calculatedColumnFormula>IF(SUM(AvengerAbilities2Scenario1[[#This Row],[takes]]) &gt; 0,AvengerAbilities2Scenario1[[#This Row],[takes]]/SUM(AvengerAbilities2Scenario1[takes]),0)</calculatedColumnFormula>
    </tableColumn>
    <tableColumn id="5" xr3:uid="{DE5944F4-EE02-4CEF-8C5C-838FFB490FC8}" name="take-win-rate" dataDxfId="163">
      <calculatedColumnFormula>IF(AvengerAbilities2Scenario1[[#This Row],[takes]]&gt;0,AvengerAbilities2Scenario1[[#This Row],[wins]]/AvengerAbilities2Scenario1[[#This Row],[takes]],0)</calculatedColumnFormula>
    </tableColumn>
  </tableColumns>
  <tableStyleInfo name="TableStyleMedium2" showFirstColumn="0" showLastColumn="0" showRowStripes="1" showColumnStripes="0"/>
</table>
</file>

<file path=xl/tables/table2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4" xr:uid="{FC9E6A3A-AD53-401A-B71D-1A98C0C96000}" name="AvengerAbilities3Scenario1" displayName="AvengerAbilities3Scenario1" ref="L33:P36" totalsRowShown="0" headerRowDxfId="162" headerRowBorderDxfId="161" tableBorderDxfId="160" totalsRowBorderDxfId="159">
  <autoFilter ref="L33:P36" xr:uid="{CBC18F4E-86CD-4BE3-9377-2B862ED3B826}"/>
  <tableColumns count="5">
    <tableColumn id="1" xr3:uid="{0988311D-8E89-4D7D-B753-DBCCDC4EDDB9}" name="ability"/>
    <tableColumn id="2" xr3:uid="{16A77E0C-1D6E-4992-B081-4AA1E4B9B88C}" name="takes" dataDxfId="158">
      <calculatedColumnFormula>COUNTIF(Scenario1[winner1-ability3],AvengerAbilities3Scenario1[[#This Row],[ability]])+COUNTIF(Scenario1[winner2-ability3],AvengerAbilities3Scenario1[[#This Row],[ability]])+COUNTIF(Scenario1[loser1-ability3],AvengerAbilities3Scenario1[[#This Row],[ability]])+COUNTIF(Scenario1[loser2-ability3],AvengerAbilities3Scenario1[[#This Row],[ability]])</calculatedColumnFormula>
    </tableColumn>
    <tableColumn id="3" xr3:uid="{0461014A-0735-496B-AB4A-D72C964AC89A}" name="wins" dataDxfId="157">
      <calculatedColumnFormula>COUNTIF(Scenario1[winner1-ability3],AvengerAbilities3Scenario1[[#This Row],[ability]])+COUNTIF(Scenario1[winner2-ability3],AvengerAbilities3Scenario1[[#This Row],[ability]])</calculatedColumnFormula>
    </tableColumn>
    <tableColumn id="4" xr3:uid="{A309DA0B-3B27-4B25-93FC-53698682A72A}" name="battles-take-rate" dataDxfId="156">
      <calculatedColumnFormula>IF(SUM(AvengerAbilities3Scenario1[[#This Row],[takes]]) &gt; 0,AvengerAbilities3Scenario1[[#This Row],[takes]]/SUM(AvengerAbilities3Scenario1[takes]),0)</calculatedColumnFormula>
    </tableColumn>
    <tableColumn id="5" xr3:uid="{2F3C0C99-08BB-45D8-B34D-FE2C5A7E2E0D}" name="take-win-rate" dataDxfId="155">
      <calculatedColumnFormula>IF(AvengerAbilities3Scenario1[[#This Row],[takes]]&gt;0,AvengerAbilities3Scenario1[[#This Row],[wins]]/AvengerAbilities3Scenario1[[#This Row],[takes]],0)</calculatedColumnFormula>
    </tableColumn>
  </tableColumns>
  <tableStyleInfo name="TableStyleMedium2" showFirstColumn="0" showLastColumn="0" showRowStripes="1" showColumnStripes="0"/>
</table>
</file>

<file path=xl/tables/table2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5" xr:uid="{C9AAFAF7-4D9B-4251-A917-11C23185C79A}" name="AvengerAbilities4Scenario1" displayName="AvengerAbilities4Scenario1" ref="L38:P41" totalsRowShown="0" headerRowDxfId="154" headerRowBorderDxfId="153" tableBorderDxfId="152" totalsRowBorderDxfId="151">
  <autoFilter ref="L38:P41" xr:uid="{A1F38E75-59DE-4DB4-B81C-C0322397F6F7}"/>
  <tableColumns count="5">
    <tableColumn id="1" xr3:uid="{B108F2DF-4A32-4ECF-B16B-02A49181826D}" name="ability" dataDxfId="150"/>
    <tableColumn id="2" xr3:uid="{A47622D9-162B-4188-B077-F04987EF9266}" name="takes" dataDxfId="149">
      <calculatedColumnFormula>COUNTIF(Scenario1[winner1-ability4],AvengerAbilities4Scenario1[[#This Row],[ability]])+COUNTIF(Scenario1[winner2-ability4],AvengerAbilities4Scenario1[[#This Row],[ability]])+COUNTIF(Scenario1[loser1-ability4],AvengerAbilities4Scenario1[[#This Row],[ability]])+COUNTIF(Scenario1[loser2-ability4],AvengerAbilities4Scenario1[[#This Row],[ability]])</calculatedColumnFormula>
    </tableColumn>
    <tableColumn id="3" xr3:uid="{8A53D2B1-F305-4C7C-8C37-4340DA20B7F2}" name="wins" dataDxfId="148">
      <calculatedColumnFormula>COUNTIF(Scenario1[winner1-ability4],AvengerAbilities4Scenario1[[#This Row],[ability]])+COUNTIF(Scenario1[winner2-ability4],AvengerAbilities4Scenario1[[#This Row],[ability]])</calculatedColumnFormula>
    </tableColumn>
    <tableColumn id="4" xr3:uid="{37588A20-DD8A-470B-A6FB-9447FDEE3BD9}" name="battles-take-rate" dataDxfId="147">
      <calculatedColumnFormula>IF(SUM(AvengerAbilities4Scenario1[[#This Row],[takes]]) &gt; 0,AvengerAbilities4Scenario1[[#This Row],[takes]]/SUM(AvengerAbilities4Scenario1[takes]),0)</calculatedColumnFormula>
    </tableColumn>
    <tableColumn id="5" xr3:uid="{5DE42850-8CF7-449B-85B3-E3445E067DB9}" name="take-win-rate" dataDxfId="146">
      <calculatedColumnFormula>IF(AvengerAbilities4Scenario1[[#This Row],[takes]]&gt;0,AvengerAbilities4Scenario1[[#This Row],[wins]]/AvengerAbilities4Scenario1[[#This Row],[takes]],0)</calculatedColumnFormula>
    </tableColumn>
  </tableColumns>
  <tableStyleInfo name="TableStyleMedium2" showFirstColumn="0" showLastColumn="0" showRowStripes="1" showColumnStripes="0"/>
</table>
</file>

<file path=xl/tables/table2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6" xr:uid="{78AA6484-58BD-4ADA-92E7-AAE85656E6ED}" name="AvengerEquipScenario1" displayName="AvengerEquipScenario1" ref="R23:U26" totalsRowShown="0">
  <autoFilter ref="R23:U26" xr:uid="{18EECD25-0AE5-4756-B5E1-492D523A2929}"/>
  <tableColumns count="4">
    <tableColumn id="1" xr3:uid="{4CC25019-AB32-4049-A65F-E98B84B6F001}" name="level"/>
    <tableColumn id="2" xr3:uid="{EE9611FF-4507-4DF4-B88C-26CAB56EED71}" name="sabre" dataDxfId="145">
      <calculatedColumnFormula>COUNTIFS(Scenario1[winner1],"avenger",Scenario1[winner1-pw],AvengerEquipScenario1[[#This Row],[level]])+COUNTIFS(Scenario1[winner2],"avenger",Scenario1[winner2-pw],AvengerEquipScenario1[[#This Row],[level]])+COUNTIFS(Scenario1[loser1],"avenger",Scenario1[loser1-pw],AvengerEquipScenario1[[#This Row],[level]])+COUNTIFS(Scenario1[loser2],"avenger",Scenario1[loser2-pw],AvengerEquipScenario1[[#This Row],[level]])</calculatedColumnFormula>
    </tableColumn>
    <tableColumn id="3" xr3:uid="{24C148F8-8894-4FA7-9C65-FF096096F445}" name="blade" dataDxfId="144">
      <calculatedColumnFormula>COUNTIFS(Scenario1[winner1],"avenger",Scenario1[winner1-sw],AvengerEquipScenario1[[#This Row],[level]])+COUNTIFS(Scenario1[winner2],"avenger",Scenario1[winner2-sw],AvengerEquipScenario1[[#This Row],[level]])+COUNTIFS(Scenario1[loser1],"avenger",Scenario1[loser1-sw],AvengerEquipScenario1[[#This Row],[level]])+COUNTIFS(Scenario1[loser2],"avenger",Scenario1[loser2-sw],AvengerEquipScenario1[[#This Row],[level]])</calculatedColumnFormula>
    </tableColumn>
    <tableColumn id="4" xr3:uid="{D35611D0-436B-4B03-BBC8-4FEE3C1B1A77}" name="chestpiece" dataDxfId="143">
      <calculatedColumnFormula>COUNTIFS(Scenario1[winner1],"avenger",Scenario1[winner1-cp],AvengerEquipScenario1[[#This Row],[level]])+COUNTIFS(Scenario1[winner2],"avenger",Scenario1[winner2-cp],AvengerEquipScenario1[[#This Row],[level]])+COUNTIFS(Scenario1[loser1],"avenger",Scenario1[loser1-cp],AvengerEquipScenario1[[#This Row],[level]])+COUNTIFS(Scenario1[loser2],"avenger",Scenario1[loser2-cp],AvengerEquipScenario1[[#This Row],[level]])</calculatedColumnFormula>
    </tableColumn>
  </tableColumns>
  <tableStyleInfo name="TableStyleMedium2" showFirstColumn="0" showLastColumn="0" showRowStripes="1" showColumnStripes="0"/>
</table>
</file>

<file path=xl/tables/table2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7" xr:uid="{19BED038-8AED-4DBE-9EF5-F40566C87B4E}" name="AvengerAbilities1Scenario2" displayName="AvengerAbilities1Scenario2" ref="L44:P47" totalsRowShown="0">
  <autoFilter ref="L44:P47" xr:uid="{81D76695-EE53-4A07-9351-842AC55F2540}"/>
  <tableColumns count="5">
    <tableColumn id="2" xr3:uid="{AE15F6ED-F0A2-4DA5-98BB-52C7060188E0}" name="ability"/>
    <tableColumn id="6" xr3:uid="{A145C374-5965-45D9-AAA1-20E57CC5F3A6}" name="takes" dataDxfId="142">
      <calculatedColumnFormula>COUNTIF(Scenario2[winner1-ability1],AvengerAbilities1Scenario2[[#This Row],[ability]])+COUNTIF(Scenario2[loser1-ability1],AvengerAbilities1Scenario2[[#This Row],[ability]])</calculatedColumnFormula>
    </tableColumn>
    <tableColumn id="4" xr3:uid="{8F3E1C0D-2E17-4A48-A065-1D8BA18168C6}" name="wins" dataDxfId="141">
      <calculatedColumnFormula>COUNTIF(Scenario2[winner1-ability1],AvengerAbilities1Scenario2[[#This Row],[ability]])</calculatedColumnFormula>
    </tableColumn>
    <tableColumn id="5" xr3:uid="{9DB36862-AC92-48F0-8B86-87B94516CEAF}" name="battles-take-rate" dataDxfId="140">
      <calculatedColumnFormula>IF(SUM(AvengerAbilities1Scenario2[[#This Row],[takes]]) &gt; 0,AvengerAbilities1Scenario2[[#This Row],[takes]]/SUM(AvengerAbilities1Scenario2[takes]),0)</calculatedColumnFormula>
    </tableColumn>
    <tableColumn id="7" xr3:uid="{51A4CC56-8D94-4CC1-88AD-DE213E872D63}" name="take-win-rate" dataDxfId="139">
      <calculatedColumnFormula>IF(AvengerAbilities1Scenario2[[#This Row],[takes]]&gt;0,AvengerAbilities1Scenario2[[#This Row],[wins]]/AvengerAbilities1Scenario2[[#This Row],[takes]],0)</calculatedColumnFormula>
    </tableColumn>
  </tableColumns>
  <tableStyleInfo name="TableStyleMedium2" showFirstColumn="0" showLastColumn="0" showRowStripes="1" showColumnStripes="0"/>
</table>
</file>

<file path=xl/tables/table2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8" xr:uid="{A7D80F2A-8719-4D9B-A1A5-856AA58F328E}" name="AvengerAbilities2Scenario2" displayName="AvengerAbilities2Scenario2" ref="L49:P52" totalsRowShown="0" headerRowDxfId="138" headerRowBorderDxfId="137" tableBorderDxfId="136" totalsRowBorderDxfId="135">
  <autoFilter ref="L49:P52" xr:uid="{B5828340-8DA1-4B65-ACEB-BDDDED872E64}"/>
  <tableColumns count="5">
    <tableColumn id="1" xr3:uid="{6CF11031-457F-4AE2-88CE-A39F60B8D8DD}" name="ability"/>
    <tableColumn id="2" xr3:uid="{7B341BA8-11FD-4476-BBDD-967987284FFC}" name="takes" dataDxfId="134">
      <calculatedColumnFormula>COUNTIF(Scenario2[winner1-ability2],AvengerAbilities2Scenario2[[#This Row],[ability]])+COUNTIF(Scenario2[loser1-ability2],AvengerAbilities2Scenario2[[#This Row],[ability]])</calculatedColumnFormula>
    </tableColumn>
    <tableColumn id="3" xr3:uid="{BDB38DDD-AD0F-447F-831D-F973FB317D01}" name="wins" dataDxfId="133">
      <calculatedColumnFormula>COUNTIF(Scenario2[winner1-ability2],AvengerAbilities2Scenario2[[#This Row],[ability]])</calculatedColumnFormula>
    </tableColumn>
    <tableColumn id="4" xr3:uid="{16676FDF-F72D-4A46-9456-4F4E86ACEDE3}" name="battles-take-rate" dataDxfId="132">
      <calculatedColumnFormula>IF(SUM(AvengerAbilities2Scenario2[[#This Row],[takes]]) &gt; 0,AvengerAbilities2Scenario2[[#This Row],[takes]]/SUM(AvengerAbilities2Scenario2[takes]),0)</calculatedColumnFormula>
    </tableColumn>
    <tableColumn id="5" xr3:uid="{7AA140AD-2F84-4876-B2F8-44AF2F45A344}" name="take-win-rate" dataDxfId="131">
      <calculatedColumnFormula>IF(AvengerAbilities2Scenario2[[#This Row],[takes]]&gt;0,AvengerAbilities2Scenario2[[#This Row],[wins]]/AvengerAbilities2Scenario2[[#This Row],[takes]],0)</calculatedColumnFormula>
    </tableColumn>
  </tableColumns>
  <tableStyleInfo name="TableStyleMedium2" showFirstColumn="0" showLastColumn="0" showRowStripes="1" showColumnStripes="0"/>
</table>
</file>

<file path=xl/tables/table2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9" xr:uid="{69265BD1-AB04-4793-BE9D-3531E114940C}" name="AvengerAbilities3Scenario2" displayName="AvengerAbilities3Scenario2" ref="L54:P57" totalsRowShown="0" headerRowDxfId="130" headerRowBorderDxfId="129" tableBorderDxfId="128" totalsRowBorderDxfId="127">
  <autoFilter ref="L54:P57" xr:uid="{34ED10E5-B169-4BBA-8F2C-73FF473D0922}"/>
  <tableColumns count="5">
    <tableColumn id="1" xr3:uid="{531A92B5-14D6-4563-A5EC-AF2057C8AC2E}" name="ability"/>
    <tableColumn id="2" xr3:uid="{516D7538-4F69-429B-8436-E0A9FCA9D16A}" name="takes" dataDxfId="126">
      <calculatedColumnFormula>COUNTIF(Scenario2[winner1-ability3],AvengerAbilities3Scenario2[[#This Row],[ability]])+COUNTIF(Scenario2[loser1-ability3],AvengerAbilities3Scenario2[[#This Row],[ability]])</calculatedColumnFormula>
    </tableColumn>
    <tableColumn id="3" xr3:uid="{0A744090-4119-4EE5-9B45-DD6ECD56AFCE}" name="wins" dataDxfId="125">
      <calculatedColumnFormula>COUNTIF(Scenario2[winner1-ability3],AvengerAbilities3Scenario2[[#This Row],[ability]])</calculatedColumnFormula>
    </tableColumn>
    <tableColumn id="4" xr3:uid="{6EA1CE83-F097-4979-BAF4-5E5DD321C889}" name="battles-take-rate" dataDxfId="124">
      <calculatedColumnFormula>IF(SUM(AvengerAbilities3Scenario2[[#This Row],[takes]]) &gt; 0,AvengerAbilities3Scenario2[[#This Row],[takes]]/SUM(AvengerAbilities3Scenario2[takes]),0)</calculatedColumnFormula>
    </tableColumn>
    <tableColumn id="5" xr3:uid="{0613051B-3AC3-464B-B90E-FF147B97D174}" name="take-win-rate" dataDxfId="123">
      <calculatedColumnFormula>IF(AvengerAbilities3Scenario2[[#This Row],[takes]]&gt;0,AvengerAbilities3Scenario2[[#This Row],[wins]]/AvengerAbilities3Scenario2[[#This Row],[takes]],0)</calculatedColumn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E84D91C4-DFF3-43B9-932F-3FEFFBEA9FF1}" name="ParagonEquipScenario0" displayName="ParagonEquipScenario0" ref="R2:U5" totalsRowShown="0">
  <autoFilter ref="R2:U5" xr:uid="{E84D91C4-DFF3-43B9-932F-3FEFFBEA9FF1}"/>
  <tableColumns count="4">
    <tableColumn id="1" xr3:uid="{D4AA5C29-0E87-479D-90AD-5B820C18E9E3}" name="level"/>
    <tableColumn id="2" xr3:uid="{E4280CB1-7C7E-4438-97AD-59F5656167BC}" name="spear" dataDxfId="1705">
      <calculatedColumnFormula>COUNTIFS(Scenario0[winner1],"paragon",Scenario0[winner1-pw],ParagonEquipScenario0[[#This Row],[level]])+COUNTIFS(Scenario0[winner2],"paragon",Scenario0[winner2-pw],ParagonEquipScenario0[[#This Row],[level]])+COUNTIFS(Scenario0[loser1],"paragon",Scenario0[loser1-pw],ParagonEquipScenario0[[#This Row],[level]])+COUNTIFS(Scenario0[loser2],"paragon",Scenario0[loser2-pw],ParagonEquipScenario0[[#This Row],[level]])</calculatedColumnFormula>
    </tableColumn>
    <tableColumn id="3" xr3:uid="{FDF0626F-2CF7-4181-A549-66D351F29B7F}" name="shield" dataDxfId="1704">
      <calculatedColumnFormula>COUNTIFS(Scenario0[winner1],"paragon",Scenario0[winner1-sw],ParagonEquipScenario0[[#This Row],[level]])+COUNTIFS(Scenario0[winner2],"paragon",Scenario0[winner2-sw],ParagonEquipScenario0[[#This Row],[level]])+COUNTIFS(Scenario0[loser1],"paragon",Scenario0[loser1-sw],ParagonEquipScenario0[[#This Row],[level]])+COUNTIFS(Scenario0[loser2],"paragon",Scenario0[loser2-sw],ParagonEquipScenario0[[#This Row],[level]])</calculatedColumnFormula>
    </tableColumn>
    <tableColumn id="4" xr3:uid="{E3B4314E-54D4-4EF1-A066-16A830F5BDE7}" name="chestpiece" dataDxfId="1703">
      <calculatedColumnFormula>COUNTIFS(Scenario0[winner1],"paragon",Scenario0[winner1-cp],ParagonEquipScenario0[[#This Row],[level]])+COUNTIFS(Scenario0[winner2],"paragon",Scenario0[winner2-cp],ParagonEquipScenario0[[#This Row],[level]])+COUNTIFS(Scenario0[loser1],"paragon",Scenario0[loser1-cp],ParagonEquipScenario0[[#This Row],[level]])+COUNTIFS(Scenario0[loser2],"paragon",Scenario0[loser2-cp],ParagonEquipScenario0[[#This Row],[level]])</calculatedColumnFormula>
    </tableColumn>
  </tableColumns>
  <tableStyleInfo name="TableStyleMedium2" showFirstColumn="0" showLastColumn="0" showRowStripes="1" showColumnStripes="0"/>
</table>
</file>

<file path=xl/tables/table2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0" xr:uid="{1DDA2498-8AD9-4A7B-9180-0D7CA7884EFE}" name="AvengerAbilities4Scenario2" displayName="AvengerAbilities4Scenario2" ref="L59:P62" totalsRowShown="0" headerRowDxfId="122" headerRowBorderDxfId="121" tableBorderDxfId="120" totalsRowBorderDxfId="119">
  <autoFilter ref="L59:P62" xr:uid="{DDB7F110-02A6-4F67-8266-251AF48CB7C0}"/>
  <tableColumns count="5">
    <tableColumn id="1" xr3:uid="{0228B3A4-F54D-4604-AAB4-26F241807E53}" name="ability" dataDxfId="118"/>
    <tableColumn id="2" xr3:uid="{BE2ED41F-9201-4A8E-B960-2268FAC34946}" name="takes" dataDxfId="117">
      <calculatedColumnFormula>COUNTIF(Scenario2[winner1-ability4],AvengerAbilities4Scenario2[[#This Row],[ability]])+COUNTIF(Scenario2[loser1-ability4],AvengerAbilities4Scenario2[[#This Row],[ability]])</calculatedColumnFormula>
    </tableColumn>
    <tableColumn id="3" xr3:uid="{F18159D6-C5B8-4BD7-9D29-043A7BB6F2ED}" name="wins" dataDxfId="116">
      <calculatedColumnFormula>COUNTIF(Scenario2[winner1-ability4],AvengerAbilities4Scenario2[[#This Row],[ability]])</calculatedColumnFormula>
    </tableColumn>
    <tableColumn id="4" xr3:uid="{5D2EF02F-DEB6-4E46-A7E5-3F277ED38E6B}" name="battles-take-rate" dataDxfId="115">
      <calculatedColumnFormula>IF(SUM(AvengerAbilities4Scenario2[[#This Row],[takes]]) &gt; 0,AvengerAbilities4Scenario2[[#This Row],[takes]]/SUM(AvengerAbilities4Scenario2[takes]),0)</calculatedColumnFormula>
    </tableColumn>
    <tableColumn id="5" xr3:uid="{8C278A5A-3050-46F4-84FB-A7AF3505AA1E}" name="take-win-rate" dataDxfId="114">
      <calculatedColumnFormula>IF(AvengerAbilities4Scenario2[[#This Row],[takes]]&gt;0,AvengerAbilities4Scenario2[[#This Row],[wins]]/AvengerAbilities4Scenario2[[#This Row],[takes]],0)</calculatedColumnFormula>
    </tableColumn>
  </tableColumns>
  <tableStyleInfo name="TableStyleMedium2" showFirstColumn="0" showLastColumn="0" showRowStripes="1" showColumnStripes="0"/>
</table>
</file>

<file path=xl/tables/table2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1" xr:uid="{1CE1CC82-01BA-4DE2-BEE5-68C61C0D655C}" name="AvengerEquipScenario2" displayName="AvengerEquipScenario2" ref="R44:U47" totalsRowShown="0">
  <autoFilter ref="R44:U47" xr:uid="{BDEC3E9D-FA56-4E08-A52D-2A8BEB87833A}"/>
  <tableColumns count="4">
    <tableColumn id="1" xr3:uid="{2204119C-D511-416E-A82E-C2705014E21D}" name="level"/>
    <tableColumn id="2" xr3:uid="{C83C673F-6264-4726-ACC8-5DC02EC0E935}" name="sabre" dataDxfId="113">
      <calculatedColumnFormula>COUNTIFS(Scenario2[winner1],"avenger",Scenario2[winner1-pw],AvengerEquipScenario2[[#This Row],[level]])+COUNTIFS(Scenario2[loser1],"avenger",Scenario2[loser1-pw],AvengerEquipScenario2[[#This Row],[level]])</calculatedColumnFormula>
    </tableColumn>
    <tableColumn id="3" xr3:uid="{0A633C65-D412-43AD-A581-457DD3B90677}" name="blade" dataDxfId="112">
      <calculatedColumnFormula>COUNTIFS(Scenario2[winner1],"avenger",Scenario2[winner1-sw],AvengerEquipScenario2[[#This Row],[level]])+COUNTIFS(Scenario2[loser1],"avenger",Scenario2[loser1-sw],AvengerEquipScenario2[[#This Row],[level]])</calculatedColumnFormula>
    </tableColumn>
    <tableColumn id="4" xr3:uid="{38EEE023-9CA7-4DC5-AD62-1304929A42BB}" name="chestpiece" dataDxfId="111">
      <calculatedColumnFormula>COUNTIFS(Scenario2[winner1],"avenger",Scenario2[winner1-cp],AvengerEquipScenario2[[#This Row],[level]])+COUNTIFS(Scenario2[loser1],"avenger",Scenario2[loser1-cp],AvengerEquipScenario2[[#This Row],[level]])</calculatedColumnFormula>
    </tableColumn>
  </tableColumns>
  <tableStyleInfo name="TableStyleMedium2" showFirstColumn="0" showLastColumn="0" showRowStripes="1" showColumnStripes="0"/>
</table>
</file>

<file path=xl/tables/table2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12BB833-8AB0-4DDF-BBA3-11AC313A3C95}" name="UpgradeStatistics1926" displayName="UpgradeStatistics1926" ref="W1:X11" totalsRowShown="0">
  <autoFilter ref="W1:X11" xr:uid="{212BB833-8AB0-4DDF-BBA3-11AC313A3C95}"/>
  <tableColumns count="2">
    <tableColumn id="1" xr3:uid="{066227EC-5930-4EA3-8060-DA47E2F6F0FA}" name="upgrade"/>
    <tableColumn id="3" xr3:uid="{338E05EA-26EF-456A-B84A-CDDB81878176}" name="rate" dataDxfId="110"/>
  </tableColumns>
  <tableStyleInfo name="TableStyleMedium2" showFirstColumn="0" showLastColumn="0" showRowStripes="1" showColumnStripes="0"/>
</table>
</file>

<file path=xl/tables/table2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7" xr:uid="{2C9EEF2E-AFFC-479E-AF80-7B9FC063A95B}" name="AvengerAbilities1Scenario3" displayName="AvengerAbilities1Scenario3" ref="L65:P68" totalsRowShown="0">
  <autoFilter ref="L65:P68" xr:uid="{2C9EEF2E-AFFC-479E-AF80-7B9FC063A95B}"/>
  <tableColumns count="5">
    <tableColumn id="2" xr3:uid="{340F1230-B9EC-47C7-839A-F75B04DBDF60}" name="ability"/>
    <tableColumn id="6" xr3:uid="{D3408A9B-477F-45E2-B15E-7311D888D9A4}" name="takes" dataDxfId="109">
      <calculatedColumnFormula>COUNTIF(Scenario3[winner1-ability1],AvengerAbilities1Scenario3[[#This Row],[ability]])+COUNTIF(Scenario3[loser1-ability1],AvengerAbilities1Scenario3[[#This Row],[ability]])+COUNTIF(Scenario3[loser2-ability1],AvengerAbilities1Scenario3[[#This Row],[ability]])</calculatedColumnFormula>
    </tableColumn>
    <tableColumn id="4" xr3:uid="{E561545C-1EB9-4812-B86D-44448EAF6918}" name="wins" dataDxfId="108">
      <calculatedColumnFormula>COUNTIF(Scenario3[winner1-ability1],AvengerAbilities1Scenario3[[#This Row],[ability]])</calculatedColumnFormula>
    </tableColumn>
    <tableColumn id="5" xr3:uid="{925E1B42-8A3A-40EE-9A46-817810CDD8FB}" name="battles-take-rate" dataDxfId="107">
      <calculatedColumnFormula>IF(SUM(AvengerAbilities1Scenario3[[#This Row],[takes]]) &gt; 0,AvengerAbilities1Scenario3[[#This Row],[takes]]/SUM(AvengerAbilities1Scenario3[takes]),0)</calculatedColumnFormula>
    </tableColumn>
    <tableColumn id="7" xr3:uid="{278F8FFD-5543-4405-93D8-E1EB5086BC97}" name="take-win-rate" dataDxfId="106">
      <calculatedColumnFormula>IF(AvengerAbilities1Scenario3[[#This Row],[takes]]&gt;0,AvengerAbilities1Scenario3[[#This Row],[wins]]/AvengerAbilities1Scenario3[[#This Row],[takes]],0)</calculatedColumnFormula>
    </tableColumn>
  </tableColumns>
  <tableStyleInfo name="TableStyleMedium2" showFirstColumn="0" showLastColumn="0" showRowStripes="1" showColumnStripes="0"/>
</table>
</file>

<file path=xl/tables/table2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8" xr:uid="{01CFC75A-EE6F-42E4-A473-DC7F977FD41C}" name="AvengerAbilities2Scenario3" displayName="AvengerAbilities2Scenario3" ref="L70:P73" totalsRowShown="0" headerRowDxfId="105" headerRowBorderDxfId="104" tableBorderDxfId="103" totalsRowBorderDxfId="102">
  <autoFilter ref="L70:P73" xr:uid="{01CFC75A-EE6F-42E4-A473-DC7F977FD41C}"/>
  <tableColumns count="5">
    <tableColumn id="1" xr3:uid="{B9A0232F-95A6-44D5-8E17-4E469B235200}" name="ability"/>
    <tableColumn id="2" xr3:uid="{47743E3C-DE9A-42EF-BF6E-7AE382FA3F1C}" name="takes" dataDxfId="101">
      <calculatedColumnFormula>COUNTIF(Scenario3[winner1-ability2],AvengerAbilities2Scenario3[[#This Row],[ability]])+COUNTIF(Scenario3[loser1-ability2],AvengerAbilities2Scenario3[[#This Row],[ability]])+COUNTIF(Scenario3[loser2-ability2],AvengerAbilities2Scenario3[[#This Row],[ability]])</calculatedColumnFormula>
    </tableColumn>
    <tableColumn id="3" xr3:uid="{2E671075-0EC6-4B9E-8D9D-B1ABB5C5861C}" name="wins" dataDxfId="100">
      <calculatedColumnFormula>COUNTIF(Scenario3[winner1-ability2],AvengerAbilities2Scenario3[[#This Row],[ability]])</calculatedColumnFormula>
    </tableColumn>
    <tableColumn id="4" xr3:uid="{DA0323F7-D766-4C91-9345-7103E5B2B2FA}" name="battles-take-rate" dataDxfId="99">
      <calculatedColumnFormula>IF(SUM(AvengerAbilities2Scenario3[[#This Row],[takes]]) &gt; 0,AvengerAbilities2Scenario3[[#This Row],[takes]]/SUM(AvengerAbilities2Scenario3[takes]),0)</calculatedColumnFormula>
    </tableColumn>
    <tableColumn id="5" xr3:uid="{10449001-7AB4-406C-BBC6-4FAD99048774}" name="take-win-rate" dataDxfId="98">
      <calculatedColumnFormula>IF(AvengerAbilities2Scenario3[[#This Row],[takes]]&gt;0,AvengerAbilities2Scenario3[[#This Row],[wins]]/AvengerAbilities2Scenario3[[#This Row],[takes]],0)</calculatedColumnFormula>
    </tableColumn>
  </tableColumns>
  <tableStyleInfo name="TableStyleMedium2" showFirstColumn="0" showLastColumn="0" showRowStripes="1" showColumnStripes="0"/>
</table>
</file>

<file path=xl/tables/table2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9" xr:uid="{E0198DEC-FCBB-4FA6-B0FC-EB2F9B9D081F}" name="AvengerAbilities3Scenario3" displayName="AvengerAbilities3Scenario3" ref="L75:P78" totalsRowShown="0" headerRowDxfId="97" headerRowBorderDxfId="96" tableBorderDxfId="95" totalsRowBorderDxfId="94">
  <autoFilter ref="L75:P78" xr:uid="{E0198DEC-FCBB-4FA6-B0FC-EB2F9B9D081F}"/>
  <tableColumns count="5">
    <tableColumn id="1" xr3:uid="{392D51F3-27D7-41E5-BD0A-68660083E1C0}" name="ability"/>
    <tableColumn id="2" xr3:uid="{0973F249-1F83-42F6-B83D-6BEF8C96708E}" name="takes" dataDxfId="93">
      <calculatedColumnFormula>COUNTIF(Scenario3[winner1-ability3],AvengerAbilities3Scenario3[[#This Row],[ability]])+COUNTIF(Scenario3[loser1-ability3],AvengerAbilities3Scenario3[[#This Row],[ability]])+COUNTIF(Scenario3[loser2-ability3],AvengerAbilities3Scenario3[[#This Row],[ability]])</calculatedColumnFormula>
    </tableColumn>
    <tableColumn id="3" xr3:uid="{A3B37FD9-96EB-4593-BC97-8352D780F7BB}" name="wins" dataDxfId="92">
      <calculatedColumnFormula>COUNTIF(Scenario3[winner1-ability3],AvengerAbilities3Scenario3[[#This Row],[ability]])</calculatedColumnFormula>
    </tableColumn>
    <tableColumn id="4" xr3:uid="{DC30695C-AE61-4301-A803-CC651376959D}" name="battles-take-rate" dataDxfId="91">
      <calculatedColumnFormula>IF(SUM(AvengerAbilities3Scenario3[[#This Row],[takes]]) &gt; 0,AvengerAbilities3Scenario3[[#This Row],[takes]]/SUM(AvengerAbilities3Scenario3[takes]),0)</calculatedColumnFormula>
    </tableColumn>
    <tableColumn id="5" xr3:uid="{908928FD-15B2-4ED0-B957-C277844AC917}" name="take-win-rate" dataDxfId="90">
      <calculatedColumnFormula>IF(AvengerAbilities3Scenario3[[#This Row],[takes]]&gt;0,AvengerAbilities3Scenario3[[#This Row],[wins]]/AvengerAbilities3Scenario3[[#This Row],[takes]],0)</calculatedColumnFormula>
    </tableColumn>
  </tableColumns>
  <tableStyleInfo name="TableStyleMedium2" showFirstColumn="0" showLastColumn="0" showRowStripes="1" showColumnStripes="0"/>
</table>
</file>

<file path=xl/tables/table2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0" xr:uid="{DFBA6C76-2A45-4005-8A4B-B62B537356D5}" name="AvengerAbilities4Scenario3" displayName="AvengerAbilities4Scenario3" ref="L80:P83" totalsRowShown="0" headerRowDxfId="89" headerRowBorderDxfId="88" tableBorderDxfId="87" totalsRowBorderDxfId="86">
  <autoFilter ref="L80:P83" xr:uid="{DFBA6C76-2A45-4005-8A4B-B62B537356D5}"/>
  <tableColumns count="5">
    <tableColumn id="1" xr3:uid="{8C137A68-6D0C-49C3-8547-6CB48E7F2480}" name="ability" dataDxfId="85"/>
    <tableColumn id="2" xr3:uid="{BD1DED06-4C3E-47DC-8BD0-68CA34A1DA7A}" name="takes" dataDxfId="84">
      <calculatedColumnFormula>COUNTIF(Scenario3[winner1-ability4],AvengerAbilities4Scenario3[[#This Row],[ability]])+COUNTIF(Scenario3[loser1-ability4],AvengerAbilities4Scenario3[[#This Row],[ability]])+COUNTIF(Scenario3[loser2-ability4],AvengerAbilities4Scenario3[[#This Row],[ability]])</calculatedColumnFormula>
    </tableColumn>
    <tableColumn id="3" xr3:uid="{E0C1FCDE-5A84-4698-9738-1BCB97F526C3}" name="wins" dataDxfId="83">
      <calculatedColumnFormula>COUNTIF(Scenario3[winner1-ability4],AvengerAbilities4Scenario3[[#This Row],[ability]])</calculatedColumnFormula>
    </tableColumn>
    <tableColumn id="4" xr3:uid="{B8548539-0603-48EF-9DA8-3DCC5CD89D09}" name="battles-take-rate" dataDxfId="82">
      <calculatedColumnFormula>IF(SUM(AvengerAbilities4Scenario3[[#This Row],[takes]]) &gt; 0,AvengerAbilities4Scenario3[[#This Row],[takes]]/SUM(AvengerAbilities4Scenario3[takes]),0)</calculatedColumnFormula>
    </tableColumn>
    <tableColumn id="5" xr3:uid="{0EF7ECE6-B3BE-4901-861B-179060FAB7E4}" name="take-win-rate" dataDxfId="81">
      <calculatedColumnFormula>IF(AvengerAbilities4Scenario3[[#This Row],[takes]]&gt;0,AvengerAbilities4Scenario3[[#This Row],[wins]]/AvengerAbilities4Scenario3[[#This Row],[takes]],0)</calculatedColumnFormula>
    </tableColumn>
  </tableColumns>
  <tableStyleInfo name="TableStyleMedium2" showFirstColumn="0" showLastColumn="0" showRowStripes="1" showColumnStripes="0"/>
</table>
</file>

<file path=xl/tables/table2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1" xr:uid="{CD519AA8-2FD7-481F-8689-CC94BEAB1F4C}" name="AvengerEquipScenario3" displayName="AvengerEquipScenario3" ref="R65:U68" totalsRowShown="0">
  <autoFilter ref="R65:U68" xr:uid="{CD519AA8-2FD7-481F-8689-CC94BEAB1F4C}"/>
  <tableColumns count="4">
    <tableColumn id="1" xr3:uid="{2A21EDDD-A1E5-4030-A674-E822EEB72FDF}" name="level"/>
    <tableColumn id="2" xr3:uid="{520AB032-38EA-4F96-9EF0-771A9A7EA1B6}" name="sabre" dataDxfId="80">
      <calculatedColumnFormula>COUNTIFS(Scenario3[winner1],"avenger",Scenario3[winner1-pw],AvengerEquipScenario3[[#This Row],[level]])+COUNTIFS(Scenario3[loser1],"avenger",Scenario3[loser1-pw],AvengerEquipScenario3[[#This Row],[level]])+COUNTIFS(Scenario3[loser2],"avenger",Scenario3[loser2-pw],AvengerEquipScenario3[[#This Row],[level]])</calculatedColumnFormula>
    </tableColumn>
    <tableColumn id="3" xr3:uid="{5693F2FD-62BD-4674-92DF-D2F0FB35AE0B}" name="blade" dataDxfId="79">
      <calculatedColumnFormula>COUNTIFS(Scenario3[winner1],"avenger",Scenario3[winner1-sw],AvengerEquipScenario3[[#This Row],[level]])+COUNTIFS(Scenario3[loser1],"avenger",Scenario3[loser1-sw],AvengerEquipScenario3[[#This Row],[level]])+COUNTIFS(Scenario3[loser2],"avenger",Scenario3[loser2-sw],AvengerEquipScenario3[[#This Row],[level]])</calculatedColumnFormula>
    </tableColumn>
    <tableColumn id="4" xr3:uid="{09DA2608-866B-4D89-826F-62947B9EE33F}" name="chestpiece" dataDxfId="78">
      <calculatedColumnFormula>COUNTIFS(Scenario3[winner1],"avenger",Scenario3[winner1-cp],AvengerEquipScenario3[[#This Row],[level]])+COUNTIFS(Scenario3[loser1],"avenger",Scenario3[loser1-cp],AvengerEquipScenario3[[#This Row],[level]])+COUNTIFS(Scenario3[loser2],"avenger",Scenario3[loser2-cp],AvengerEquipScenario3[[#This Row],[level]])</calculatedColumnFormula>
    </tableColumn>
  </tableColumns>
  <tableStyleInfo name="TableStyleMedium2" showFirstColumn="0" showLastColumn="0" showRowStripes="1" showColumnStripes="0"/>
</table>
</file>

<file path=xl/tables/table2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0" xr:uid="{3062414F-0307-4E31-869D-F4935D589A75}" name="AvengerAbilities1Scenario4" displayName="AvengerAbilities1Scenario4" ref="L86:P89" totalsRowShown="0">
  <autoFilter ref="L86:P89" xr:uid="{3062414F-0307-4E31-869D-F4935D589A75}"/>
  <tableColumns count="5">
    <tableColumn id="2" xr3:uid="{6CAA90B7-F55C-41E9-81E6-5AB489CAB25E}" name="ability"/>
    <tableColumn id="6" xr3:uid="{18A75B8D-11A2-4BF0-B453-3B522016FB6A}" name="takes" dataDxfId="77">
      <calculatedColumnFormula>COUNTIF(Scenario4[winner1-ability1],AvengerAbilities1Scenario4[[#This Row],[ability]])+COUNTIF(Scenario4[loser1-ability1],AvengerAbilities1Scenario4[[#This Row],[ability]])+COUNTIF(Scenario4[loser2-ability1],AvengerAbilities1Scenario4[[#This Row],[ability]])+COUNTIF(Scenario4[loser3-ability1],AvengerAbilities1Scenario4[[#This Row],[ability]])</calculatedColumnFormula>
    </tableColumn>
    <tableColumn id="4" xr3:uid="{C1B1F8A2-8783-4CDD-8B20-32ABED590457}" name="wins" dataDxfId="76">
      <calculatedColumnFormula>COUNTIF(Scenario4[winner1-ability1],AvengerAbilities1Scenario4[[#This Row],[ability]])</calculatedColumnFormula>
    </tableColumn>
    <tableColumn id="5" xr3:uid="{2B01D9E4-5C78-4A53-A8EA-8D87E0149485}" name="battles-take-rate" dataDxfId="75">
      <calculatedColumnFormula>IF(SUM(AvengerAbilities1Scenario4[[#This Row],[takes]]) &gt; 0,AvengerAbilities1Scenario4[[#This Row],[takes]]/SUM(AvengerAbilities1Scenario4[takes]),0)</calculatedColumnFormula>
    </tableColumn>
    <tableColumn id="7" xr3:uid="{7106F70F-163C-42C6-904A-4A27693DA5AB}" name="take-win-rate" dataDxfId="74">
      <calculatedColumnFormula>IF(AvengerAbilities1Scenario4[[#This Row],[takes]]&gt;0,AvengerAbilities1Scenario4[[#This Row],[wins]]/AvengerAbilities1Scenario4[[#This Row],[takes]],0)</calculatedColumnFormula>
    </tableColumn>
  </tableColumns>
  <tableStyleInfo name="TableStyleMedium2" showFirstColumn="0" showLastColumn="0" showRowStripes="1" showColumnStripes="0"/>
</table>
</file>

<file path=xl/tables/table2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1" xr:uid="{E4C1192C-838B-412B-8856-5A65351BD147}" name="AvengerAbilities2Scenario4" displayName="AvengerAbilities2Scenario4" ref="L91:P94" totalsRowShown="0" headerRowDxfId="73" headerRowBorderDxfId="72" tableBorderDxfId="71" totalsRowBorderDxfId="70">
  <autoFilter ref="L91:P94" xr:uid="{E4C1192C-838B-412B-8856-5A65351BD147}"/>
  <tableColumns count="5">
    <tableColumn id="1" xr3:uid="{AF9A24FC-EC75-40D7-8E41-2C735857AA01}" name="ability"/>
    <tableColumn id="2" xr3:uid="{820F573A-87B3-40D8-AB97-5524318E368C}" name="takes" dataDxfId="69">
      <calculatedColumnFormula>COUNTIF(Scenario4[winner1-ability2],AvengerAbilities2Scenario4[[#This Row],[ability]])+COUNTIF(Scenario4[loser1-ability2],AvengerAbilities2Scenario4[[#This Row],[ability]])+COUNTIF(Scenario4[loser2-ability2],AvengerAbilities2Scenario4[[#This Row],[ability]])+COUNTIF(Scenario4[loser3-ability2],AvengerAbilities2Scenario4[[#This Row],[ability]])</calculatedColumnFormula>
    </tableColumn>
    <tableColumn id="3" xr3:uid="{B1A9734A-4CE3-488C-A6CC-64E876EEA30D}" name="wins" dataDxfId="68">
      <calculatedColumnFormula>COUNTIF(Scenario4[winner1-ability2],AvengerAbilities2Scenario4[[#This Row],[ability]])</calculatedColumnFormula>
    </tableColumn>
    <tableColumn id="4" xr3:uid="{0CB5E9F8-1096-4C85-BE7F-5AA7B8C01603}" name="battles-take-rate" dataDxfId="67">
      <calculatedColumnFormula>IF(SUM(AvengerAbilities2Scenario4[[#This Row],[takes]]) &gt; 0,AvengerAbilities2Scenario4[[#This Row],[takes]]/SUM(AvengerAbilities2Scenario4[takes]),0)</calculatedColumnFormula>
    </tableColumn>
    <tableColumn id="5" xr3:uid="{24EB9163-C4A5-4829-9D91-30F3BF6E0F6E}" name="take-win-rate" dataDxfId="66">
      <calculatedColumnFormula>IF(AvengerAbilities2Scenario4[[#This Row],[takes]]&gt;0,AvengerAbilities2Scenario4[[#This Row],[wins]]/AvengerAbilities2Scenario4[[#This Row],[takes]],0)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A29664-241D-4460-819F-8FE8E5CEB60F}" name="ScenarioTeams0" displayName="ScenarioTeams0" ref="I2:M30">
  <autoFilter ref="I2:M30" xr:uid="{3BA29664-241D-4460-819F-8FE8E5CEB60F}"/>
  <tableColumns count="5">
    <tableColumn id="1" xr3:uid="{D747465F-E635-4B05-B7AF-0414E2D94D49}" name="hero-1" totalsRowLabel="Total"/>
    <tableColumn id="2" xr3:uid="{8B3A87A8-CF4B-4A42-8A73-D2647830C115}" name="hero-2"/>
    <tableColumn id="7" xr3:uid="{8BF8BDA1-C689-494F-A791-83657D52CC61}" name="battles" totalsRowFunction="count" dataDxfId="1810">
      <calculatedColumnFormula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calculatedColumnFormula>
    </tableColumn>
    <tableColumn id="3" xr3:uid="{8C849232-396A-4450-80DA-F0C8AB2F4EA2}" name="wins" dataDxfId="1809">
      <calculatedColumnFormula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calculatedColumnFormula>
    </tableColumn>
    <tableColumn id="5" xr3:uid="{34CD741D-CA82-4B7A-AE14-FE9F3D0AD7AE}" name="win-rate" totalsRowFunction="sum" dataDxfId="1808" totalsRowDxfId="1807">
      <calculatedColumnFormula>IF(ScenarioTeams0[[#This Row],[battles]],ScenarioTeams0[[#This Row],[wins]]/ScenarioTeams0[[#This Row],[battles]],0)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A0A97CA7-01BF-4D92-A7D1-F51028CD7758}" name="ParagonAbilities1Scenario1" displayName="ParagonAbilities1Scenario1" ref="L23:P26" totalsRowShown="0">
  <autoFilter ref="L23:P26" xr:uid="{A0A97CA7-01BF-4D92-A7D1-F51028CD7758}"/>
  <tableColumns count="5">
    <tableColumn id="2" xr3:uid="{7353A081-CEBA-4032-ABAB-AD70EAD92DC8}" name="ability"/>
    <tableColumn id="6" xr3:uid="{EFC97F07-2656-4EA7-AF87-49179C49416A}" name="takes" dataDxfId="1702">
      <calculatedColumnFormula>COUNTIF(Scenario1[winner1-ability1],ParagonAbilities1Scenario1[[#This Row],[ability]])+COUNTIF(Scenario1[winner2-ability1],ParagonAbilities1Scenario1[[#This Row],[ability]])+COUNTIF(Scenario1[loser1-ability1],ParagonAbilities1Scenario1[[#This Row],[ability]])+COUNTIF(Scenario1[loser2-ability1],ParagonAbilities1Scenario1[[#This Row],[ability]])</calculatedColumnFormula>
    </tableColumn>
    <tableColumn id="4" xr3:uid="{FAF2E327-3CFA-421F-95F4-EAB3152B4172}" name="wins" dataDxfId="1701">
      <calculatedColumnFormula>COUNTIF(Scenario1[winner1-ability1],ParagonAbilities1Scenario1[[#This Row],[ability]])+COUNTIF(Scenario1[winner2-ability1],ParagonAbilities1Scenario1[[#This Row],[ability]])</calculatedColumnFormula>
    </tableColumn>
    <tableColumn id="5" xr3:uid="{9DD0CFE0-6200-43A6-9FA7-D842C1CC9D60}" name="battles-take-rate" dataDxfId="1700">
      <calculatedColumnFormula>IF(SUM(ParagonAbilities1Scenario1[[#This Row],[takes]]) &gt; 0,ParagonAbilities1Scenario1[[#This Row],[takes]]/SUM(ParagonAbilities1Scenario1[takes]),0)</calculatedColumnFormula>
    </tableColumn>
    <tableColumn id="7" xr3:uid="{C3CCE18B-8F47-49D1-817B-59C26CF4B2B5}" name="take-win-rate" dataDxfId="1699">
      <calculatedColumnFormula>IF(ParagonAbilities1Scenario1[[#This Row],[takes]]&gt;0,ParagonAbilities1Scenario1[[#This Row],[wins]]/ParagonAbilities1Scenario1[[#This Row],[takes]],0)</calculatedColumnFormula>
    </tableColumn>
  </tableColumns>
  <tableStyleInfo name="TableStyleMedium2" showFirstColumn="0" showLastColumn="0" showRowStripes="1" showColumnStripes="0"/>
</table>
</file>

<file path=xl/tables/table3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2" xr:uid="{73CD5CF4-EB8D-4510-9AD9-31A7E1F0585E}" name="AvengerAbilities3Scenario4" displayName="AvengerAbilities3Scenario4" ref="L96:P99" totalsRowShown="0" headerRowDxfId="65" headerRowBorderDxfId="64" tableBorderDxfId="63" totalsRowBorderDxfId="62">
  <autoFilter ref="L96:P99" xr:uid="{73CD5CF4-EB8D-4510-9AD9-31A7E1F0585E}"/>
  <tableColumns count="5">
    <tableColumn id="1" xr3:uid="{2A240571-D871-4365-84C9-B610D4D4B55E}" name="ability"/>
    <tableColumn id="2" xr3:uid="{4E85BDEC-7BE2-4F03-90A6-CE4C1B5E91B1}" name="takes" dataDxfId="61">
      <calculatedColumnFormula>COUNTIF(Scenario4[winner1-ability3],AvengerAbilities3Scenario4[[#This Row],[ability]])+COUNTIF(Scenario4[loser1-ability3],AvengerAbilities3Scenario4[[#This Row],[ability]])+COUNTIF(Scenario4[loser2-ability3],AvengerAbilities3Scenario4[[#This Row],[ability]])+COUNTIF(Scenario4[loser3-ability3],AvengerAbilities3Scenario4[[#This Row],[ability]])</calculatedColumnFormula>
    </tableColumn>
    <tableColumn id="3" xr3:uid="{D269348A-C502-4799-B35A-DB462BFE8FC6}" name="wins" dataDxfId="60">
      <calculatedColumnFormula>COUNTIF(Scenario4[winner1-ability3],AvengerAbilities3Scenario4[[#This Row],[ability]])</calculatedColumnFormula>
    </tableColumn>
    <tableColumn id="4" xr3:uid="{C7BFDFBD-FC68-477D-8FFA-2D300E1AA89D}" name="battles-take-rate" dataDxfId="59">
      <calculatedColumnFormula>IF(SUM(AvengerAbilities3Scenario4[[#This Row],[takes]]) &gt; 0,AvengerAbilities3Scenario4[[#This Row],[takes]]/SUM(AvengerAbilities3Scenario4[takes]),0)</calculatedColumnFormula>
    </tableColumn>
    <tableColumn id="5" xr3:uid="{C78BA6D8-8272-4407-84C1-CF311E84A704}" name="take-win-rate" dataDxfId="58">
      <calculatedColumnFormula>IF(AvengerAbilities3Scenario4[[#This Row],[takes]]&gt;0,AvengerAbilities3Scenario4[[#This Row],[wins]]/AvengerAbilities3Scenario4[[#This Row],[takes]],0)</calculatedColumnFormula>
    </tableColumn>
  </tableColumns>
  <tableStyleInfo name="TableStyleMedium2" showFirstColumn="0" showLastColumn="0" showRowStripes="1" showColumnStripes="0"/>
</table>
</file>

<file path=xl/tables/table3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3" xr:uid="{E0C2D5AA-63BE-4431-96B6-ED61F1B43B2C}" name="AvengerAbilities4Scenario4" displayName="AvengerAbilities4Scenario4" ref="L101:P104" totalsRowShown="0" headerRowDxfId="57" headerRowBorderDxfId="56" tableBorderDxfId="55" totalsRowBorderDxfId="54">
  <autoFilter ref="L101:P104" xr:uid="{E0C2D5AA-63BE-4431-96B6-ED61F1B43B2C}"/>
  <tableColumns count="5">
    <tableColumn id="1" xr3:uid="{69A79FA2-C7FA-4C00-84A3-F37C8FA60546}" name="ability" dataDxfId="53"/>
    <tableColumn id="2" xr3:uid="{E2E7B263-F388-4826-AF29-E7140D39D1AF}" name="takes" dataDxfId="52">
      <calculatedColumnFormula>COUNTIF(Scenario4[winner1-ability4],AvengerAbilities4Scenario4[[#This Row],[ability]])+COUNTIF(Scenario4[loser1-ability4],AvengerAbilities4Scenario4[[#This Row],[ability]])+COUNTIF(Scenario4[loser2-ability4],AvengerAbilities4Scenario4[[#This Row],[ability]])+COUNTIF(Scenario4[loser3-ability4],AvengerAbilities4Scenario4[[#This Row],[ability]])</calculatedColumnFormula>
    </tableColumn>
    <tableColumn id="3" xr3:uid="{962C4A4C-711B-415B-8DB6-44C475598361}" name="wins" dataDxfId="51">
      <calculatedColumnFormula>COUNTIF(Scenario4[winner1-ability4],AvengerAbilities4Scenario4[[#This Row],[ability]])</calculatedColumnFormula>
    </tableColumn>
    <tableColumn id="4" xr3:uid="{4AF24253-BE96-42B9-8264-BF3FCEE7A29E}" name="battles-take-rate" dataDxfId="50">
      <calculatedColumnFormula>IF(SUM(AvengerAbilities4Scenario4[[#This Row],[takes]]) &gt; 0,AvengerAbilities4Scenario4[[#This Row],[takes]]/SUM(AvengerAbilities4Scenario4[takes]),0)</calculatedColumnFormula>
    </tableColumn>
    <tableColumn id="5" xr3:uid="{F0DF66EF-1A81-447A-A028-4C5327861469}" name="take-win-rate" dataDxfId="49">
      <calculatedColumnFormula>IF(AvengerAbilities4Scenario4[[#This Row],[takes]]&gt;0,AvengerAbilities4Scenario4[[#This Row],[wins]]/AvengerAbilities4Scenario4[[#This Row],[takes]],0)</calculatedColumnFormula>
    </tableColumn>
  </tableColumns>
  <tableStyleInfo name="TableStyleMedium2" showFirstColumn="0" showLastColumn="0" showRowStripes="1" showColumnStripes="0"/>
</table>
</file>

<file path=xl/tables/table3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4" xr:uid="{C0AB1F27-C48F-49FC-A367-088923D74917}" name="AvengerEquipScenario4" displayName="AvengerEquipScenario4" ref="R86:U89" totalsRowShown="0">
  <autoFilter ref="R86:U89" xr:uid="{C0AB1F27-C48F-49FC-A367-088923D74917}"/>
  <tableColumns count="4">
    <tableColumn id="1" xr3:uid="{6EC63002-D7AC-4943-A3B4-B8EF7A2460BC}" name="level"/>
    <tableColumn id="2" xr3:uid="{4E9F6186-425D-4CA0-81DA-3DFD5AAC3578}" name="sabre" dataDxfId="48">
      <calculatedColumnFormula>COUNTIFS(Scenario4[winner1],"avenger",Scenario4[winner1-pw],AvengerEquipScenario4[[#This Row],[level]])+COUNTIFS(Scenario4[loser1],"avenger",Scenario4[loser1-pw],AvengerEquipScenario4[[#This Row],[level]])+COUNTIFS(Scenario4[loser2],"avenger",Scenario4[loser2-pw],AvengerEquipScenario4[[#This Row],[level]])+COUNTIFS(Scenario4[loser3],"avenger",Scenario4[loser3-pw],AvengerEquipScenario4[[#This Row],[level]])</calculatedColumnFormula>
    </tableColumn>
    <tableColumn id="3" xr3:uid="{0D56E722-96AF-4483-931F-3C4F669DEE76}" name="blade" dataDxfId="47">
      <calculatedColumnFormula>COUNTIFS(Scenario4[winner1],"avenger",Scenario4[winner1-sw],AvengerEquipScenario4[[#This Row],[level]])+COUNTIFS(Scenario4[loser1],"avenger",Scenario4[loser1-sw],AvengerEquipScenario4[[#This Row],[level]])+COUNTIFS(Scenario4[loser2],"avenger",Scenario4[loser2-sw],AvengerEquipScenario4[[#This Row],[level]])+COUNTIFS(Scenario4[loser3],"avenger",Scenario4[loser3-sw],AvengerEquipScenario4[[#This Row],[level]])</calculatedColumnFormula>
    </tableColumn>
    <tableColumn id="4" xr3:uid="{B4441936-1793-4D67-A544-FC28E016C475}" name="chestpiece" dataDxfId="46">
      <calculatedColumnFormula>COUNTIFS(Scenario4[winner1],"avenger",Scenario4[winner1-cp],AvengerEquipScenario4[[#This Row],[level]])+COUNTIFS(Scenario4[loser1],"avenger",Scenario4[loser1-cp],AvengerEquipScenario4[[#This Row],[level]])+COUNTIFS(Scenario4[loser2],"avenger",Scenario4[loser2-cp],AvengerEquipScenario4[[#This Row],[level]])+COUNTIFS(Scenario4[loser3],"avenger",Scenario4[loser3-cp],AvengerEquipScenario4[[#This Row],[level]])</calculatedColumnFormula>
    </tableColumn>
  </tableColumns>
  <tableStyleInfo name="TableStyleMedium2" showFirstColumn="0" showLastColumn="0" showRowStripes="1" showColumnStripes="0"/>
</table>
</file>

<file path=xl/tables/table3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3" xr:uid="{A63FB71A-E28D-4CA6-97AB-031ADA5AAAE2}" name="AvengerAbilities1Scenario5" displayName="AvengerAbilities1Scenario5" ref="L107:P110" totalsRowShown="0">
  <autoFilter ref="L107:P110" xr:uid="{A63FB71A-E28D-4CA6-97AB-031ADA5AAAE2}"/>
  <tableColumns count="5">
    <tableColumn id="2" xr3:uid="{CC2537FB-DE6F-411F-A388-DE9344A403A4}" name="ability"/>
    <tableColumn id="6" xr3:uid="{16491E86-9F68-4A4F-A4DA-DD05F62E1879}" name="takes" dataDxfId="45">
      <calculatedColumnFormula>COUNTIF(Scenario5[winner1-ability1],AvengerAbilities1Scenario5[[#This Row],[ability]])+COUNTIF(Scenario5[winner2-ability1],AvengerAbilities1Scenario5[[#This Row],[ability]])+COUNTIF(Scenario5[loser1-ability1],AvengerAbilities1Scenario5[[#This Row],[ability]])+COUNTIF(Scenario5[loser2-ability1],AvengerAbilities1Scenario5[[#This Row],[ability]])</calculatedColumnFormula>
    </tableColumn>
    <tableColumn id="4" xr3:uid="{14BD1005-8B41-4F99-9252-5DE51EE1FC7B}" name="wins" dataDxfId="44">
      <calculatedColumnFormula>COUNTIF(Scenario5[winner1-ability1],AvengerAbilities1Scenario5[[#This Row],[ability]])+COUNTIF(Scenario5[winner2-ability1],AvengerAbilities1Scenario5[[#This Row],[ability]])</calculatedColumnFormula>
    </tableColumn>
    <tableColumn id="5" xr3:uid="{EED122D2-EA08-42EE-A265-2C80B4AEF87C}" name="battles-take-rate" dataDxfId="43">
      <calculatedColumnFormula>IF(SUM(AvengerAbilities1Scenario5[[#This Row],[takes]]) &gt; 0,AvengerAbilities1Scenario5[[#This Row],[takes]]/SUM(AvengerAbilities1Scenario5[takes]),0)</calculatedColumnFormula>
    </tableColumn>
    <tableColumn id="7" xr3:uid="{68FE12D0-C156-4854-BBA9-578F0B48EAFD}" name="take-win-rate" dataDxfId="42">
      <calculatedColumnFormula>IF(AvengerAbilities1Scenario5[[#This Row],[takes]]&gt;0,AvengerAbilities1Scenario5[[#This Row],[wins]]/AvengerAbilities1Scenario5[[#This Row],[takes]],0)</calculatedColumnFormula>
    </tableColumn>
  </tableColumns>
  <tableStyleInfo name="TableStyleMedium2" showFirstColumn="0" showLastColumn="0" showRowStripes="1" showColumnStripes="0"/>
</table>
</file>

<file path=xl/tables/table3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4" xr:uid="{C98A1175-5CEA-4F11-8BEB-DB6DE0ABD439}" name="AvengerAbilities2Scenario5" displayName="AvengerAbilities2Scenario5" ref="L112:P115" totalsRowShown="0" headerRowDxfId="41" headerRowBorderDxfId="40" tableBorderDxfId="39" totalsRowBorderDxfId="38">
  <autoFilter ref="L112:P115" xr:uid="{C98A1175-5CEA-4F11-8BEB-DB6DE0ABD439}"/>
  <tableColumns count="5">
    <tableColumn id="1" xr3:uid="{7BD92734-C503-4EF2-BF8D-F31A8B1D1C00}" name="ability"/>
    <tableColumn id="2" xr3:uid="{DB15F2C0-4AAC-40BF-A841-762049EB61CE}" name="takes" dataDxfId="37">
      <calculatedColumnFormula>COUNTIF(Scenario5[winner1-ability2],AvengerAbilities2Scenario5[[#This Row],[ability]])+COUNTIF(Scenario5[winner2-ability2],AvengerAbilities2Scenario5[[#This Row],[ability]])+COUNTIF(Scenario5[loser1-ability2],AvengerAbilities2Scenario5[[#This Row],[ability]])+COUNTIF(Scenario5[loser2-ability2],AvengerAbilities2Scenario5[[#This Row],[ability]])</calculatedColumnFormula>
    </tableColumn>
    <tableColumn id="3" xr3:uid="{41C1A9C4-C63C-4E38-9700-12FF8907E5EB}" name="wins" dataDxfId="36">
      <calculatedColumnFormula>COUNTIF(Scenario5[winner1-ability2],AvengerAbilities2Scenario5[[#This Row],[ability]])+COUNTIF(Scenario5[winner2-ability2],AvengerAbilities2Scenario5[[#This Row],[ability]])</calculatedColumnFormula>
    </tableColumn>
    <tableColumn id="4" xr3:uid="{38E1E195-77D0-44F7-9B11-A8A01E59D2B7}" name="battles-take-rate" dataDxfId="35">
      <calculatedColumnFormula>IF(SUM(AvengerAbilities2Scenario5[[#This Row],[takes]]) &gt; 0,AvengerAbilities2Scenario5[[#This Row],[takes]]/SUM(AvengerAbilities2Scenario5[takes]),0)</calculatedColumnFormula>
    </tableColumn>
    <tableColumn id="5" xr3:uid="{A24CAA09-1AD5-4A2E-A9EB-F7CB17E31F1B}" name="take-win-rate" dataDxfId="34">
      <calculatedColumnFormula>IF(AvengerAbilities2Scenario5[[#This Row],[takes]]&gt;0,AvengerAbilities2Scenario5[[#This Row],[wins]]/AvengerAbilities2Scenario5[[#This Row],[takes]],0)</calculatedColumnFormula>
    </tableColumn>
  </tableColumns>
  <tableStyleInfo name="TableStyleMedium2" showFirstColumn="0" showLastColumn="0" showRowStripes="1" showColumnStripes="0"/>
</table>
</file>

<file path=xl/tables/table3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5" xr:uid="{AB91CA97-A290-47BB-8CFE-C37C508952F2}" name="AvengerAbilities3Scenario5" displayName="AvengerAbilities3Scenario5" ref="L117:P120" totalsRowShown="0" headerRowDxfId="33" headerRowBorderDxfId="32" tableBorderDxfId="31" totalsRowBorderDxfId="30">
  <autoFilter ref="L117:P120" xr:uid="{AB91CA97-A290-47BB-8CFE-C37C508952F2}"/>
  <tableColumns count="5">
    <tableColumn id="1" xr3:uid="{976471E8-853D-4643-A4A0-2A62AE2F9A54}" name="ability"/>
    <tableColumn id="2" xr3:uid="{629E8CB4-F66C-4218-9F36-724397A9C826}" name="takes" dataDxfId="29">
      <calculatedColumnFormula>COUNTIF(Scenario5[winner1-ability3],AvengerAbilities3Scenario5[[#This Row],[ability]])+COUNTIF(Scenario5[winner2-ability3],AvengerAbilities3Scenario5[[#This Row],[ability]])+COUNTIF(Scenario5[loser1-ability3],AvengerAbilities3Scenario5[[#This Row],[ability]])+COUNTIF(Scenario5[loser2-ability3],AvengerAbilities3Scenario5[[#This Row],[ability]])</calculatedColumnFormula>
    </tableColumn>
    <tableColumn id="3" xr3:uid="{67FD14ED-0F5E-44BD-A6A2-5B535C27C248}" name="wins" dataDxfId="28">
      <calculatedColumnFormula>COUNTIF(Scenario5[winner1-ability3],AvengerAbilities3Scenario5[[#This Row],[ability]])+COUNTIF(Scenario5[winner2-ability3],AvengerAbilities3Scenario5[[#This Row],[ability]])</calculatedColumnFormula>
    </tableColumn>
    <tableColumn id="4" xr3:uid="{D7986FD5-E62D-4AB1-93ED-DF14192CF1E8}" name="battles-take-rate" dataDxfId="27">
      <calculatedColumnFormula>IF(SUM(AvengerAbilities3Scenario5[[#This Row],[takes]]) &gt; 0,AvengerAbilities3Scenario5[[#This Row],[takes]]/SUM(AvengerAbilities3Scenario5[takes]),0)</calculatedColumnFormula>
    </tableColumn>
    <tableColumn id="5" xr3:uid="{9C2DC939-D30A-4F18-9A18-6300C84ED6A5}" name="take-win-rate" dataDxfId="26">
      <calculatedColumnFormula>IF(AvengerAbilities3Scenario5[[#This Row],[takes]]&gt;0,AvengerAbilities3Scenario5[[#This Row],[wins]]/AvengerAbilities3Scenario5[[#This Row],[takes]],0)</calculatedColumnFormula>
    </tableColumn>
  </tableColumns>
  <tableStyleInfo name="TableStyleMedium2" showFirstColumn="0" showLastColumn="0" showRowStripes="1" showColumnStripes="0"/>
</table>
</file>

<file path=xl/tables/table3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6" xr:uid="{F160D1D4-E2CA-4D0C-84EC-AA2A7E301211}" name="AvengerAbilities4Scenario5" displayName="AvengerAbilities4Scenario5" ref="L122:P125" totalsRowShown="0" headerRowDxfId="25" headerRowBorderDxfId="24" tableBorderDxfId="23" totalsRowBorderDxfId="22">
  <autoFilter ref="L122:P125" xr:uid="{F160D1D4-E2CA-4D0C-84EC-AA2A7E301211}"/>
  <tableColumns count="5">
    <tableColumn id="1" xr3:uid="{F60168F8-23AE-4CFB-A091-D964CDF9CCBB}" name="ability" dataDxfId="21"/>
    <tableColumn id="2" xr3:uid="{3A51F650-A9B5-4C31-8F09-AC78E854A77D}" name="takes" dataDxfId="20">
      <calculatedColumnFormula>COUNTIF(Scenario5[winner1-ability4],AvengerAbilities4Scenario5[[#This Row],[ability]])+COUNTIF(Scenario5[winner2-ability4],AvengerAbilities4Scenario5[[#This Row],[ability]])+COUNTIF(Scenario5[loser1-ability4],AvengerAbilities4Scenario5[[#This Row],[ability]])+COUNTIF(Scenario5[loser2-ability4],AvengerAbilities4Scenario5[[#This Row],[ability]])</calculatedColumnFormula>
    </tableColumn>
    <tableColumn id="3" xr3:uid="{0F22BC4C-B164-4FC3-B5B0-802DFB85E271}" name="wins" dataDxfId="19">
      <calculatedColumnFormula>COUNTIF(Scenario5[winner1-ability4],AvengerAbilities4Scenario5[[#This Row],[ability]])+COUNTIF(Scenario5[winner2-ability4],AvengerAbilities4Scenario5[[#This Row],[ability]])</calculatedColumnFormula>
    </tableColumn>
    <tableColumn id="4" xr3:uid="{D2846692-4D12-4EED-B196-6EDDA2CC9123}" name="battles-take-rate" dataDxfId="18">
      <calculatedColumnFormula>IF(SUM(AvengerAbilities4Scenario5[[#This Row],[takes]]) &gt; 0,AvengerAbilities4Scenario5[[#This Row],[takes]]/SUM(AvengerAbilities4Scenario5[takes]),0)</calculatedColumnFormula>
    </tableColumn>
    <tableColumn id="5" xr3:uid="{1A30A94F-BCBD-4546-95D2-D8B7E2CE47C8}" name="take-win-rate" dataDxfId="17">
      <calculatedColumnFormula>IF(AvengerAbilities4Scenario5[[#This Row],[takes]]&gt;0,AvengerAbilities4Scenario5[[#This Row],[wins]]/AvengerAbilities4Scenario5[[#This Row],[takes]],0)</calculatedColumnFormula>
    </tableColumn>
  </tableColumns>
  <tableStyleInfo name="TableStyleMedium2" showFirstColumn="0" showLastColumn="0" showRowStripes="1" showColumnStripes="0"/>
</table>
</file>

<file path=xl/tables/table3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7" xr:uid="{90CBCC98-52A2-41AF-9A51-EA670E4041FF}" name="AvengerEquipScenario5" displayName="AvengerEquipScenario5" ref="R107:U110" totalsRowShown="0">
  <autoFilter ref="R107:U110" xr:uid="{90CBCC98-52A2-41AF-9A51-EA670E4041FF}"/>
  <tableColumns count="4">
    <tableColumn id="1" xr3:uid="{ED4CE097-BD52-464C-8773-EC5ABEE59A36}" name="level"/>
    <tableColumn id="2" xr3:uid="{7A158F9E-1D85-4933-9962-5DDD4A6420B7}" name="sabre" dataDxfId="16">
      <calculatedColumnFormula>COUNTIFS(Scenario5[winner1],"avenger",Scenario5[winner1-pw],AvengerEquipScenario5[[#This Row],[level]])+COUNTIFS(Scenario5[winner2],"avenger",Scenario5[winner2-pw],AvengerEquipScenario5[[#This Row],[level]])+COUNTIFS(Scenario5[loser1],"avenger",Scenario5[loser1-pw],AvengerEquipScenario5[[#This Row],[level]])+COUNTIFS(Scenario5[loser2],"avenger",Scenario5[loser2-pw],AvengerEquipScenario5[[#This Row],[level]])</calculatedColumnFormula>
    </tableColumn>
    <tableColumn id="3" xr3:uid="{A7EADE81-94D4-4245-9A5C-CDB539947E07}" name="blade" dataDxfId="15">
      <calculatedColumnFormula>COUNTIFS(Scenario5[winner1],"avenger",Scenario5[winner1-sw],AvengerEquipScenario5[[#This Row],[level]])+COUNTIFS(Scenario5[winner2],"avenger",Scenario5[winner2-sw],AvengerEquipScenario5[[#This Row],[level]])+COUNTIFS(Scenario5[loser1],"avenger",Scenario5[loser1-sw],AvengerEquipScenario5[[#This Row],[level]])+COUNTIFS(Scenario5[loser2],"avenger",Scenario5[loser2-sw],AvengerEquipScenario5[[#This Row],[level]])</calculatedColumnFormula>
    </tableColumn>
    <tableColumn id="4" xr3:uid="{05B4C137-294B-43B2-8727-7708338B0F50}" name="chestpiece" dataDxfId="14">
      <calculatedColumnFormula>COUNTIFS(Scenario5[winner1],"avenger",Scenario5[winner1-cp],AvengerEquipScenario5[[#This Row],[level]])+COUNTIFS(Scenario5[winner2],"avenger",Scenario5[winner2-cp],AvengerEquipScenario5[[#This Row],[level]])+COUNTIFS(Scenario5[loser1],"avenger",Scenario5[loser1-cp],AvengerEquipScenario5[[#This Row],[level]])+COUNTIFS(Scenario5[loser2],"avenger",Scenario5[loser2-cp],AvengerEquipScenario5[[#This Row],[level]])</calculatedColumn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A29CF70A-0B84-46BB-A412-712C2F594795}" name="ParagonAbilities2Scenario1" displayName="ParagonAbilities2Scenario1" ref="L28:P31" totalsRowShown="0" headerRowDxfId="1698" headerRowBorderDxfId="1697" tableBorderDxfId="1696" totalsRowBorderDxfId="1695">
  <autoFilter ref="L28:P31" xr:uid="{A29CF70A-0B84-46BB-A412-712C2F594795}"/>
  <tableColumns count="5">
    <tableColumn id="1" xr3:uid="{7F5DE54D-EC6A-476A-8177-28D36EFC7885}" name="ability"/>
    <tableColumn id="2" xr3:uid="{52FCDD1C-A094-4E64-A8B8-0D597AA58C80}" name="takes" dataDxfId="1694">
      <calculatedColumnFormula>COUNTIF(Scenario1[winner1-ability2],ParagonAbilities2Scenario1[[#This Row],[ability]])+COUNTIF(Scenario1[winner2-ability2],ParagonAbilities2Scenario1[[#This Row],[ability]])+COUNTIF(Scenario1[loser1-ability2],ParagonAbilities2Scenario1[[#This Row],[ability]])+COUNTIF(Scenario1[loser2-ability2],ParagonAbilities2Scenario1[[#This Row],[ability]])</calculatedColumnFormula>
    </tableColumn>
    <tableColumn id="3" xr3:uid="{9F90307F-F010-4EB4-9B4A-3C9061C812D6}" name="wins" dataDxfId="1693">
      <calculatedColumnFormula>COUNTIF(Scenario1[winner1-ability2],ParagonAbilities2Scenario1[[#This Row],[ability]])+COUNTIF(Scenario1[winner2-ability2],ParagonAbilities2Scenario1[[#This Row],[ability]])</calculatedColumnFormula>
    </tableColumn>
    <tableColumn id="4" xr3:uid="{9189203A-557A-4CC3-ACD5-79C238B04447}" name="battles-take-rate" dataDxfId="1692">
      <calculatedColumnFormula>IF(SUM(ParagonAbilities2Scenario1[[#This Row],[takes]]) &gt; 0,ParagonAbilities2Scenario1[[#This Row],[takes]]/SUM(ParagonAbilities2Scenario1[takes]),0)</calculatedColumnFormula>
    </tableColumn>
    <tableColumn id="5" xr3:uid="{9B0DB2E4-7D43-48B1-A695-9B39401454AB}" name="take-win-rate" dataDxfId="1691">
      <calculatedColumnFormula>IF(ParagonAbilities2Scenario1[[#This Row],[takes]]&gt;0,ParagonAbilities2Scenario1[[#This Row],[wins]]/ParagonAbilities2Scenario1[[#This Row],[takes]],0)</calculatedColumnFormula>
    </tableColumn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CBC18F4E-86CD-4BE3-9377-2B862ED3B826}" name="ParagonAbilities3Scenario1" displayName="ParagonAbilities3Scenario1" ref="L33:P36" totalsRowShown="0" headerRowDxfId="1690" headerRowBorderDxfId="1689" tableBorderDxfId="1688" totalsRowBorderDxfId="1687">
  <autoFilter ref="L33:P36" xr:uid="{CBC18F4E-86CD-4BE3-9377-2B862ED3B826}"/>
  <tableColumns count="5">
    <tableColumn id="1" xr3:uid="{E33BFB2D-0669-4E65-965C-ED935F8B5561}" name="ability"/>
    <tableColumn id="2" xr3:uid="{5640AF3C-9699-43F9-BC69-90A790FD39C8}" name="takes" dataDxfId="1686">
      <calculatedColumnFormula>COUNTIF(Scenario1[winner1-ability3],ParagonAbilities3Scenario1[[#This Row],[ability]])+COUNTIF(Scenario1[winner2-ability3],ParagonAbilities3Scenario1[[#This Row],[ability]])+COUNTIF(Scenario1[loser1-ability3],ParagonAbilities3Scenario1[[#This Row],[ability]])+COUNTIF(Scenario1[loser2-ability3],ParagonAbilities3Scenario1[[#This Row],[ability]])</calculatedColumnFormula>
    </tableColumn>
    <tableColumn id="3" xr3:uid="{1E091C62-8CEE-4985-B3A7-DA50A490EE5B}" name="wins" dataDxfId="1685">
      <calculatedColumnFormula>COUNTIF(Scenario1[winner1-ability3],ParagonAbilities3Scenario1[[#This Row],[ability]])+COUNTIF(Scenario1[winner2-ability3],ParagonAbilities3Scenario1[[#This Row],[ability]])</calculatedColumnFormula>
    </tableColumn>
    <tableColumn id="4" xr3:uid="{C44FFAA9-7AF1-45A6-B2E9-9500656DAF73}" name="battles-take-rate" dataDxfId="1684">
      <calculatedColumnFormula>IF(SUM(ParagonAbilities3Scenario1[[#This Row],[takes]]) &gt; 0,ParagonAbilities3Scenario1[[#This Row],[takes]]/SUM(ParagonAbilities3Scenario1[takes]),0)</calculatedColumnFormula>
    </tableColumn>
    <tableColumn id="5" xr3:uid="{DE4469A2-51A6-4ACA-B58B-5887E2E783B3}" name="take-win-rate" dataDxfId="1683">
      <calculatedColumnFormula>IF(ParagonAbilities3Scenario1[[#This Row],[takes]]&gt;0,ParagonAbilities3Scenario1[[#This Row],[wins]]/ParagonAbilities3Scenario1[[#This Row],[takes]],0)</calculatedColumnFormula>
    </tableColumn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A1F38E75-59DE-4DB4-B81C-C0322397F6F7}" name="ParagonAbilities4Scenario1" displayName="ParagonAbilities4Scenario1" ref="L38:P41" totalsRowShown="0" headerRowDxfId="1682" headerRowBorderDxfId="1681" tableBorderDxfId="1680" totalsRowBorderDxfId="1679">
  <autoFilter ref="L38:P41" xr:uid="{A1F38E75-59DE-4DB4-B81C-C0322397F6F7}"/>
  <tableColumns count="5">
    <tableColumn id="1" xr3:uid="{B00915C5-9D02-4198-AEA0-6C2396D14A10}" name="ability"/>
    <tableColumn id="2" xr3:uid="{546F38DB-9D3F-4645-9DAE-2CB444E8A47F}" name="takes" dataDxfId="1678">
      <calculatedColumnFormula>COUNTIF(Scenario1[winner1-ability4],ParagonAbilities4Scenario1[[#This Row],[ability]])+COUNTIF(Scenario1[winner2-ability4],ParagonAbilities4Scenario1[[#This Row],[ability]])+COUNTIF(Scenario1[loser1-ability4],ParagonAbilities4Scenario1[[#This Row],[ability]])+COUNTIF(Scenario1[loser2-ability4],ParagonAbilities4Scenario1[[#This Row],[ability]])</calculatedColumnFormula>
    </tableColumn>
    <tableColumn id="3" xr3:uid="{D72F5697-DC88-4555-84CD-0AE3529475E7}" name="wins" dataDxfId="1677">
      <calculatedColumnFormula>COUNTIF(Scenario1[winner1-ability4],ParagonAbilities4Scenario1[[#This Row],[ability]])+COUNTIF(Scenario1[winner2-ability4],ParagonAbilities4Scenario1[[#This Row],[ability]])</calculatedColumnFormula>
    </tableColumn>
    <tableColumn id="4" xr3:uid="{E7472A10-6D37-4A4E-83CC-42D81EAF1428}" name="battles-take-rate" dataDxfId="1676">
      <calculatedColumnFormula>IF(SUM(ParagonAbilities4Scenario1[[#This Row],[takes]]) &gt; 0,ParagonAbilities4Scenario1[[#This Row],[takes]]/SUM(ParagonAbilities4Scenario1[takes]),0)</calculatedColumnFormula>
    </tableColumn>
    <tableColumn id="5" xr3:uid="{1D645BD1-5B71-4274-ADA7-42B8BB102875}" name="take-win-rate" dataDxfId="1675">
      <calculatedColumnFormula>IF(ParagonAbilities4Scenario1[[#This Row],[takes]]&gt;0,ParagonAbilities4Scenario1[[#This Row],[wins]]/ParagonAbilities4Scenario1[[#This Row],[takes]],0)</calculatedColumn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18EECD25-0AE5-4756-B5E1-492D523A2929}" name="ParagonEquipScenario1" displayName="ParagonEquipScenario1" ref="R23:U26" totalsRowShown="0">
  <autoFilter ref="R23:U26" xr:uid="{18EECD25-0AE5-4756-B5E1-492D523A2929}"/>
  <tableColumns count="4">
    <tableColumn id="1" xr3:uid="{423D2B33-F541-4625-A861-0D5F822BC6FF}" name="level"/>
    <tableColumn id="2" xr3:uid="{8167438A-D2A8-4995-AF32-BFBC2297804F}" name="spear" dataDxfId="1674">
      <calculatedColumnFormula>COUNTIFS(Scenario1[winner1],"paragon",Scenario1[winner1-pw],ParagonEquipScenario1[[#This Row],[level]])+COUNTIFS(Scenario1[winner2],"paragon",Scenario1[winner2-pw],ParagonEquipScenario1[[#This Row],[level]])+COUNTIFS(Scenario1[loser1],"paragon",Scenario1[loser1-pw],ParagonEquipScenario1[[#This Row],[level]])+COUNTIFS(Scenario1[loser2],"paragon",Scenario1[loser2-pw],ParagonEquipScenario1[[#This Row],[level]])</calculatedColumnFormula>
    </tableColumn>
    <tableColumn id="3" xr3:uid="{449D8457-C1C0-4734-9E6D-D48C6F3F8411}" name="shield" dataDxfId="1673">
      <calculatedColumnFormula>COUNTIFS(Scenario1[winner1],"paragon",Scenario1[winner1-sw],ParagonEquipScenario1[[#This Row],[level]])+COUNTIFS(Scenario1[winner2],"paragon",Scenario1[winner2-sw],ParagonEquipScenario1[[#This Row],[level]])+COUNTIFS(Scenario1[loser1],"paragon",Scenario1[loser1-sw],ParagonEquipScenario1[[#This Row],[level]])+COUNTIFS(Scenario1[loser2],"paragon",Scenario1[loser2-sw],ParagonEquipScenario1[[#This Row],[level]])</calculatedColumnFormula>
    </tableColumn>
    <tableColumn id="4" xr3:uid="{396788FD-B77B-4B0C-AAA4-C10F6075DBDD}" name="chestpiece" dataDxfId="1672">
      <calculatedColumnFormula>COUNTIFS(Scenario1[winner1],"paragon",Scenario1[winner1-cp],ParagonEquipScenario1[[#This Row],[level]])+COUNTIFS(Scenario1[winner2],"paragon",Scenario1[winner2-cp],ParagonEquipScenario1[[#This Row],[level]])+COUNTIFS(Scenario1[loser1],"paragon",Scenario1[loser1-cp],ParagonEquipScenario1[[#This Row],[level]])+COUNTIFS(Scenario1[loser2],"paragon",Scenario1[loser2-cp],ParagonEquipScenario1[[#This Row],[level]])</calculatedColumnFormula>
    </tableColumn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81D76695-EE53-4A07-9351-842AC55F2540}" name="ParagonAbilities1Scenario2" displayName="ParagonAbilities1Scenario2" ref="L44:P47" totalsRowShown="0">
  <autoFilter ref="L44:P47" xr:uid="{81D76695-EE53-4A07-9351-842AC55F2540}"/>
  <tableColumns count="5">
    <tableColumn id="2" xr3:uid="{48D23F76-DC53-46F7-8C31-1B9264FD9708}" name="ability"/>
    <tableColumn id="6" xr3:uid="{A6A3CDF9-6514-4B2C-A720-EC85AE9EB351}" name="takes" dataDxfId="1671">
      <calculatedColumnFormula>COUNTIF(Scenario2[winner1-ability1],ParagonAbilities1Scenario2[[#This Row],[ability]])+COUNTIF(Scenario2[loser1-ability1],ParagonAbilities1Scenario2[[#This Row],[ability]])</calculatedColumnFormula>
    </tableColumn>
    <tableColumn id="4" xr3:uid="{BBBA88F3-12AA-4984-9723-BC3CB5D5F39F}" name="wins" dataDxfId="1670">
      <calculatedColumnFormula>COUNTIF(Scenario2[winner1-ability1],ParagonAbilities1Scenario2[[#This Row],[ability]])</calculatedColumnFormula>
    </tableColumn>
    <tableColumn id="5" xr3:uid="{B6F725F9-59F1-4BBC-88E3-95CB9FA3D9B4}" name="battles-take-rate" dataDxfId="1669">
      <calculatedColumnFormula>IF(SUM(ParagonAbilities1Scenario2[[#This Row],[takes]]) &gt; 0,ParagonAbilities1Scenario2[[#This Row],[takes]]/SUM(ParagonAbilities1Scenario2[takes]),0)</calculatedColumnFormula>
    </tableColumn>
    <tableColumn id="7" xr3:uid="{714D9F94-3DD6-4A3E-9A5C-3BB86E813EF2}" name="take-win-rate" dataDxfId="1668">
      <calculatedColumnFormula>IF(ParagonAbilities1Scenario2[[#This Row],[takes]]&gt;0,ParagonAbilities1Scenario2[[#This Row],[wins]]/ParagonAbilities1Scenario2[[#This Row],[takes]],0)</calculatedColumnFormula>
    </tableColumn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B5828340-8DA1-4B65-ACEB-BDDDED872E64}" name="ParagonAbilities2Scenario2" displayName="ParagonAbilities2Scenario2" ref="L49:P52" totalsRowShown="0" headerRowDxfId="1667" headerRowBorderDxfId="1666" tableBorderDxfId="1665" totalsRowBorderDxfId="1664">
  <autoFilter ref="L49:P52" xr:uid="{B5828340-8DA1-4B65-ACEB-BDDDED872E64}"/>
  <tableColumns count="5">
    <tableColumn id="1" xr3:uid="{9490F2D5-20D7-40F8-AD49-8434525A22C9}" name="ability"/>
    <tableColumn id="2" xr3:uid="{7741B97F-6F4D-4EEF-A9EE-1ECDA68AAAD6}" name="takes" dataDxfId="1663">
      <calculatedColumnFormula>COUNTIF(Scenario2[winner1-ability2],ParagonAbilities2Scenario2[[#This Row],[ability]])+COUNTIF(Scenario2[loser1-ability2],ParagonAbilities2Scenario2[[#This Row],[ability]])</calculatedColumnFormula>
    </tableColumn>
    <tableColumn id="3" xr3:uid="{BFE0B872-05BA-400E-8FB4-0CA4694D1728}" name="wins" dataDxfId="1662">
      <calculatedColumnFormula>COUNTIF(Scenario2[winner1-ability2],ParagonAbilities2Scenario2[[#This Row],[ability]])</calculatedColumnFormula>
    </tableColumn>
    <tableColumn id="4" xr3:uid="{E051F2C9-AD26-4F86-BA73-06F989437A9B}" name="battles-take-rate" dataDxfId="1661">
      <calculatedColumnFormula>IF(SUM(ParagonAbilities2Scenario2[[#This Row],[takes]]) &gt; 0,ParagonAbilities2Scenario2[[#This Row],[takes]]/SUM(ParagonAbilities2Scenario2[takes]),0)</calculatedColumnFormula>
    </tableColumn>
    <tableColumn id="5" xr3:uid="{2920644B-47A1-4DDE-B6C6-98E6FE114859}" name="take-win-rate" dataDxfId="1660">
      <calculatedColumnFormula>IF(ParagonAbilities2Scenario2[[#This Row],[takes]]&gt;0,ParagonAbilities2Scenario2[[#This Row],[wins]]/ParagonAbilities2Scenario2[[#This Row],[takes]],0)</calculatedColumnFormula>
    </tableColumn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34ED10E5-B169-4BBA-8F2C-73FF473D0922}" name="ParagonAbilities3Scenario2" displayName="ParagonAbilities3Scenario2" ref="L54:P57" totalsRowShown="0" headerRowDxfId="1659" headerRowBorderDxfId="1658" tableBorderDxfId="1657" totalsRowBorderDxfId="1656">
  <autoFilter ref="L54:P57" xr:uid="{34ED10E5-B169-4BBA-8F2C-73FF473D0922}"/>
  <tableColumns count="5">
    <tableColumn id="1" xr3:uid="{CA5361F1-4984-4932-87CF-9A34FB8CB5FC}" name="ability"/>
    <tableColumn id="2" xr3:uid="{0334C650-19FF-4DEA-A7D9-822F2A9E9E26}" name="takes" dataDxfId="1655">
      <calculatedColumnFormula>COUNTIF(Scenario2[winner1-ability3],ParagonAbilities3Scenario2[[#This Row],[ability]])+COUNTIF(Scenario2[loser1-ability3],ParagonAbilities3Scenario2[[#This Row],[ability]])</calculatedColumnFormula>
    </tableColumn>
    <tableColumn id="3" xr3:uid="{B2C100C6-E275-4F0D-A60A-73265086824D}" name="wins" dataDxfId="1654">
      <calculatedColumnFormula>COUNTIF(Scenario2[winner1-ability3],ParagonAbilities3Scenario2[[#This Row],[ability]])</calculatedColumnFormula>
    </tableColumn>
    <tableColumn id="4" xr3:uid="{A7CC83B2-A2E6-4450-9696-B55D92586553}" name="battles-take-rate" dataDxfId="1653">
      <calculatedColumnFormula>IF(SUM(ParagonAbilities3Scenario2[[#This Row],[takes]]) &gt; 0,ParagonAbilities3Scenario2[[#This Row],[takes]]/SUM(ParagonAbilities3Scenario2[takes]),0)</calculatedColumnFormula>
    </tableColumn>
    <tableColumn id="5" xr3:uid="{BE86BA39-ABBC-45D0-9BF4-BCA1F94E9037}" name="take-win-rate" dataDxfId="1652">
      <calculatedColumnFormula>IF(ParagonAbilities3Scenario2[[#This Row],[takes]]&gt;0,ParagonAbilities3Scenario2[[#This Row],[wins]]/ParagonAbilities3Scenario2[[#This Row],[takes]],0)</calculatedColumnFormula>
    </tableColumn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DDB7F110-02A6-4F67-8266-251AF48CB7C0}" name="ParagonAbilities4Scenario2" displayName="ParagonAbilities4Scenario2" ref="L59:P62" totalsRowShown="0" headerRowDxfId="1651" headerRowBorderDxfId="1650" tableBorderDxfId="1649" totalsRowBorderDxfId="1648">
  <autoFilter ref="L59:P62" xr:uid="{DDB7F110-02A6-4F67-8266-251AF48CB7C0}"/>
  <tableColumns count="5">
    <tableColumn id="1" xr3:uid="{D338CA14-E802-42EE-8BFA-6836716C9908}" name="ability"/>
    <tableColumn id="2" xr3:uid="{9A9A29CE-37D7-48B4-92C3-03658D7D504E}" name="takes" dataDxfId="1647">
      <calculatedColumnFormula>COUNTIF(Scenario2[winner1-ability4],ParagonAbilities4Scenario2[[#This Row],[ability]])+COUNTIF(Scenario2[loser1-ability4],ParagonAbilities4Scenario2[[#This Row],[ability]])</calculatedColumnFormula>
    </tableColumn>
    <tableColumn id="3" xr3:uid="{CD4A21F9-B080-48EC-B95F-55970882519B}" name="wins" dataDxfId="1646">
      <calculatedColumnFormula>COUNTIF(Scenario2[winner1-ability4],ParagonAbilities4Scenario2[[#This Row],[ability]])</calculatedColumnFormula>
    </tableColumn>
    <tableColumn id="4" xr3:uid="{CA8861D8-C4EC-4F7B-8C03-8907F286C5FD}" name="battles-take-rate" dataDxfId="1645">
      <calculatedColumnFormula>IF(SUM(ParagonAbilities4Scenario2[[#This Row],[takes]]) &gt; 0,ParagonAbilities4Scenario2[[#This Row],[takes]]/SUM(ParagonAbilities4Scenario2[takes]),0)</calculatedColumnFormula>
    </tableColumn>
    <tableColumn id="5" xr3:uid="{F7F33E76-185F-49B3-9CEE-79D0DA7E96C8}" name="take-win-rate" dataDxfId="1644">
      <calculatedColumnFormula>IF(ParagonAbilities4Scenario2[[#This Row],[takes]]&gt;0,ParagonAbilities4Scenario2[[#This Row],[wins]]/ParagonAbilities4Scenario2[[#This Row],[takes]],0)</calculatedColumnFormula>
    </tableColumn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BDEC3E9D-FA56-4E08-A52D-2A8BEB87833A}" name="ParagonEquipScenario2" displayName="ParagonEquipScenario2" ref="R44:U47" totalsRowShown="0">
  <autoFilter ref="R44:U47" xr:uid="{BDEC3E9D-FA56-4E08-A52D-2A8BEB87833A}"/>
  <tableColumns count="4">
    <tableColumn id="1" xr3:uid="{3654BAF9-DF54-4C20-93F7-F4401331CDEE}" name="level"/>
    <tableColumn id="2" xr3:uid="{71A18B67-8C6D-4AB4-9298-D5A4052028A3}" name="spear" dataDxfId="1643">
      <calculatedColumnFormula>COUNTIFS(Scenario2[winner1],"paragon",Scenario2[winner1-pw],ParagonEquipScenario2[[#This Row],[level]])+COUNTIFS(Scenario2[loser1],"paragon",Scenario2[loser1-pw],ParagonEquipScenario2[[#This Row],[level]])</calculatedColumnFormula>
    </tableColumn>
    <tableColumn id="3" xr3:uid="{885580BB-891F-4840-9417-DF84FFB802D1}" name="shield" dataDxfId="1642">
      <calculatedColumnFormula>COUNTIFS(Scenario2[winner1],"paragon",Scenario2[winner1-sw],ParagonEquipScenario2[[#This Row],[level]])+COUNTIFS(Scenario2[loser1],"paragon",Scenario2[loser1-sw],ParagonEquipScenario2[[#This Row],[level]])</calculatedColumnFormula>
    </tableColumn>
    <tableColumn id="4" xr3:uid="{A78641FE-6252-4136-B7CD-4FCC95346059}" name="chestpiece" dataDxfId="1641">
      <calculatedColumnFormula>COUNTIFS(Scenario2[winner1],"paragon",Scenario2[winner1-cp],ParagonEquipScenario2[[#This Row],[level]])+COUNTIFS(Scenario2[loser1],"paragon",Scenario2[loser1-cp],ParagonEquipScenario2[[#This Row],[level]])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5F3CD27D-C76E-4541-9BB9-71DED850FA45}" name="Scenario1" displayName="Scenario1" ref="A1:AJ211" totalsRowShown="0">
  <autoFilter ref="A1:AJ211" xr:uid="{5F3CD27D-C76E-4541-9BB9-71DED850FA45}"/>
  <tableColumns count="36">
    <tableColumn id="1" xr3:uid="{39E18DB3-F9E1-4184-A04D-22E7AF6DF5C6}" name="battle"/>
    <tableColumn id="2" xr3:uid="{9674831B-EF78-4607-A2A1-4D4960B82723}" name="setup"/>
    <tableColumn id="3" xr3:uid="{B13CEFCB-D5A0-4627-AB34-E51A60E26A67}" name="winner1"/>
    <tableColumn id="4" xr3:uid="{CC92DDBA-A3F4-4DF0-8282-B65458FA0D75}" name="winner1-pw"/>
    <tableColumn id="5" xr3:uid="{72EAFD1F-361D-4C5E-9E28-9133B8A7132F}" name="winner1-sw"/>
    <tableColumn id="6" xr3:uid="{EB2164EB-90DE-4281-B6D1-1D5D74EEA050}" name="winner1-cp"/>
    <tableColumn id="7" xr3:uid="{D33BD8DD-00CD-4644-BC6C-34087767EEB7}" name="winner1-ability1"/>
    <tableColumn id="8" xr3:uid="{27BD1269-8FA7-4318-917D-ACA8B9CF7253}" name="winner1-ability2"/>
    <tableColumn id="9" xr3:uid="{AD447881-B03A-413E-9AC9-D5411A9EABF9}" name="winner1-ability3"/>
    <tableColumn id="10" xr3:uid="{8719A0B0-3005-4C21-85FC-67B3EF429E49}" name="winner1-ability4"/>
    <tableColumn id="11" xr3:uid="{E0A62865-EF26-4877-95F1-C64209E10899}" name="winner2"/>
    <tableColumn id="12" xr3:uid="{42B2E16C-AA1E-40D9-B33C-BD92B30E67F0}" name="winner2-pw"/>
    <tableColumn id="13" xr3:uid="{22209780-77A0-4A5A-B527-0242A400B666}" name="winner2-sw"/>
    <tableColumn id="14" xr3:uid="{375C89C5-043D-41F6-97E8-49A44F57DF2C}" name="winner2-cp"/>
    <tableColumn id="15" xr3:uid="{51044B83-3330-48D9-BA99-00C67CE5B505}" name="winner2-ability1"/>
    <tableColumn id="16" xr3:uid="{BEAD171B-A76C-4A8E-9ADA-628BC6AAB79D}" name="winner2-ability2"/>
    <tableColumn id="17" xr3:uid="{E4E8B22C-99C2-459C-A52D-F20B01091AD9}" name="winner2-ability3"/>
    <tableColumn id="18" xr3:uid="{DF6817CB-B695-4278-A3AE-2E5CD31C5282}" name="winner2-ability4"/>
    <tableColumn id="19" xr3:uid="{98E3A75A-2DFE-46E3-8B03-80F7EE423AB5}" name="loser1"/>
    <tableColumn id="20" xr3:uid="{01B529BF-762A-4D9A-B437-F87D3C4644A3}" name="loser1-pw"/>
    <tableColumn id="21" xr3:uid="{EEBB82C6-BDA5-4048-BD7C-E978A7467C2F}" name="loser1-sw"/>
    <tableColumn id="22" xr3:uid="{91EA0F2A-E911-4CAA-B368-7366F68C5612}" name="loser1-cp"/>
    <tableColumn id="23" xr3:uid="{168E0A04-F82A-466D-9438-59F0338E313E}" name="loser1-ability1"/>
    <tableColumn id="24" xr3:uid="{FA552502-8BAA-42BA-AFEE-A74E9D481ED2}" name="loser1-ability2"/>
    <tableColumn id="25" xr3:uid="{B325A135-660F-4942-A429-884775A44D07}" name="loser1-ability3"/>
    <tableColumn id="26" xr3:uid="{B0F4E726-2CF4-4AFA-AB06-00093431CDBC}" name="loser1-ability4"/>
    <tableColumn id="27" xr3:uid="{7B9A9E36-C31E-4521-942F-25424A1957F9}" name="loser2"/>
    <tableColumn id="28" xr3:uid="{94384313-3C9F-46D7-8D25-1D784E8A9FFB}" name="loser2-pw"/>
    <tableColumn id="29" xr3:uid="{E8F14ECE-DF71-4409-8F28-FCC7F4D617F0}" name="loser2-sw"/>
    <tableColumn id="30" xr3:uid="{A1796F4A-D83E-4576-86E9-6220FDFBA382}" name="loser2-cp"/>
    <tableColumn id="31" xr3:uid="{173D9978-9EAF-4D44-B4F8-E88FCD6CB7C6}" name="loser2-ability1"/>
    <tableColumn id="32" xr3:uid="{1A2BBDDF-45FE-4C76-A321-0B8ED8335217}" name="loser2-ability2"/>
    <tableColumn id="33" xr3:uid="{AC0F17C1-03AE-48A7-8824-A3697B18A453}" name="loser2-ability3"/>
    <tableColumn id="34" xr3:uid="{45C1C68F-4319-42A1-9A62-D5C6021C076B}" name="loser2-ability4"/>
    <tableColumn id="35" xr3:uid="{FCD5651C-5984-4A2F-99A0-C375A140B3FF}" name="crystals"/>
    <tableColumn id="36" xr3:uid="{D75610A6-556A-4616-B714-925723302E65}" name="turns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6A71A7D-18E0-4765-A573-4FC87722BEE5}" name="UpgradeStatistics19" displayName="UpgradeStatistics19" ref="W1:X11" totalsRowShown="0">
  <autoFilter ref="W1:X11" xr:uid="{D6A71A7D-18E0-4765-A573-4FC87722BEE5}"/>
  <tableColumns count="2">
    <tableColumn id="1" xr3:uid="{653909CD-0407-4E12-BC8A-33D53F09E9DA}" name="upgrade"/>
    <tableColumn id="3" xr3:uid="{266C9BFE-2BD6-4D60-B434-3D88B10BCE57}" name="rate" dataDxfId="1640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6C878A18-3264-45EE-BE71-FA639C7DB5BA}" name="ParagonAbilities1Scenario3" displayName="ParagonAbilities1Scenario3" ref="L65:P68" totalsRowShown="0">
  <autoFilter ref="L65:P68" xr:uid="{6C878A18-3264-45EE-BE71-FA639C7DB5BA}"/>
  <tableColumns count="5">
    <tableColumn id="2" xr3:uid="{922E31FF-29D2-4166-84DC-41D84294B2B2}" name="ability"/>
    <tableColumn id="6" xr3:uid="{1827C7B0-E541-449A-80FD-5B11FDAC6EE7}" name="takes" dataDxfId="1639">
      <calculatedColumnFormula>COUNTIF(Scenario3[winner1-ability1],ParagonAbilities1Scenario3[[#This Row],[ability]])+COUNTIF(Scenario3[loser1-ability1],ParagonAbilities1Scenario3[[#This Row],[ability]])+COUNTIF(Scenario3[loser2-ability1],ParagonAbilities1Scenario3[[#This Row],[ability]])</calculatedColumnFormula>
    </tableColumn>
    <tableColumn id="4" xr3:uid="{8F154050-7CC9-489E-9E18-A4069F54A58C}" name="wins" dataDxfId="1638">
      <calculatedColumnFormula>COUNTIF(Scenario3[winner1-ability1],ParagonAbilities1Scenario3[[#This Row],[ability]])</calculatedColumnFormula>
    </tableColumn>
    <tableColumn id="5" xr3:uid="{BF58455F-D839-40A6-B834-044CCA3A9D62}" name="battles-take-rate" dataDxfId="1637">
      <calculatedColumnFormula>IF(SUM(ParagonAbilities1Scenario3[[#This Row],[takes]]) &gt; 0,ParagonAbilities1Scenario3[[#This Row],[takes]]/SUM(ParagonAbilities1Scenario3[takes]),0)</calculatedColumnFormula>
    </tableColumn>
    <tableColumn id="7" xr3:uid="{F2C6A820-9190-44EE-B8F5-5F73CCA05873}" name="take-win-rate" dataDxfId="1636">
      <calculatedColumnFormula>IF(ParagonAbilities1Scenario3[[#This Row],[takes]]&gt;0,ParagonAbilities1Scenario3[[#This Row],[wins]]/ParagonAbilities1Scenario3[[#This Row],[takes]],0)</calculatedColumnFormula>
    </tableColumn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2C386E-05E0-4B48-B79E-214CD6114F19}" name="ParagonAbilities2Scenario3" displayName="ParagonAbilities2Scenario3" ref="L70:P73" totalsRowShown="0" headerRowDxfId="1635" headerRowBorderDxfId="1634" tableBorderDxfId="1633" totalsRowBorderDxfId="1632">
  <autoFilter ref="L70:P73" xr:uid="{502C386E-05E0-4B48-B79E-214CD6114F19}"/>
  <tableColumns count="5">
    <tableColumn id="1" xr3:uid="{49C808F8-4D0F-4ADE-8791-9358A935EFA8}" name="ability"/>
    <tableColumn id="2" xr3:uid="{D0CD163A-A557-4F1E-BD7B-942030FF4BEA}" name="takes" dataDxfId="1631">
      <calculatedColumnFormula>COUNTIF(Scenario3[winner1-ability2],ParagonAbilities2Scenario3[[#This Row],[ability]])+COUNTIF(Scenario3[loser1-ability2],ParagonAbilities2Scenario3[[#This Row],[ability]])+COUNTIF(Scenario3[loser2-ability2],ParagonAbilities2Scenario3[[#This Row],[ability]])</calculatedColumnFormula>
    </tableColumn>
    <tableColumn id="3" xr3:uid="{34A5E7F6-E86C-4604-8E03-4F3480DFB577}" name="wins" dataDxfId="1630">
      <calculatedColumnFormula>COUNTIF(Scenario3[winner1-ability2],ParagonAbilities2Scenario3[[#This Row],[ability]])</calculatedColumnFormula>
    </tableColumn>
    <tableColumn id="4" xr3:uid="{A47A03CE-64B7-48DE-84FE-4869BB655C1E}" name="battles-take-rate" dataDxfId="1629">
      <calculatedColumnFormula>IF(SUM(ParagonAbilities2Scenario3[[#This Row],[takes]]) &gt; 0,ParagonAbilities2Scenario3[[#This Row],[takes]]/SUM(ParagonAbilities2Scenario3[takes]),0)</calculatedColumnFormula>
    </tableColumn>
    <tableColumn id="5" xr3:uid="{31C7A701-BF4A-4734-A362-BD64F855C253}" name="take-win-rate" dataDxfId="1628">
      <calculatedColumnFormula>IF(ParagonAbilities2Scenario3[[#This Row],[takes]]&gt;0,ParagonAbilities2Scenario3[[#This Row],[wins]]/ParagonAbilities2Scenario3[[#This Row],[takes]],0)</calculatedColumnFormula>
    </tableColumn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D2FA4B6C-388F-4DBF-B109-DB12D5D43389}" name="ParagonAbilities3Scenario3" displayName="ParagonAbilities3Scenario3" ref="L75:P78" totalsRowShown="0" headerRowDxfId="1627" headerRowBorderDxfId="1626" tableBorderDxfId="1625" totalsRowBorderDxfId="1624">
  <autoFilter ref="L75:P78" xr:uid="{D2FA4B6C-388F-4DBF-B109-DB12D5D43389}"/>
  <tableColumns count="5">
    <tableColumn id="1" xr3:uid="{3B130B1D-C69B-43FA-8D49-603C551BA136}" name="ability"/>
    <tableColumn id="2" xr3:uid="{0963E29D-B71F-42F8-AB69-03BD4624F9AC}" name="takes" dataDxfId="1623">
      <calculatedColumnFormula>COUNTIF(Scenario3[winner1-ability3],ParagonAbilities3Scenario3[[#This Row],[ability]])+COUNTIF(Scenario3[loser1-ability3],ParagonAbilities3Scenario3[[#This Row],[ability]])+COUNTIF(Scenario3[loser2-ability3],ParagonAbilities3Scenario3[[#This Row],[ability]])</calculatedColumnFormula>
    </tableColumn>
    <tableColumn id="3" xr3:uid="{4DB3291F-C808-4AAE-A8BA-93B671C21D51}" name="wins" dataDxfId="1622">
      <calculatedColumnFormula>COUNTIF(Scenario3[winner1-ability3],ParagonAbilities3Scenario3[[#This Row],[ability]])</calculatedColumnFormula>
    </tableColumn>
    <tableColumn id="4" xr3:uid="{6962BF6D-C2E4-4653-B2E5-14FA4D687B66}" name="battles-take-rate" dataDxfId="1621">
      <calculatedColumnFormula>IF(SUM(ParagonAbilities3Scenario3[[#This Row],[takes]]) &gt; 0,ParagonAbilities3Scenario3[[#This Row],[takes]]/SUM(ParagonAbilities3Scenario3[takes]),0)</calculatedColumnFormula>
    </tableColumn>
    <tableColumn id="5" xr3:uid="{FBA7C6C2-7F68-4F9E-B7CB-3C13E185C952}" name="take-win-rate" dataDxfId="1620">
      <calculatedColumnFormula>IF(ParagonAbilities3Scenario3[[#This Row],[takes]]&gt;0,ParagonAbilities3Scenario3[[#This Row],[wins]]/ParagonAbilities3Scenario3[[#This Row],[takes]],0)</calculatedColumnFormula>
    </tableColumn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E8CF0BA4-76F1-4AAF-BA95-AFE401ECAA3A}" name="ParagonAbilities4Scenario3" displayName="ParagonAbilities4Scenario3" ref="L80:P83" totalsRowShown="0" headerRowDxfId="1619" headerRowBorderDxfId="1618" tableBorderDxfId="1617" totalsRowBorderDxfId="1616">
  <autoFilter ref="L80:P83" xr:uid="{E8CF0BA4-76F1-4AAF-BA95-AFE401ECAA3A}"/>
  <tableColumns count="5">
    <tableColumn id="1" xr3:uid="{E0B87DF1-3E09-42D3-95C0-0EA90A6DFE98}" name="ability"/>
    <tableColumn id="2" xr3:uid="{8EA449E8-5BF8-4212-96E4-472349B1BD9D}" name="takes" dataDxfId="1615">
      <calculatedColumnFormula>COUNTIF(Scenario3[winner1-ability4],ParagonAbilities4Scenario3[[#This Row],[ability]])+COUNTIF(Scenario3[loser1-ability4],ParagonAbilities4Scenario3[[#This Row],[ability]])+COUNTIF(Scenario3[loser2-ability4],ParagonAbilities4Scenario3[[#This Row],[ability]])</calculatedColumnFormula>
    </tableColumn>
    <tableColumn id="3" xr3:uid="{2ED6B3D3-54E8-4E67-80D2-1152E8FE9F89}" name="wins" dataDxfId="1614">
      <calculatedColumnFormula>COUNTIF(Scenario3[winner1-ability4],ParagonAbilities4Scenario3[[#This Row],[ability]])</calculatedColumnFormula>
    </tableColumn>
    <tableColumn id="4" xr3:uid="{5564EF3F-A1E6-47F3-9245-63CBC8BF13EA}" name="battles-take-rate" dataDxfId="1613">
      <calculatedColumnFormula>IF(SUM(ParagonAbilities4Scenario3[[#This Row],[takes]]) &gt; 0,ParagonAbilities4Scenario3[[#This Row],[takes]]/SUM(ParagonAbilities4Scenario3[takes]),0)</calculatedColumnFormula>
    </tableColumn>
    <tableColumn id="5" xr3:uid="{00AF7A6C-DA25-40DA-87BB-3D5AF7A9CBD2}" name="take-win-rate" dataDxfId="1612">
      <calculatedColumnFormula>IF(ParagonAbilities4Scenario3[[#This Row],[takes]]&gt;0,ParagonAbilities4Scenario3[[#This Row],[wins]]/ParagonAbilities4Scenario3[[#This Row],[takes]],0)</calculatedColumnFormula>
    </tableColumn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B6645EAE-141A-4B6A-A1B0-2F427AEA02EC}" name="ParagonEquipScenario3" displayName="ParagonEquipScenario3" ref="R65:U68" totalsRowShown="0">
  <autoFilter ref="R65:U68" xr:uid="{B6645EAE-141A-4B6A-A1B0-2F427AEA02EC}"/>
  <tableColumns count="4">
    <tableColumn id="1" xr3:uid="{76CF719D-1E10-4C65-8297-C87577895237}" name="level"/>
    <tableColumn id="2" xr3:uid="{D5625F9B-41B7-462B-AA1C-CF60A1C4C9EA}" name="spear" dataDxfId="1611">
      <calculatedColumnFormula>COUNTIFS(Scenario3[winner1],"paragon",Scenario3[winner1-pw],ParagonEquipScenario3[[#This Row],[level]])+COUNTIFS(Scenario3[loser1],"paragon",Scenario3[loser1-pw],ParagonEquipScenario3[[#This Row],[level]])+COUNTIFS(Scenario3[loser2],"paragon",Scenario3[loser2-pw],ParagonEquipScenario3[[#This Row],[level]])</calculatedColumnFormula>
    </tableColumn>
    <tableColumn id="3" xr3:uid="{53C87136-4D61-497E-82D1-B84AF74080A4}" name="shield" dataDxfId="1610">
      <calculatedColumnFormula>COUNTIFS(Scenario3[winner1],"paragon",Scenario3[winner1-sw],ParagonEquipScenario3[[#This Row],[level]])+COUNTIFS(Scenario3[loser1],"paragon",Scenario3[loser1-sw],ParagonEquipScenario3[[#This Row],[level]])+COUNTIFS(Scenario3[loser2],"paragon",Scenario3[loser2-sw],ParagonEquipScenario3[[#This Row],[level]])</calculatedColumnFormula>
    </tableColumn>
    <tableColumn id="4" xr3:uid="{8E8455FA-6AAA-4A48-8CC2-1BF7A603B787}" name="chestpiece" dataDxfId="1609">
      <calculatedColumnFormula>COUNTIFS(Scenario3[winner1],"paragon",Scenario3[winner1-cp],ParagonEquipScenario3[[#This Row],[level]])+COUNTIFS(Scenario3[loser1],"paragon",Scenario3[loser1-cp],ParagonEquipScenario3[[#This Row],[level]])+COUNTIFS(Scenario3[loser2],"paragon",Scenario3[loser2-cp],ParagonEquipScenario3[[#This Row],[level]])</calculatedColumnFormula>
    </tableColumn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5" xr:uid="{5FC04010-B6D0-48BA-B9DA-BDE269B3F0F6}" name="ParagonAbilities1Scenario4" displayName="ParagonAbilities1Scenario4" ref="L86:P89" totalsRowShown="0">
  <autoFilter ref="L86:P89" xr:uid="{5FC04010-B6D0-48BA-B9DA-BDE269B3F0F6}"/>
  <tableColumns count="5">
    <tableColumn id="2" xr3:uid="{EF41A409-0E29-4E87-91D8-F73D44DFD327}" name="ability"/>
    <tableColumn id="6" xr3:uid="{CBD66C18-A413-4C35-8DCD-35C76D1AD4A6}" name="takes" dataDxfId="1608">
      <calculatedColumnFormula>COUNTIF(Scenario4[winner1-ability1],ParagonAbilities1Scenario4[[#This Row],[ability]])+COUNTIF(Scenario4[loser1-ability1],ParagonAbilities1Scenario4[[#This Row],[ability]])+COUNTIF(Scenario4[loser2-ability1],ParagonAbilities1Scenario4[[#This Row],[ability]])+COUNTIF(Scenario4[loser3-ability1],ParagonAbilities1Scenario4[[#This Row],[ability]])</calculatedColumnFormula>
    </tableColumn>
    <tableColumn id="4" xr3:uid="{1954FA7D-CBC6-4F94-B801-E341102D6034}" name="wins" dataDxfId="1607">
      <calculatedColumnFormula>COUNTIF(Scenario4[winner1-ability1],ParagonAbilities1Scenario4[[#This Row],[ability]])</calculatedColumnFormula>
    </tableColumn>
    <tableColumn id="5" xr3:uid="{A3A712DA-79C2-4E0A-B45F-24046DDDC055}" name="battles-take-rate" dataDxfId="1606">
      <calculatedColumnFormula>IF(SUM(ParagonAbilities1Scenario4[[#This Row],[takes]]) &gt; 0,ParagonAbilities1Scenario4[[#This Row],[takes]]/SUM(ParagonAbilities1Scenario4[takes]),0)</calculatedColumnFormula>
    </tableColumn>
    <tableColumn id="7" xr3:uid="{D4EBBB61-88AB-4375-909A-8B3C8177B4F0}" name="take-win-rate" dataDxfId="1605">
      <calculatedColumnFormula>IF(ParagonAbilities1Scenario4[[#This Row],[takes]]&gt;0,ParagonAbilities1Scenario4[[#This Row],[wins]]/ParagonAbilities1Scenario4[[#This Row],[takes]],0)</calculatedColumnFormula>
    </tableColumn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6" xr:uid="{CA0A0A50-9105-4A16-ABA0-FA728B57FE1F}" name="ParagonAbilities2Scenario4" displayName="ParagonAbilities2Scenario4" ref="L91:P94" totalsRowShown="0" headerRowDxfId="1604" headerRowBorderDxfId="1603" tableBorderDxfId="1602" totalsRowBorderDxfId="1601">
  <autoFilter ref="L91:P94" xr:uid="{CA0A0A50-9105-4A16-ABA0-FA728B57FE1F}"/>
  <tableColumns count="5">
    <tableColumn id="1" xr3:uid="{8224C9DD-4973-4727-B520-322E25AAE571}" name="ability"/>
    <tableColumn id="2" xr3:uid="{74A86BE2-C98E-4FA8-9BA9-D946AE0E11E4}" name="takes" dataDxfId="1600">
      <calculatedColumnFormula>COUNTIF(Scenario4[winner1-ability2],ParagonAbilities2Scenario4[[#This Row],[ability]])+COUNTIF(Scenario4[loser1-ability2],ParagonAbilities2Scenario4[[#This Row],[ability]])+COUNTIF(Scenario4[loser2-ability2],ParagonAbilities2Scenario4[[#This Row],[ability]])+COUNTIF(Scenario4[loser3-ability2],ParagonAbilities2Scenario4[[#This Row],[ability]])</calculatedColumnFormula>
    </tableColumn>
    <tableColumn id="3" xr3:uid="{C9406673-1016-448B-B927-FAA7B4FD27E9}" name="wins" dataDxfId="1599">
      <calculatedColumnFormula>COUNTIF(Scenario4[winner1-ability2],ParagonAbilities2Scenario4[[#This Row],[ability]])</calculatedColumnFormula>
    </tableColumn>
    <tableColumn id="4" xr3:uid="{1F4853F6-9A8B-440D-A883-73FBA3E2B146}" name="battles-take-rate" dataDxfId="1598">
      <calculatedColumnFormula>IF(SUM(ParagonAbilities2Scenario4[[#This Row],[takes]]) &gt; 0,ParagonAbilities2Scenario4[[#This Row],[takes]]/SUM(ParagonAbilities2Scenario4[takes]),0)</calculatedColumnFormula>
    </tableColumn>
    <tableColumn id="5" xr3:uid="{024DC6B3-D20A-4883-8706-783A2546465F}" name="take-win-rate" dataDxfId="1597">
      <calculatedColumnFormula>IF(ParagonAbilities2Scenario4[[#This Row],[takes]]&gt;0,ParagonAbilities2Scenario4[[#This Row],[wins]]/ParagonAbilities2Scenario4[[#This Row],[takes]],0)</calculatedColumnFormula>
    </tableColumn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7" xr:uid="{6FF33D84-CB9D-4C93-8052-8357D99FC501}" name="ParagonAbilities3Scenario4" displayName="ParagonAbilities3Scenario4" ref="L96:P99" totalsRowShown="0" headerRowDxfId="1596" headerRowBorderDxfId="1595" tableBorderDxfId="1594" totalsRowBorderDxfId="1593">
  <autoFilter ref="L96:P99" xr:uid="{6FF33D84-CB9D-4C93-8052-8357D99FC501}"/>
  <tableColumns count="5">
    <tableColumn id="1" xr3:uid="{2A207787-15C9-4704-A903-9F740B013051}" name="ability"/>
    <tableColumn id="2" xr3:uid="{48DD801C-FF50-4FBE-8AED-5B06854DC66D}" name="takes" dataDxfId="1592">
      <calculatedColumnFormula>COUNTIF(Scenario4[winner1-ability3],ParagonAbilities3Scenario4[[#This Row],[ability]])+COUNTIF(Scenario4[loser1-ability3],ParagonAbilities3Scenario4[[#This Row],[ability]])+COUNTIF(Scenario4[loser2-ability3],ParagonAbilities3Scenario4[[#This Row],[ability]])+COUNTIF(Scenario4[loser3-ability3],ParagonAbilities3Scenario4[[#This Row],[ability]])</calculatedColumnFormula>
    </tableColumn>
    <tableColumn id="3" xr3:uid="{6132E456-2CA1-40EA-B755-A3546AE164DC}" name="wins" dataDxfId="1591">
      <calculatedColumnFormula>COUNTIF(Scenario4[winner1-ability3],ParagonAbilities3Scenario4[[#This Row],[ability]])</calculatedColumnFormula>
    </tableColumn>
    <tableColumn id="4" xr3:uid="{90E5726D-20F9-4F3A-A0E6-A5A6EC87E009}" name="battles-take-rate" dataDxfId="1590">
      <calculatedColumnFormula>IF(SUM(ParagonAbilities3Scenario4[[#This Row],[takes]]) &gt; 0,ParagonAbilities3Scenario4[[#This Row],[takes]]/SUM(ParagonAbilities3Scenario4[takes]),0)</calculatedColumnFormula>
    </tableColumn>
    <tableColumn id="5" xr3:uid="{B74FE47C-02EC-4124-9FFF-E051FCC62CCB}" name="take-win-rate" dataDxfId="1589">
      <calculatedColumnFormula>IF(ParagonAbilities3Scenario4[[#This Row],[takes]]&gt;0,ParagonAbilities3Scenario4[[#This Row],[wins]]/ParagonAbilities3Scenario4[[#This Row],[takes]],0)</calculatedColumnFormula>
    </tableColumn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8" xr:uid="{9022DE4B-F380-40AC-A2A3-67B59B644028}" name="ParagonAbilities4Scenario4" displayName="ParagonAbilities4Scenario4" ref="L101:P104" totalsRowShown="0" headerRowDxfId="1588" headerRowBorderDxfId="1587" tableBorderDxfId="1586" totalsRowBorderDxfId="1585">
  <autoFilter ref="L101:P104" xr:uid="{9022DE4B-F380-40AC-A2A3-67B59B644028}"/>
  <tableColumns count="5">
    <tableColumn id="1" xr3:uid="{D26B11FA-CE66-49A6-ADA1-9E6675AA0AC4}" name="ability"/>
    <tableColumn id="2" xr3:uid="{D4518964-52A7-4487-8542-9B0F3A001D8F}" name="takes" dataDxfId="1584">
      <calculatedColumnFormula>COUNTIF(Scenario4[winner1-ability4],ParagonAbilities4Scenario4[[#This Row],[ability]])+COUNTIF(Scenario4[loser1-ability4],ParagonAbilities4Scenario4[[#This Row],[ability]])+COUNTIF(Scenario4[loser2-ability4],ParagonAbilities4Scenario4[[#This Row],[ability]])+COUNTIF(Scenario4[loser3-ability4],ParagonAbilities4Scenario4[[#This Row],[ability]])</calculatedColumnFormula>
    </tableColumn>
    <tableColumn id="3" xr3:uid="{0CA7B7E1-3B94-4169-8C62-356E2F67521F}" name="wins" dataDxfId="1583">
      <calculatedColumnFormula>COUNTIF(Scenario4[winner1-ability4],ParagonAbilities4Scenario4[[#This Row],[ability]])</calculatedColumnFormula>
    </tableColumn>
    <tableColumn id="4" xr3:uid="{5FA50C4E-7E25-4F47-8E1C-377ED6B583BF}" name="battles-take-rate" dataDxfId="1582">
      <calculatedColumnFormula>IF(SUM(ParagonAbilities4Scenario4[[#This Row],[takes]]) &gt; 0,ParagonAbilities4Scenario4[[#This Row],[takes]]/SUM(ParagonAbilities4Scenario4[takes]),0)</calculatedColumnFormula>
    </tableColumn>
    <tableColumn id="5" xr3:uid="{AF8AA04D-671D-47D1-98EC-3552F8B8A6BB}" name="take-win-rate" dataDxfId="1581">
      <calculatedColumnFormula>IF(ParagonAbilities4Scenario4[[#This Row],[takes]]&gt;0,ParagonAbilities4Scenario4[[#This Row],[wins]]/ParagonAbilities4Scenario4[[#This Row],[takes]],0)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A6E77E-375E-4802-BE84-281AD0BDBD1B}" name="ScenarioStat1" displayName="ScenarioStat1" ref="A2:G212" totalsRowShown="0">
  <autoFilter ref="A2:G212" xr:uid="{00000000-0009-0000-0100-000002000000}"/>
  <tableColumns count="7">
    <tableColumn id="1" xr3:uid="{4A970956-3AF6-4C02-9A06-055E5956EF0A}" name="hero-1"/>
    <tableColumn id="3" xr3:uid="{0CD9B2CC-9C06-4E9E-94FC-F682BF987965}" name="hero-2"/>
    <tableColumn id="10" xr3:uid="{C27C2EEB-D406-4C4F-AA99-D8E093FBB70B}" name="team-1-win" dataDxfId="1806">
      <calculatedColumnFormula>COUNTIFS(Scenario1[winner1],ScenarioStat1[[#This Row],[hero-1]],Scenario1[winner2],ScenarioStat1[[#This Row],[hero-2]],Scenario1[loser1],ScenarioStat1[[#This Row],[hero-3]],Scenario1[loser2],ScenarioStat1[[#This Row],[hero-4]])</calculatedColumnFormula>
    </tableColumn>
    <tableColumn id="4" xr3:uid="{A747E94C-1831-4FC0-B7A3-D05F870B8966}" name="hero-3" dataDxfId="1805"/>
    <tableColumn id="5" xr3:uid="{128C557E-8342-4183-B44E-301E27402F84}" name="hero-4"/>
    <tableColumn id="7" xr3:uid="{AAC6C4FD-799F-4646-B17E-E24AA4D9541B}" name="team-2-win" dataDxfId="1804">
      <calculatedColumnFormula>COUNTIFS(Scenario1[winner1],ScenarioStat1[[#This Row],[hero-3]],Scenario1[winner2],ScenarioStat1[[#This Row],[hero-4]],Scenario1[loser1],ScenarioStat1[[#This Row],[hero-1]],Scenario1[loser2],ScenarioStat1[[#This Row],[hero-2]])</calculatedColumnFormula>
    </tableColumn>
    <tableColumn id="11" xr3:uid="{C8C96B24-B321-4ADB-ABA1-C0FF91014439}" name="battles" dataDxfId="1803">
      <calculatedColumnFormula>ScenarioStat1[[#This Row],[team-1-win]]+ScenarioStat1[[#This Row],[team-2-win]]</calculatedColumnFormula>
    </tableColumn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9" xr:uid="{73C663B0-EC72-4A3D-9C7D-9F92512EE4BE}" name="ParagonEquipScenario4" displayName="ParagonEquipScenario4" ref="R86:U89" totalsRowShown="0">
  <autoFilter ref="R86:U89" xr:uid="{73C663B0-EC72-4A3D-9C7D-9F92512EE4BE}"/>
  <tableColumns count="4">
    <tableColumn id="1" xr3:uid="{C1E5D584-6EC5-4420-94D0-30C7F97D9D03}" name="level"/>
    <tableColumn id="2" xr3:uid="{4BD01934-1594-4286-977E-FAEF0A661CC4}" name="spear" dataDxfId="1580">
      <calculatedColumnFormula>COUNTIFS(Scenario4[winner1],"paragon",Scenario4[winner1-pw],ParagonEquipScenario4[[#This Row],[level]])+COUNTIFS(Scenario4[loser1],"paragon",Scenario4[loser1-pw],ParagonEquipScenario4[[#This Row],[level]])+COUNTIFS(Scenario4[loser2],"paragon",Scenario4[loser2-pw],ParagonEquipScenario4[[#This Row],[level]])+COUNTIFS(Scenario4[loser3],"paragon",Scenario4[loser3-pw],ParagonEquipScenario4[[#This Row],[level]])</calculatedColumnFormula>
    </tableColumn>
    <tableColumn id="3" xr3:uid="{3BCC89F2-7DD2-480E-B4C2-F71972D241D2}" name="shield" dataDxfId="1579">
      <calculatedColumnFormula>COUNTIFS(Scenario4[winner1],"paragon",Scenario4[winner1-sw],ParagonEquipScenario4[[#This Row],[level]])+COUNTIFS(Scenario4[loser1],"paragon",Scenario4[loser1-sw],ParagonEquipScenario4[[#This Row],[level]])+COUNTIFS(Scenario4[loser2],"paragon",Scenario4[loser2-sw],ParagonEquipScenario4[[#This Row],[level]])+COUNTIFS(Scenario4[loser3],"paragon",Scenario4[loser3-sw],ParagonEquipScenario4[[#This Row],[level]])</calculatedColumnFormula>
    </tableColumn>
    <tableColumn id="4" xr3:uid="{BE3B3FF2-DEFA-4E48-A164-42BD42068AE5}" name="chestpiece" dataDxfId="1578">
      <calculatedColumnFormula>COUNTIFS(Scenario4[winner1],"paragon",Scenario4[winner1-cp],ParagonEquipScenario4[[#This Row],[level]])+COUNTIFS(Scenario4[loser1],"paragon",Scenario4[loser1-cp],ParagonEquipScenario4[[#This Row],[level]])+COUNTIFS(Scenario4[loser2],"paragon",Scenario4[loser2-cp],ParagonEquipScenario4[[#This Row],[level]])+COUNTIFS(Scenario4[loser3],"paragon",Scenario4[loser3-cp],ParagonEquipScenario4[[#This Row],[level]])</calculatedColumnFormula>
    </tableColumn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3" xr:uid="{CD693FC2-6CBF-48E1-A47A-AFE4369E2457}" name="ParagonAbilities1Scenario5" displayName="ParagonAbilities1Scenario5" ref="L107:P110" totalsRowShown="0">
  <autoFilter ref="L107:P110" xr:uid="{CD693FC2-6CBF-48E1-A47A-AFE4369E2457}"/>
  <tableColumns count="5">
    <tableColumn id="2" xr3:uid="{BA2BBDF8-6048-41A1-9842-4BB364B48FA3}" name="ability"/>
    <tableColumn id="6" xr3:uid="{509BFAA7-DB2C-48A0-9F8B-230AC34EEC23}" name="takes" dataDxfId="1577">
      <calculatedColumnFormula>COUNTIF(Scenario5[winner1-ability1],ParagonAbilities1Scenario5[[#This Row],[ability]])+COUNTIF(Scenario5[winner2-ability1],ParagonAbilities1Scenario5[[#This Row],[ability]])+COUNTIF(Scenario5[loser1-ability1],ParagonAbilities1Scenario5[[#This Row],[ability]])+COUNTIF(Scenario5[loser2-ability1],ParagonAbilities1Scenario5[[#This Row],[ability]])</calculatedColumnFormula>
    </tableColumn>
    <tableColumn id="4" xr3:uid="{11FA4575-C4E8-4517-9AA7-0673FD00044F}" name="wins" dataDxfId="1576">
      <calculatedColumnFormula>COUNTIF(Scenario5[winner1-ability1],ParagonAbilities1Scenario5[[#This Row],[ability]])+COUNTIF(Scenario5[winner2-ability1],ParagonAbilities1Scenario5[[#This Row],[ability]])</calculatedColumnFormula>
    </tableColumn>
    <tableColumn id="5" xr3:uid="{42FB0731-E11A-4DE8-BC02-B7649AED4479}" name="battles-take-rate" dataDxfId="1575">
      <calculatedColumnFormula>IF(SUM(ParagonAbilities1Scenario5[[#This Row],[takes]]) &gt; 0,ParagonAbilities1Scenario5[[#This Row],[takes]]/SUM(ParagonAbilities1Scenario5[takes]),0)</calculatedColumnFormula>
    </tableColumn>
    <tableColumn id="7" xr3:uid="{4090F1E2-8672-42C4-804D-455F07C1F409}" name="take-win-rate" dataDxfId="1574">
      <calculatedColumnFormula>IF(ParagonAbilities1Scenario5[[#This Row],[takes]]&gt;0,ParagonAbilities1Scenario5[[#This Row],[wins]]/ParagonAbilities1Scenario5[[#This Row],[takes]],0)</calculatedColumnFormula>
    </tableColumn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4" xr:uid="{52B27CB7-A610-478B-8DE2-8545015C7EFF}" name="ParagonAbilities2Scenario5" displayName="ParagonAbilities2Scenario5" ref="L112:P115" totalsRowShown="0" headerRowDxfId="1573" headerRowBorderDxfId="1572" tableBorderDxfId="1571" totalsRowBorderDxfId="1570">
  <autoFilter ref="L112:P115" xr:uid="{52B27CB7-A610-478B-8DE2-8545015C7EFF}"/>
  <tableColumns count="5">
    <tableColumn id="1" xr3:uid="{ADE24C97-0CD9-4FC7-9CC2-4D1C085E7A4C}" name="ability"/>
    <tableColumn id="2" xr3:uid="{46B98EBA-2332-477F-8F4D-0A1DA905B241}" name="takes" dataDxfId="1569">
      <calculatedColumnFormula>COUNTIF(Scenario5[winner1-ability2],ParagonAbilities2Scenario5[[#This Row],[ability]])+COUNTIF(Scenario5[winner2-ability2],ParagonAbilities2Scenario5[[#This Row],[ability]])+COUNTIF(Scenario5[loser1-ability2],ParagonAbilities2Scenario5[[#This Row],[ability]])+COUNTIF(Scenario5[loser2-ability2],ParagonAbilities2Scenario5[[#This Row],[ability]])</calculatedColumnFormula>
    </tableColumn>
    <tableColumn id="3" xr3:uid="{FB4D07C7-B3B4-447A-B069-DB7FF1ED1592}" name="wins" dataDxfId="1568">
      <calculatedColumnFormula>COUNTIF(Scenario5[winner1-ability2],ParagonAbilities2Scenario5[[#This Row],[ability]])+COUNTIF(Scenario5[winner2-ability2],ParagonAbilities2Scenario5[[#This Row],[ability]])</calculatedColumnFormula>
    </tableColumn>
    <tableColumn id="4" xr3:uid="{5DBA4597-2F52-43A4-8821-495D98A31AA5}" name="battles-take-rate" dataDxfId="1567">
      <calculatedColumnFormula>IF(SUM(ParagonAbilities2Scenario5[[#This Row],[takes]]) &gt; 0,ParagonAbilities2Scenario5[[#This Row],[takes]]/SUM(ParagonAbilities2Scenario5[takes]),0)</calculatedColumnFormula>
    </tableColumn>
    <tableColumn id="5" xr3:uid="{5E9793B3-AAFA-433A-A872-E908A9CBB790}" name="take-win-rate" dataDxfId="1566">
      <calculatedColumnFormula>IF(ParagonAbilities2Scenario5[[#This Row],[takes]]&gt;0,ParagonAbilities2Scenario5[[#This Row],[wins]]/ParagonAbilities2Scenario5[[#This Row],[takes]],0)</calculatedColumnFormula>
    </tableColumn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5" xr:uid="{2129150C-00AB-4EF8-9E63-D2AF530C6076}" name="ParagonAbilities3Scenario5" displayName="ParagonAbilities3Scenario5" ref="L117:P120" totalsRowShown="0" headerRowDxfId="1565" headerRowBorderDxfId="1564" tableBorderDxfId="1563" totalsRowBorderDxfId="1562">
  <autoFilter ref="L117:P120" xr:uid="{2129150C-00AB-4EF8-9E63-D2AF530C6076}"/>
  <tableColumns count="5">
    <tableColumn id="1" xr3:uid="{A45D14E6-EFF8-438E-855B-96CCEC53BCDB}" name="ability"/>
    <tableColumn id="2" xr3:uid="{901C1CA6-982F-41E9-8811-D7996B3469C5}" name="takes" dataDxfId="1561">
      <calculatedColumnFormula>COUNTIF(Scenario5[winner1-ability3],ParagonAbilities3Scenario5[[#This Row],[ability]])+COUNTIF(Scenario5[winner2-ability3],ParagonAbilities3Scenario5[[#This Row],[ability]])+COUNTIF(Scenario5[loser1-ability3],ParagonAbilities3Scenario5[[#This Row],[ability]])+COUNTIF(Scenario5[loser2-ability3],ParagonAbilities3Scenario5[[#This Row],[ability]])</calculatedColumnFormula>
    </tableColumn>
    <tableColumn id="3" xr3:uid="{278C5192-C1AB-46BE-B928-57278EB9008E}" name="wins" dataDxfId="1560">
      <calculatedColumnFormula>COUNTIF(Scenario5[winner1-ability3],ParagonAbilities3Scenario5[[#This Row],[ability]])+COUNTIF(Scenario5[winner2-ability3],ParagonAbilities3Scenario5[[#This Row],[ability]])</calculatedColumnFormula>
    </tableColumn>
    <tableColumn id="4" xr3:uid="{7FC3A833-79C5-4CD3-857E-719A93B6BAA1}" name="battles-take-rate" dataDxfId="1559">
      <calculatedColumnFormula>IF(SUM(ParagonAbilities3Scenario5[[#This Row],[takes]]) &gt; 0,ParagonAbilities3Scenario5[[#This Row],[takes]]/SUM(ParagonAbilities3Scenario5[takes]),0)</calculatedColumnFormula>
    </tableColumn>
    <tableColumn id="5" xr3:uid="{002D1D38-602A-4070-A3C0-DE5F84F0524D}" name="take-win-rate" dataDxfId="1558">
      <calculatedColumnFormula>IF(ParagonAbilities3Scenario5[[#This Row],[takes]]&gt;0,ParagonAbilities3Scenario5[[#This Row],[wins]]/ParagonAbilities3Scenario5[[#This Row],[takes]],0)</calculatedColumnFormula>
    </tableColumn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6" xr:uid="{720C4EE8-8592-4893-B831-3B609EE491FD}" name="ParagonAbilities4Scenario5" displayName="ParagonAbilities4Scenario5" ref="L122:P125" totalsRowShown="0" headerRowDxfId="1557" headerRowBorderDxfId="1556" tableBorderDxfId="1555" totalsRowBorderDxfId="1554">
  <autoFilter ref="L122:P125" xr:uid="{720C4EE8-8592-4893-B831-3B609EE491FD}"/>
  <tableColumns count="5">
    <tableColumn id="1" xr3:uid="{41EC1B98-14CE-4A42-BD01-7D73482CAEAA}" name="ability"/>
    <tableColumn id="2" xr3:uid="{D9D0E025-F80A-44F3-9C5D-D7C9CC363532}" name="takes" dataDxfId="1553">
      <calculatedColumnFormula>COUNTIF(Scenario5[winner1-ability4],ParagonAbilities4Scenario5[[#This Row],[ability]])+COUNTIF(Scenario5[winner2-ability4],ParagonAbilities4Scenario5[[#This Row],[ability]])+COUNTIF(Scenario5[loser1-ability4],ParagonAbilities4Scenario5[[#This Row],[ability]])+COUNTIF(Scenario5[loser2-ability4],ParagonAbilities4Scenario5[[#This Row],[ability]])</calculatedColumnFormula>
    </tableColumn>
    <tableColumn id="3" xr3:uid="{DEDC24C2-58C6-4B92-83BE-27DB07F530B7}" name="wins" dataDxfId="1552">
      <calculatedColumnFormula>COUNTIF(Scenario5[winner1-ability4],ParagonAbilities4Scenario5[[#This Row],[ability]])+COUNTIF(Scenario5[winner2-ability4],ParagonAbilities4Scenario5[[#This Row],[ability]])</calculatedColumnFormula>
    </tableColumn>
    <tableColumn id="4" xr3:uid="{F6F90366-092B-4860-AB1C-F322D8D5DE67}" name="battles-take-rate" dataDxfId="1551">
      <calculatedColumnFormula>IF(SUM(ParagonAbilities4Scenario5[[#This Row],[takes]]) &gt; 0,ParagonAbilities4Scenario5[[#This Row],[takes]]/SUM(ParagonAbilities4Scenario5[takes]),0)</calculatedColumnFormula>
    </tableColumn>
    <tableColumn id="5" xr3:uid="{110729A7-46D4-4F24-8E23-BD9586A6EF9C}" name="take-win-rate" dataDxfId="1550">
      <calculatedColumnFormula>IF(ParagonAbilities4Scenario5[[#This Row],[takes]]&gt;0,ParagonAbilities4Scenario5[[#This Row],[wins]]/ParagonAbilities4Scenario5[[#This Row],[takes]],0)</calculatedColumnFormula>
    </tableColumn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7" xr:uid="{8710156E-8F53-4FA1-8C7E-91D2BA39A23D}" name="ParagonEquipScenario5" displayName="ParagonEquipScenario5" ref="R107:U110" totalsRowShown="0">
  <autoFilter ref="R107:U110" xr:uid="{8710156E-8F53-4FA1-8C7E-91D2BA39A23D}"/>
  <tableColumns count="4">
    <tableColumn id="1" xr3:uid="{38069383-B0D9-40F7-BFB1-E6BF530B05D1}" name="level"/>
    <tableColumn id="2" xr3:uid="{940F6758-E10E-42B0-ADAE-CEC2BECAAFAD}" name="spear" dataDxfId="1549">
      <calculatedColumnFormula>COUNTIFS(Scenario5[winner1],"paragon",Scenario5[winner1-pw],ParagonEquipScenario5[[#This Row],[level]])+COUNTIFS(Scenario5[winner2],"paragon",Scenario5[winner2-pw],ParagonEquipScenario5[[#This Row],[level]])+COUNTIFS(Scenario5[loser1],"paragon",Scenario5[loser1-pw],ParagonEquipScenario5[[#This Row],[level]])+COUNTIFS(Scenario5[loser2],"paragon",Scenario5[loser2-pw],ParagonEquipScenario5[[#This Row],[level]])</calculatedColumnFormula>
    </tableColumn>
    <tableColumn id="3" xr3:uid="{A59B6C2B-4360-44E1-AA1F-19DEFDF7736D}" name="shield" dataDxfId="1548">
      <calculatedColumnFormula>COUNTIFS(Scenario5[winner1],"paragon",Scenario5[winner1-sw],ParagonEquipScenario5[[#This Row],[level]])+COUNTIFS(Scenario5[winner2],"paragon",Scenario5[winner2-sw],ParagonEquipScenario5[[#This Row],[level]])+COUNTIFS(Scenario5[loser1],"paragon",Scenario5[loser1-sw],ParagonEquipScenario5[[#This Row],[level]])+COUNTIFS(Scenario5[loser2],"paragon",Scenario5[loser2-sw],ParagonEquipScenario5[[#This Row],[level]])</calculatedColumnFormula>
    </tableColumn>
    <tableColumn id="4" xr3:uid="{9896BA6E-1160-41C3-8DF1-F9D5EFCCA012}" name="chestpiece" dataDxfId="1547">
      <calculatedColumnFormula>COUNTIFS(Scenario5[winner1],"paragon",Scenario5[winner1-cp],ParagonEquipScenario5[[#This Row],[level]])+COUNTIFS(Scenario5[winner2],"paragon",Scenario5[winner2-cp],ParagonEquipScenario5[[#This Row],[level]])+COUNTIFS(Scenario5[loser1],"paragon",Scenario5[loser1-cp],ParagonEquipScenario5[[#This Row],[level]])+COUNTIFS(Scenario5[loser2],"paragon",Scenario5[loser2-cp],ParagonEquipScenario5[[#This Row],[level]])</calculatedColumnFormula>
    </tableColumn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34D8AEE4-F944-4380-8AD8-658EE5F3D261}" name="HighlanderAbilities1" displayName="HighlanderAbilities1" ref="A2:E5" totalsRowShown="0">
  <autoFilter ref="A2:E5" xr:uid="{DCA301F1-E0F8-4700-BEE5-2688AF43F23A}"/>
  <tableColumns count="5">
    <tableColumn id="2" xr3:uid="{EE32572C-DAA5-406B-A050-ABC096307EB0}" name="ability"/>
    <tableColumn id="6" xr3:uid="{B191C9C6-91BE-4A45-90E5-5E5C370BB73C}" name="takes" dataDxfId="1546">
      <calculatedColumnFormula>L3+L24+L45+L66+L87+L108</calculatedColumnFormula>
    </tableColumn>
    <tableColumn id="4" xr3:uid="{6AD8A7A2-0013-4031-8DAB-5AD3D8FCB173}" name="wins" dataDxfId="1545">
      <calculatedColumnFormula>M3+M24+M45+M66+M87+M108</calculatedColumnFormula>
    </tableColumn>
    <tableColumn id="5" xr3:uid="{B3552DFB-EAFC-4577-B811-AF0F9687BA5C}" name="battles-take-rate" dataDxfId="1544">
      <calculatedColumnFormula>IF(SUM(HighlanderAbilities1[[#This Row],[takes]]) &gt; 0,HighlanderAbilities1[[#This Row],[takes]]/SUM(HighlanderAbilities1[takes]),0)</calculatedColumnFormula>
    </tableColumn>
    <tableColumn id="7" xr3:uid="{FFDF1F84-88F6-4BDF-8211-51C60C7C3469}" name="take-win-rate" dataDxfId="1543">
      <calculatedColumnFormula>IF(HighlanderAbilities1[[#This Row],[takes]]&gt;0,HighlanderAbilities1[[#This Row],[wins]]/HighlanderAbilities1[[#This Row],[takes]],0)</calculatedColumnFormula>
    </tableColumn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63E3F09C-D270-4A71-B9A0-7F80E491B7ED}" name="HighlanderAbilities2" displayName="HighlanderAbilities2" ref="A7:E10" totalsRowShown="0" headerRowDxfId="1542" headerRowBorderDxfId="1541" tableBorderDxfId="1540" totalsRowBorderDxfId="1539">
  <autoFilter ref="A7:E10" xr:uid="{8ADAEE31-4DDA-4DF2-9EAD-04808D53FFC1}"/>
  <tableColumns count="5">
    <tableColumn id="1" xr3:uid="{FA259F45-71C5-43F8-8CCC-CD0F7810CBA7}" name="ability"/>
    <tableColumn id="2" xr3:uid="{1085E8A7-E8B5-4EC7-8B56-E8435D8A6F20}" name="takes" dataDxfId="1538">
      <calculatedColumnFormula>L8+L29+L50+L71+L92+L113</calculatedColumnFormula>
    </tableColumn>
    <tableColumn id="3" xr3:uid="{8FEED0FA-3268-41B1-9503-BD07DCBD59EB}" name="wins" dataDxfId="1537">
      <calculatedColumnFormula>M8+M29+M50+M71+M92+M113</calculatedColumnFormula>
    </tableColumn>
    <tableColumn id="4" xr3:uid="{791570BF-CF63-4FF3-98A5-66F96870FBA2}" name="battles-take-rate" dataDxfId="1536">
      <calculatedColumnFormula>IF(SUM(HighlanderAbilities2[[#This Row],[takes]]) &gt; 0,HighlanderAbilities2[[#This Row],[takes]]/SUM(HighlanderAbilities2[takes]),0)</calculatedColumnFormula>
    </tableColumn>
    <tableColumn id="5" xr3:uid="{6634EF11-3446-4F6F-9E40-1D27F85E1FFC}" name="take-win-rate" dataDxfId="1535">
      <calculatedColumnFormula>IF(HighlanderAbilities2[[#This Row],[takes]]&gt;0,HighlanderAbilities2[[#This Row],[wins]]/HighlanderAbilities2[[#This Row],[takes]],0)</calculatedColumnFormula>
    </tableColumn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CBD0C590-6AB9-4E3F-993F-2465BFD6E9B1}" name="HighlanderAbilities3" displayName="HighlanderAbilities3" ref="A12:E15" totalsRowShown="0" headerRowDxfId="1534" headerRowBorderDxfId="1533" tableBorderDxfId="1532" totalsRowBorderDxfId="1531">
  <autoFilter ref="A12:E15" xr:uid="{1B0EA3CA-FA8E-4345-B52C-471D5C94AD38}"/>
  <tableColumns count="5">
    <tableColumn id="1" xr3:uid="{65485672-1BFC-4CD1-B46C-3E10C20FE680}" name="ability"/>
    <tableColumn id="2" xr3:uid="{0FC87D2D-8207-4E95-A215-002A81DB981A}" name="takes" dataDxfId="1530">
      <calculatedColumnFormula>L13+L34+L55+L76+L97+L118</calculatedColumnFormula>
    </tableColumn>
    <tableColumn id="3" xr3:uid="{03C77734-0BE9-4820-9770-29ACD0AF0635}" name="wins" dataDxfId="1529">
      <calculatedColumnFormula>M13+M34+M55+M76+M97+M118</calculatedColumnFormula>
    </tableColumn>
    <tableColumn id="4" xr3:uid="{FE54A2A3-BC60-46B8-89C1-8C761FDDC67F}" name="battles-take-rate" dataDxfId="1528">
      <calculatedColumnFormula>IF(SUM(HighlanderAbilities3[[#This Row],[takes]]) &gt; 0,HighlanderAbilities3[[#This Row],[takes]]/SUM(HighlanderAbilities3[takes]),0)</calculatedColumnFormula>
    </tableColumn>
    <tableColumn id="5" xr3:uid="{DA930EE1-AE02-47BF-9B4D-5A393F7DB970}" name="take-win-rate" dataDxfId="1527">
      <calculatedColumnFormula>IF(HighlanderAbilities3[[#This Row],[takes]]&gt;0,HighlanderAbilities3[[#This Row],[wins]]/HighlanderAbilities3[[#This Row],[takes]],0)</calculatedColumnFormula>
    </tableColumn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001F6C03-4483-405D-98BD-FB6EF3A263C3}" name="HighlanderAbilities4" displayName="HighlanderAbilities4" ref="A17:E20" totalsRowShown="0" headerRowDxfId="1526" headerRowBorderDxfId="1525" tableBorderDxfId="1524" totalsRowBorderDxfId="1523">
  <autoFilter ref="A17:E20" xr:uid="{2AADA4A0-2F4A-4009-8ECF-0BECA693390C}"/>
  <tableColumns count="5">
    <tableColumn id="1" xr3:uid="{87950E31-BAB1-44C5-9C72-3AB67D671CA7}" name="ability" dataDxfId="1522"/>
    <tableColumn id="2" xr3:uid="{C84CD939-93B2-4F85-A4F0-569665A45FE6}" name="takes" dataDxfId="1521">
      <calculatedColumnFormula>L18+L39+L60+L81+L102+L123</calculatedColumnFormula>
    </tableColumn>
    <tableColumn id="3" xr3:uid="{6B188D82-4BD2-4FF2-8C12-D56DAEB9B117}" name="wins" dataDxfId="1520">
      <calculatedColumnFormula>M18+M39+M60+M81+M102+M123</calculatedColumnFormula>
    </tableColumn>
    <tableColumn id="4" xr3:uid="{00FCF0E9-BE21-44DD-BE30-37EA8F3BBCFF}" name="battles-take-rate" dataDxfId="1519">
      <calculatedColumnFormula>IF(SUM(HighlanderAbilities4[[#This Row],[takes]]) &gt; 0,HighlanderAbilities4[[#This Row],[takes]]/SUM(HighlanderAbilities4[takes]),0)</calculatedColumnFormula>
    </tableColumn>
    <tableColumn id="5" xr3:uid="{FEC5E0E8-2A76-482B-9A05-EDA592232EFF}" name="take-win-rate" dataDxfId="1518">
      <calculatedColumnFormula>IF(HighlanderAbilities4[[#This Row],[takes]]&gt;0,HighlanderAbilities4[[#This Row],[wins]]/HighlanderAbilities4[[#This Row],[takes]],0)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23C35E2E-2009-4D9D-89C7-22A01A169B69}" name="ScenarioTeams1" displayName="ScenarioTeams1" ref="I2:M30">
  <autoFilter ref="I2:M30" xr:uid="{3BA29664-241D-4460-819F-8FE8E5CEB60F}"/>
  <tableColumns count="5">
    <tableColumn id="1" xr3:uid="{BBD7F247-2F6A-4116-BD29-8B4177AB29B3}" name="hero-1" totalsRowLabel="Total"/>
    <tableColumn id="2" xr3:uid="{E004DC88-94ED-4DBB-83F5-C4A4E25911C4}" name="hero-2"/>
    <tableColumn id="4" xr3:uid="{EE81324B-5B95-48AF-B411-62B354E5C4BE}" name="battles" dataDxfId="1802">
      <calculatedColumnFormula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calculatedColumnFormula>
    </tableColumn>
    <tableColumn id="7" xr3:uid="{BEC1694F-5B04-4A72-894C-ED1227DECC95}" name="wins" totalsRowFunction="count" dataDxfId="1801">
      <calculatedColumnFormula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calculatedColumnFormula>
    </tableColumn>
    <tableColumn id="3" xr3:uid="{87DE653F-8EF1-405F-B4A7-479CD7C5DD97}" name="win-rate" dataDxfId="1800">
      <calculatedColumnFormula>IF(ScenarioTeams1[[#This Row],[battles]],ScenarioTeams1[[#This Row],[wins]]/ScenarioTeams1[[#This Row],[battles]],0)</calculatedColumnFormula>
    </tableColumn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7B06F8FE-44BC-4FE1-BF56-C9AB1EC7286F}" name="HighlanderEquip" displayName="HighlanderEquip" ref="G2:I5" totalsRowShown="0">
  <autoFilter ref="G2:I5" xr:uid="{C15024E5-2A00-4F8B-BBEB-0FE7A036BC54}"/>
  <tableColumns count="3">
    <tableColumn id="1" xr3:uid="{D0F05619-D1E8-46C7-9526-A7DF0895A0D7}" name="level"/>
    <tableColumn id="2" xr3:uid="{A17D6F16-BD22-477B-869E-67960222BBD3}" name="sword" dataDxfId="1517">
      <calculatedColumnFormula>R3+R24+R45+R66+R87+R108</calculatedColumnFormula>
    </tableColumn>
    <tableColumn id="4" xr3:uid="{6BFD5C7B-4CFB-4B7D-B8E9-5C10F667B91B}" name="chestpiece" dataDxfId="1516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2AEA6C82-CB7D-494C-B92D-FAB52F5AEC34}" name="HighlanderAbilities1Scenario0" displayName="HighlanderAbilities1Scenario0" ref="K2:O5" totalsRowShown="0">
  <autoFilter ref="K2:O5" xr:uid="{4CDFB74F-734F-4444-929B-80D3797B5492}"/>
  <tableColumns count="5">
    <tableColumn id="2" xr3:uid="{96C8E1E4-AEAC-496A-98F5-015EF720792C}" name="ability"/>
    <tableColumn id="6" xr3:uid="{548719A0-C351-44F3-B8B6-36F100E4AB71}" name="takes" dataDxfId="1515">
      <calculatedColumnFormula>COUNTIF(Scenario0[winner1-ability1],HighlanderAbilities1Scenario0[[#This Row],[ability]])+COUNTIF(Scenario0[winner2-ability1],HighlanderAbilities1Scenario0[[#This Row],[ability]])+COUNTIF(Scenario0[loser1-ability1],HighlanderAbilities1Scenario0[[#This Row],[ability]])+COUNTIF(Scenario0[loser2-ability1],HighlanderAbilities1Scenario0[[#This Row],[ability]])</calculatedColumnFormula>
    </tableColumn>
    <tableColumn id="4" xr3:uid="{FED2B03D-2958-4762-9C90-093F2120FB0C}" name="wins" dataDxfId="1514">
      <calculatedColumnFormula>COUNTIF(Scenario0[winner1-ability1],HighlanderAbilities1Scenario0[[#This Row],[ability]])+COUNTIF(Scenario0[winner2-ability1],HighlanderAbilities1Scenario0[[#This Row],[ability]])</calculatedColumnFormula>
    </tableColumn>
    <tableColumn id="5" xr3:uid="{714A2AB1-B8D3-4425-A4CC-48434EC29123}" name="battles-take-rate" dataDxfId="1513">
      <calculatedColumnFormula>IF(SUM(HighlanderAbilities1Scenario0[[#This Row],[takes]]) &gt; 0,HighlanderAbilities1Scenario0[[#This Row],[takes]]/SUM(HighlanderAbilities1Scenario0[takes]),0)</calculatedColumnFormula>
    </tableColumn>
    <tableColumn id="7" xr3:uid="{99994CED-0148-46BA-B84B-C9435D52BEC4}" name="take-win-rate" dataDxfId="1512">
      <calculatedColumnFormula>IF(HighlanderAbilities1Scenario0[[#This Row],[takes]]&gt;0,HighlanderAbilities1Scenario0[[#This Row],[wins]]/HighlanderAbilities1Scenario0[[#This Row],[takes]],0)</calculatedColumnFormula>
    </tableColumn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591F927F-DB10-4068-B28C-72C883595995}" name="HighlanderAbilities2Scenario0" displayName="HighlanderAbilities2Scenario0" ref="K7:O10" totalsRowShown="0" headerRowDxfId="1511" headerRowBorderDxfId="1510" tableBorderDxfId="1509" totalsRowBorderDxfId="1508">
  <autoFilter ref="K7:O10" xr:uid="{07F4368A-34C9-4286-BBA2-89F699718525}"/>
  <tableColumns count="5">
    <tableColumn id="1" xr3:uid="{B5EF5DC5-C7B4-4873-A45F-DAB3D9E9D938}" name="ability"/>
    <tableColumn id="2" xr3:uid="{8643A9FD-3820-4506-963D-36547B668E17}" name="takes" dataDxfId="1507">
      <calculatedColumnFormula>COUNTIF(Scenario0[winner1-ability2],HighlanderAbilities2Scenario0[[#This Row],[ability]])+COUNTIF(Scenario0[winner2-ability2],HighlanderAbilities2Scenario0[[#This Row],[ability]])+COUNTIF(Scenario0[loser1-ability2],HighlanderAbilities2Scenario0[[#This Row],[ability]])+COUNTIF(Scenario0[loser2-ability2],HighlanderAbilities2Scenario0[[#This Row],[ability]])</calculatedColumnFormula>
    </tableColumn>
    <tableColumn id="3" xr3:uid="{3CAA5BDD-50A7-470E-8166-B7307C4C4571}" name="wins" dataDxfId="1506">
      <calculatedColumnFormula>COUNTIF(Scenario0[winner1-ability2],HighlanderAbilities2Scenario0[[#This Row],[ability]])+COUNTIF(Scenario0[winner2-ability2],HighlanderAbilities2Scenario0[[#This Row],[ability]])</calculatedColumnFormula>
    </tableColumn>
    <tableColumn id="4" xr3:uid="{CD2966D7-7CB3-4C40-BE2D-6DBA697240EC}" name="battles-take-rate" dataDxfId="1505">
      <calculatedColumnFormula>IF(SUM(HighlanderAbilities2Scenario0[[#This Row],[takes]]) &gt; 0,HighlanderAbilities2Scenario0[[#This Row],[takes]]/SUM(HighlanderAbilities2Scenario0[takes]),0)</calculatedColumnFormula>
    </tableColumn>
    <tableColumn id="5" xr3:uid="{4F88EC01-A1CC-4ADB-9757-AFB82B69D3F1}" name="take-win-rate" dataDxfId="1504">
      <calculatedColumnFormula>IF(HighlanderAbilities2Scenario0[[#This Row],[takes]]&gt;0,HighlanderAbilities2Scenario0[[#This Row],[wins]]/HighlanderAbilities2Scenario0[[#This Row],[takes]],0)</calculatedColumnFormula>
    </tableColumn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BB87A78D-DED9-4C23-ABF3-AE49439ED32A}" name="HighlanderAbilities3Scenario0" displayName="HighlanderAbilities3Scenario0" ref="K12:O15" totalsRowShown="0" headerRowDxfId="1503" headerRowBorderDxfId="1502" tableBorderDxfId="1501" totalsRowBorderDxfId="1500">
  <autoFilter ref="K12:O15" xr:uid="{E8520742-705B-4A78-A5FD-1F57726A369B}"/>
  <tableColumns count="5">
    <tableColumn id="1" xr3:uid="{8DB29311-E589-45A6-BC46-19CA69F13BB1}" name="ability"/>
    <tableColumn id="2" xr3:uid="{E6675AD9-3AA0-44F6-8367-D721C060D651}" name="takes" dataDxfId="1499">
      <calculatedColumnFormula>COUNTIF(Scenario0[winner1-ability3],HighlanderAbilities3Scenario0[[#This Row],[ability]])+COUNTIF(Scenario0[winner2-ability3],HighlanderAbilities3Scenario0[[#This Row],[ability]])+COUNTIF(Scenario0[loser1-ability3],HighlanderAbilities3Scenario0[[#This Row],[ability]])+COUNTIF(Scenario0[loser2-ability3],HighlanderAbilities3Scenario0[[#This Row],[ability]])</calculatedColumnFormula>
    </tableColumn>
    <tableColumn id="3" xr3:uid="{98AD33F0-4ACA-499B-A3F9-94A2E6D56391}" name="wins" dataDxfId="1498">
      <calculatedColumnFormula>COUNTIF(Scenario0[winner1-ability3],HighlanderAbilities3Scenario0[[#This Row],[ability]])+COUNTIF(Scenario0[winner2-ability3],HighlanderAbilities3Scenario0[[#This Row],[ability]])</calculatedColumnFormula>
    </tableColumn>
    <tableColumn id="4" xr3:uid="{4F6D1528-3EF9-4E9E-ABB7-011D3FE25E31}" name="battles-take-rate" dataDxfId="1497">
      <calculatedColumnFormula>IF(SUM(HighlanderAbilities3Scenario0[[#This Row],[takes]]) &gt; 0,HighlanderAbilities3Scenario0[[#This Row],[takes]]/SUM(HighlanderAbilities3Scenario0[takes]),0)</calculatedColumnFormula>
    </tableColumn>
    <tableColumn id="5" xr3:uid="{8794B585-E1FE-40FA-A697-44C5A2554E9D}" name="take-win-rate" dataDxfId="1496">
      <calculatedColumnFormula>IF(HighlanderAbilities3Scenario0[[#This Row],[takes]]&gt;0,HighlanderAbilities3Scenario0[[#This Row],[wins]]/HighlanderAbilities3Scenario0[[#This Row],[takes]],0)</calculatedColumnFormula>
    </tableColumn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FDABC6F7-F57D-425A-8135-D85C7401BDF9}" name="HighlanderAbilities4Scenario0" displayName="HighlanderAbilities4Scenario0" ref="K17:O20" totalsRowShown="0" headerRowDxfId="1495" headerRowBorderDxfId="1494" tableBorderDxfId="1493" totalsRowBorderDxfId="1492">
  <autoFilter ref="K17:O20" xr:uid="{01E0B516-A92C-45D4-946B-0FCF2F31D98A}"/>
  <tableColumns count="5">
    <tableColumn id="1" xr3:uid="{AA1B6D33-74EE-498E-B851-AABC093752BF}" name="ability" dataDxfId="1491"/>
    <tableColumn id="2" xr3:uid="{638C4C88-BC79-4B67-BB2F-FBF29994B680}" name="takes" dataDxfId="1490">
      <calculatedColumnFormula>COUNTIF(Scenario0[winner1-ability4],HighlanderAbilities4Scenario0[[#This Row],[ability]])+COUNTIF(Scenario0[winner2-ability4],HighlanderAbilities4Scenario0[[#This Row],[ability]])+COUNTIF(Scenario0[loser1-ability4],HighlanderAbilities4Scenario0[[#This Row],[ability]])+COUNTIF(Scenario0[loser2-ability4],HighlanderAbilities4Scenario0[[#This Row],[ability]])</calculatedColumnFormula>
    </tableColumn>
    <tableColumn id="3" xr3:uid="{11B3D431-37A8-40C0-BA09-19F03BD7C094}" name="wins" dataDxfId="1489">
      <calculatedColumnFormula>COUNTIF(Scenario0[winner1-ability4],HighlanderAbilities4Scenario0[[#This Row],[ability]])+COUNTIF(Scenario0[winner2-ability4],HighlanderAbilities4Scenario0[[#This Row],[ability]])</calculatedColumnFormula>
    </tableColumn>
    <tableColumn id="4" xr3:uid="{2E89F752-E002-4AC9-9AD8-A4F7E80FD965}" name="battles-take-rate" dataDxfId="1488">
      <calculatedColumnFormula>IF(SUM(HighlanderAbilities4Scenario0[[#This Row],[takes]]) &gt; 0,HighlanderAbilities4Scenario0[[#This Row],[takes]]/SUM(HighlanderAbilities4Scenario0[takes]),0)</calculatedColumnFormula>
    </tableColumn>
    <tableColumn id="5" xr3:uid="{FC5555BF-F43A-43A2-9265-004B94EF1495}" name="take-win-rate" dataDxfId="1487">
      <calculatedColumnFormula>IF(HighlanderAbilities4Scenario0[[#This Row],[takes]]&gt;0,HighlanderAbilities4Scenario0[[#This Row],[wins]]/HighlanderAbilities4Scenario0[[#This Row],[takes]],0)</calculatedColumnFormula>
    </tableColumn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7CE673B3-55FD-4039-8B81-6F4F50B3D9B1}" name="HighlanderEquipScenario0" displayName="HighlanderEquipScenario0" ref="Q2:S5" totalsRowShown="0">
  <autoFilter ref="Q2:S5" xr:uid="{E84D91C4-DFF3-43B9-932F-3FEFFBEA9FF1}"/>
  <tableColumns count="3">
    <tableColumn id="1" xr3:uid="{764F52D0-4D19-4267-B1BF-BB31B6CA38A2}" name="level"/>
    <tableColumn id="2" xr3:uid="{D5C7F91A-8CDB-4AAB-9D96-94A13155F959}" name="sword" dataDxfId="1486">
      <calculatedColumnFormula>COUNTIFS(Scenario0[winner1],"highlander",Scenario0[winner1-pw],HighlanderEquipScenario0[[#This Row],[level]])+COUNTIFS(Scenario0[winner2],"highlander",Scenario0[winner2-pw],HighlanderEquipScenario0[[#This Row],[level]])+COUNTIFS(Scenario0[loser1],"highlander",Scenario0[loser1-pw],HighlanderEquipScenario0[[#This Row],[level]])+COUNTIFS(Scenario0[loser2],"highlander",Scenario0[loser2-pw],HighlanderEquipScenario0[[#This Row],[level]])</calculatedColumnFormula>
    </tableColumn>
    <tableColumn id="4" xr3:uid="{66F587FA-18E7-4D09-AF05-DBB66FB958C2}" name="chestpiece" dataDxfId="1485">
      <calculatedColumnFormula>COUNTIFS(Scenario0[winner1],"highlander",Scenario0[winner1-cp],HighlanderEquipScenario0[[#This Row],[level]])+COUNTIFS(Scenario0[winner2],"highlander",Scenario0[winner2-cp],HighlanderEquipScenario0[[#This Row],[level]])+COUNTIFS(Scenario0[loser1],"highlander",Scenario0[loser1-cp],HighlanderEquipScenario0[[#This Row],[level]])+COUNTIFS(Scenario0[loser2],"highlander",Scenario0[loser2-cp],HighlanderEquipScenario0[[#This Row],[level]])</calculatedColumnFormula>
    </tableColumn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884FE58B-ADDE-48E6-B4FD-50358D22CCA9}" name="HighlanderAbilities1Scenario1" displayName="HighlanderAbilities1Scenario1" ref="K23:O26" totalsRowShown="0">
  <autoFilter ref="K23:O26" xr:uid="{A0A97CA7-01BF-4D92-A7D1-F51028CD7758}"/>
  <tableColumns count="5">
    <tableColumn id="2" xr3:uid="{E6740302-310E-48BF-97BB-67C4EAD7AD49}" name="ability"/>
    <tableColumn id="6" xr3:uid="{7EADA26B-A2A9-42E9-81BC-5BE771044290}" name="takes" dataDxfId="1484">
      <calculatedColumnFormula>COUNTIF(Scenario1[winner1-ability1],HighlanderAbilities1Scenario1[[#This Row],[ability]])+COUNTIF(Scenario1[winner2-ability1],HighlanderAbilities1Scenario1[[#This Row],[ability]])+COUNTIF(Scenario1[loser1-ability1],HighlanderAbilities1Scenario1[[#This Row],[ability]])+COUNTIF(Scenario1[loser2-ability1],HighlanderAbilities1Scenario1[[#This Row],[ability]])</calculatedColumnFormula>
    </tableColumn>
    <tableColumn id="4" xr3:uid="{F78D6B4A-E9F5-4243-BF3E-1157E2571979}" name="wins" dataDxfId="1483">
      <calculatedColumnFormula>COUNTIF(Scenario1[winner1-ability1],HighlanderAbilities1Scenario1[[#This Row],[ability]])+COUNTIF(Scenario1[winner2-ability1],HighlanderAbilities1Scenario1[[#This Row],[ability]])</calculatedColumnFormula>
    </tableColumn>
    <tableColumn id="5" xr3:uid="{771AC2F5-C552-42EF-8EE5-9F71ECEB8464}" name="battles-take-rate" dataDxfId="1482">
      <calculatedColumnFormula>IF(SUM(HighlanderAbilities1Scenario1[[#This Row],[takes]]) &gt; 0,HighlanderAbilities1Scenario1[[#This Row],[takes]]/SUM(HighlanderAbilities1Scenario1[takes]),0)</calculatedColumnFormula>
    </tableColumn>
    <tableColumn id="7" xr3:uid="{2485D1BC-14A6-4B94-9689-5F517E00582E}" name="take-win-rate" dataDxfId="1481">
      <calculatedColumnFormula>IF(HighlanderAbilities1Scenario1[[#This Row],[takes]]&gt;0,HighlanderAbilities1Scenario1[[#This Row],[wins]]/HighlanderAbilities1Scenario1[[#This Row],[takes]],0)</calculatedColumnFormula>
    </tableColumn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A819F7EF-8AB4-4F4A-99AD-2B29FAA09780}" name="HighlanderAbilities2Scenario1" displayName="HighlanderAbilities2Scenario1" ref="K28:O31" totalsRowShown="0" headerRowDxfId="1480" headerRowBorderDxfId="1479" tableBorderDxfId="1478" totalsRowBorderDxfId="1477">
  <autoFilter ref="K28:O31" xr:uid="{A29CF70A-0B84-46BB-A412-712C2F594795}"/>
  <tableColumns count="5">
    <tableColumn id="1" xr3:uid="{2ACCA177-B741-4715-A573-95124251885E}" name="ability"/>
    <tableColumn id="2" xr3:uid="{981978DF-16A6-42CB-9480-EFAA8E3F9E9C}" name="takes" dataDxfId="1476">
      <calculatedColumnFormula>COUNTIF(Scenario1[winner1-ability2],HighlanderAbilities2Scenario1[[#This Row],[ability]])+COUNTIF(Scenario1[winner2-ability2],HighlanderAbilities2Scenario1[[#This Row],[ability]])+COUNTIF(Scenario1[loser1-ability2],HighlanderAbilities2Scenario1[[#This Row],[ability]])+COUNTIF(Scenario1[loser2-ability2],HighlanderAbilities2Scenario1[[#This Row],[ability]])</calculatedColumnFormula>
    </tableColumn>
    <tableColumn id="3" xr3:uid="{009FC093-18B9-4362-8095-9A49FB237308}" name="wins" dataDxfId="1475">
      <calculatedColumnFormula>COUNTIF(Scenario1[winner1-ability2],HighlanderAbilities2Scenario1[[#This Row],[ability]])+COUNTIF(Scenario1[winner2-ability2],HighlanderAbilities2Scenario1[[#This Row],[ability]])</calculatedColumnFormula>
    </tableColumn>
    <tableColumn id="4" xr3:uid="{FB3D8F1B-1FBE-4007-908A-43FEB37EBA6F}" name="battles-take-rate" dataDxfId="1474">
      <calculatedColumnFormula>IF(SUM(HighlanderAbilities2Scenario1[[#This Row],[takes]]) &gt; 0,HighlanderAbilities2Scenario1[[#This Row],[takes]]/SUM(HighlanderAbilities2Scenario1[takes]),0)</calculatedColumnFormula>
    </tableColumn>
    <tableColumn id="5" xr3:uid="{43DF672E-319F-43BC-A974-D1B7ADA005A7}" name="take-win-rate" dataDxfId="1473">
      <calculatedColumnFormula>IF(HighlanderAbilities2Scenario1[[#This Row],[takes]]&gt;0,HighlanderAbilities2Scenario1[[#This Row],[wins]]/HighlanderAbilities2Scenario1[[#This Row],[takes]],0)</calculatedColumnFormula>
    </tableColumn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79BF0960-1F13-42B2-A0A0-BB083D40F29E}" name="HighlanderAbilities3Scenario1" displayName="HighlanderAbilities3Scenario1" ref="K33:O36" totalsRowShown="0" headerRowDxfId="1472" headerRowBorderDxfId="1471" tableBorderDxfId="1470" totalsRowBorderDxfId="1469">
  <autoFilter ref="K33:O36" xr:uid="{CBC18F4E-86CD-4BE3-9377-2B862ED3B826}"/>
  <tableColumns count="5">
    <tableColumn id="1" xr3:uid="{349D7C4C-AEEE-4B78-827F-D728E780B74D}" name="ability"/>
    <tableColumn id="2" xr3:uid="{A0319C61-0657-4AA9-9703-D24C68B5B85D}" name="takes" dataDxfId="1468">
      <calculatedColumnFormula>COUNTIF(Scenario1[winner1-ability3],HighlanderAbilities3Scenario1[[#This Row],[ability]])+COUNTIF(Scenario1[winner2-ability3],HighlanderAbilities3Scenario1[[#This Row],[ability]])+COUNTIF(Scenario1[loser1-ability3],HighlanderAbilities3Scenario1[[#This Row],[ability]])+COUNTIF(Scenario1[loser2-ability3],HighlanderAbilities3Scenario1[[#This Row],[ability]])</calculatedColumnFormula>
    </tableColumn>
    <tableColumn id="3" xr3:uid="{75268E76-9839-4D92-8EFB-694A3708DDC0}" name="wins" dataDxfId="1467">
      <calculatedColumnFormula>COUNTIF(Scenario1[winner1-ability3],HighlanderAbilities3Scenario1[[#This Row],[ability]])+COUNTIF(Scenario1[winner2-ability3],HighlanderAbilities3Scenario1[[#This Row],[ability]])</calculatedColumnFormula>
    </tableColumn>
    <tableColumn id="4" xr3:uid="{F7E2C4AA-1BDC-4690-B5C6-12E8B877C985}" name="battles-take-rate" dataDxfId="1466">
      <calculatedColumnFormula>IF(SUM(HighlanderAbilities3Scenario1[[#This Row],[takes]]) &gt; 0,HighlanderAbilities3Scenario1[[#This Row],[takes]]/SUM(HighlanderAbilities3Scenario1[takes]),0)</calculatedColumnFormula>
    </tableColumn>
    <tableColumn id="5" xr3:uid="{FC178073-C3FC-4C87-B2CC-7863B0D63960}" name="take-win-rate" dataDxfId="1465">
      <calculatedColumnFormula>IF(HighlanderAbilities3Scenario1[[#This Row],[takes]]&gt;0,HighlanderAbilities3Scenario1[[#This Row],[wins]]/HighlanderAbilities3Scenario1[[#This Row],[takes]],0)</calculatedColumnFormula>
    </tableColumn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AB57F929-DB42-4467-81F7-3CF3978D98A7}" name="HighlanderAbilities4Scenario1" displayName="HighlanderAbilities4Scenario1" ref="K38:O41" totalsRowShown="0" headerRowDxfId="1464" headerRowBorderDxfId="1463" tableBorderDxfId="1462" totalsRowBorderDxfId="1461">
  <autoFilter ref="K38:O41" xr:uid="{A1F38E75-59DE-4DB4-B81C-C0322397F6F7}"/>
  <tableColumns count="5">
    <tableColumn id="1" xr3:uid="{769AEF11-64B1-48E1-81F7-44ED789A5436}" name="ability" dataDxfId="1460"/>
    <tableColumn id="2" xr3:uid="{329ABE97-FD25-4B89-85FE-EF4B7E705884}" name="takes" dataDxfId="1459">
      <calculatedColumnFormula>COUNTIF(Scenario1[winner1-ability4],HighlanderAbilities4Scenario1[[#This Row],[ability]])+COUNTIF(Scenario1[winner2-ability4],HighlanderAbilities4Scenario1[[#This Row],[ability]])+COUNTIF(Scenario1[loser1-ability4],HighlanderAbilities4Scenario1[[#This Row],[ability]])+COUNTIF(Scenario1[loser2-ability4],HighlanderAbilities4Scenario1[[#This Row],[ability]])</calculatedColumnFormula>
    </tableColumn>
    <tableColumn id="3" xr3:uid="{82181B4F-99D1-4888-AE9B-48E8F53F221E}" name="wins" dataDxfId="1458">
      <calculatedColumnFormula>COUNTIF(Scenario1[winner1-ability4],HighlanderAbilities4Scenario1[[#This Row],[ability]])+COUNTIF(Scenario1[winner2-ability4],HighlanderAbilities4Scenario1[[#This Row],[ability]])</calculatedColumnFormula>
    </tableColumn>
    <tableColumn id="4" xr3:uid="{59590979-B8D3-4251-B563-207ABB7C108A}" name="battles-take-rate" dataDxfId="1457">
      <calculatedColumnFormula>IF(SUM(HighlanderAbilities4Scenario1[[#This Row],[takes]]) &gt; 0,HighlanderAbilities4Scenario1[[#This Row],[takes]]/SUM(HighlanderAbilities4Scenario1[takes]),0)</calculatedColumnFormula>
    </tableColumn>
    <tableColumn id="5" xr3:uid="{AFA1D752-987D-44CE-8BE8-8307E16CD291}" name="take-win-rate" dataDxfId="1456">
      <calculatedColumnFormula>IF(HighlanderAbilities4Scenario1[[#This Row],[takes]]&gt;0,HighlanderAbilities4Scenario1[[#This Row],[wins]]/HighlanderAbilities4Scenario1[[#This Row],[takes]],0)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3503B99C-FF8C-44B1-BC5D-8686FDFA3954}" name="Scenario2" displayName="Scenario2" ref="A1:T57" totalsRowShown="0">
  <autoFilter ref="A1:T57" xr:uid="{00000000-0009-0000-0100-000001000000}"/>
  <tableColumns count="20">
    <tableColumn id="1" xr3:uid="{936E5295-3BC3-4630-97BC-068124807D82}" name="battle" dataDxfId="1799"/>
    <tableColumn id="2" xr3:uid="{F91094AD-EA0B-4811-8176-3B766382C82C}" name="setup"/>
    <tableColumn id="3" xr3:uid="{4E7A749D-B2E1-4102-AEB2-B55C3EA59D33}" name="winner1"/>
    <tableColumn id="4" xr3:uid="{2EC4A110-16FC-4B57-B734-9ADB87620E58}" name="winner1-pw"/>
    <tableColumn id="5" xr3:uid="{C41FCF43-0578-4C23-A28B-212C1ED17EA6}" name="winner1-sw"/>
    <tableColumn id="6" xr3:uid="{9FEB536E-413F-4427-A34D-722A13949F2F}" name="winner1-cp"/>
    <tableColumn id="7" xr3:uid="{D85436D3-8A0A-476C-8513-E46E70218544}" name="winner1-ability1"/>
    <tableColumn id="8" xr3:uid="{1AE25463-DF0B-4EC5-8934-5AFF138A02FB}" name="winner1-ability2"/>
    <tableColumn id="9" xr3:uid="{B121525B-9172-454A-A3DF-A1E27489B07B}" name="winner1-ability3"/>
    <tableColumn id="10" xr3:uid="{8E8C3555-BAC6-489B-B896-B7130420F7D8}" name="winner1-ability4"/>
    <tableColumn id="19" xr3:uid="{6DF4FB6F-5DF6-45A9-8A7D-DBC832A2581F}" name="loser1"/>
    <tableColumn id="20" xr3:uid="{AB4C9F41-1244-4F88-92EF-481D2ADC7DB1}" name="loser1-pw"/>
    <tableColumn id="21" xr3:uid="{8CF303A2-E782-4E72-BA37-ECEE21E25814}" name="loser1-sw"/>
    <tableColumn id="22" xr3:uid="{5D6BE653-4E30-4DB5-B612-FC76143DDE7E}" name="loser1-cp"/>
    <tableColumn id="23" xr3:uid="{7114BF93-698D-4B3D-93BD-2CF7A260F7E4}" name="loser1-ability1"/>
    <tableColumn id="24" xr3:uid="{2430CADC-7026-48FA-B231-360484E93393}" name="loser1-ability2"/>
    <tableColumn id="25" xr3:uid="{6F6AE885-35EA-4515-ADCB-14C9E840E03E}" name="loser1-ability3"/>
    <tableColumn id="26" xr3:uid="{B1A2233E-9631-4F2D-B657-C54A9CE3DFC1}" name="loser1-ability4"/>
    <tableColumn id="35" xr3:uid="{7F73F43F-F260-4F02-AC89-0A1296F55F9D}" name="crystals"/>
    <tableColumn id="36" xr3:uid="{5618FD8A-12AB-491C-9283-54A62CE0965C}" name="turns"/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9E625303-9D6A-4AF5-85A1-9E46DB22D815}" name="HighlanderEquipScenario1" displayName="HighlanderEquipScenario1" ref="Q23:S26" totalsRowShown="0">
  <autoFilter ref="Q23:S26" xr:uid="{18EECD25-0AE5-4756-B5E1-492D523A2929}"/>
  <tableColumns count="3">
    <tableColumn id="1" xr3:uid="{F53B0235-F7D4-4739-9825-9E58C956F591}" name="level"/>
    <tableColumn id="2" xr3:uid="{25A220DC-1877-43C0-86BC-38CAE5E8CE93}" name="sword" dataDxfId="1455">
      <calculatedColumnFormula>COUNTIFS(Scenario1[winner1],"highlander",Scenario1[winner1-pw],HighlanderEquipScenario1[[#This Row],[level]])+COUNTIFS(Scenario1[winner2],"highlander",Scenario1[winner2-pw],HighlanderEquipScenario1[[#This Row],[level]])+COUNTIFS(Scenario1[loser1],"highlander",Scenario1[loser1-pw],HighlanderEquipScenario1[[#This Row],[level]])+COUNTIFS(Scenario1[loser2],"highlander",Scenario1[loser2-pw],HighlanderEquipScenario1[[#This Row],[level]])</calculatedColumnFormula>
    </tableColumn>
    <tableColumn id="4" xr3:uid="{28654009-7F39-482D-8284-59E9917F4B63}" name="chestpiece" dataDxfId="1454">
      <calculatedColumnFormula>COUNTIFS(Scenario1[winner1],"highlander",Scenario1[winner1-cp],HighlanderEquipScenario1[[#This Row],[level]])+COUNTIFS(Scenario1[winner2],"highlander",Scenario1[winner2-cp],HighlanderEquipScenario1[[#This Row],[level]])+COUNTIFS(Scenario1[loser1],"highlander",Scenario1[loser1-cp],HighlanderEquipScenario1[[#This Row],[level]])+COUNTIFS(Scenario1[loser2],"highlander",Scenario1[loser2-cp],HighlanderEquipScenario1[[#This Row],[level]])</calculatedColumnFormula>
    </tableColumn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581F8875-43BF-4837-9BD9-03A3BD137108}" name="HighlanderAbilities1Scenario2" displayName="HighlanderAbilities1Scenario2" ref="K44:O47" totalsRowShown="0">
  <autoFilter ref="K44:O47" xr:uid="{81D76695-EE53-4A07-9351-842AC55F2540}"/>
  <tableColumns count="5">
    <tableColumn id="2" xr3:uid="{FBE29D38-0CE9-49DD-B347-CF4D22FCC16E}" name="ability"/>
    <tableColumn id="6" xr3:uid="{AFD949E7-D1D9-40C5-90C3-260E5FC63D06}" name="takes" dataDxfId="1453">
      <calculatedColumnFormula>COUNTIF(Scenario2[winner1-ability1],HighlanderAbilities1Scenario2[[#This Row],[ability]])+COUNTIF(Scenario2[loser1-ability1],HighlanderAbilities1Scenario2[[#This Row],[ability]])</calculatedColumnFormula>
    </tableColumn>
    <tableColumn id="4" xr3:uid="{46C60813-6A1D-4315-99B7-518FC84D569B}" name="wins" dataDxfId="1452">
      <calculatedColumnFormula>COUNTIF(Scenario2[winner1-ability1],HighlanderAbilities1Scenario2[[#This Row],[ability]])</calculatedColumnFormula>
    </tableColumn>
    <tableColumn id="5" xr3:uid="{76F1983E-CA15-4A41-958C-4EAB1B656281}" name="battles-take-rate" dataDxfId="1451">
      <calculatedColumnFormula>IF(SUM(HighlanderAbilities1Scenario2[[#This Row],[takes]]) &gt; 0,HighlanderAbilities1Scenario2[[#This Row],[takes]]/SUM(HighlanderAbilities1Scenario2[takes]),0)</calculatedColumnFormula>
    </tableColumn>
    <tableColumn id="7" xr3:uid="{0BB2B9B6-FBB7-40EE-8ED7-739E398BF282}" name="take-win-rate" dataDxfId="1450">
      <calculatedColumnFormula>IF(HighlanderAbilities1Scenario2[[#This Row],[takes]]&gt;0,HighlanderAbilities1Scenario2[[#This Row],[wins]]/HighlanderAbilities1Scenario2[[#This Row],[takes]],0)</calculatedColumnFormula>
    </tableColumn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6862C84C-BC1E-4758-9254-0E2D4C56ED27}" name="HighlanderAbilities2Scenario2" displayName="HighlanderAbilities2Scenario2" ref="K49:O52" totalsRowShown="0" headerRowDxfId="1449" headerRowBorderDxfId="1448" tableBorderDxfId="1447" totalsRowBorderDxfId="1446">
  <autoFilter ref="K49:O52" xr:uid="{B5828340-8DA1-4B65-ACEB-BDDDED872E64}"/>
  <tableColumns count="5">
    <tableColumn id="1" xr3:uid="{20C1D72C-DA48-41FF-B60E-6182F91FB599}" name="ability"/>
    <tableColumn id="2" xr3:uid="{B9F9E024-41FA-4BA8-AF29-E7D920F9903F}" name="takes" dataDxfId="1445">
      <calculatedColumnFormula>COUNTIF(Scenario2[winner1-ability2],HighlanderAbilities2Scenario2[[#This Row],[ability]])+COUNTIF(Scenario2[loser1-ability2],HighlanderAbilities2Scenario2[[#This Row],[ability]])</calculatedColumnFormula>
    </tableColumn>
    <tableColumn id="3" xr3:uid="{F6EBC36A-DFEB-4EAC-8407-B3F60D391E29}" name="wins" dataDxfId="1444">
      <calculatedColumnFormula>COUNTIF(Scenario2[winner1-ability2],HighlanderAbilities2Scenario2[[#This Row],[ability]])</calculatedColumnFormula>
    </tableColumn>
    <tableColumn id="4" xr3:uid="{CBEF0BDE-C3C4-4A23-8448-66FC7E8209FB}" name="battles-take-rate" dataDxfId="1443">
      <calculatedColumnFormula>IF(SUM(HighlanderAbilities2Scenario2[[#This Row],[takes]]) &gt; 0,HighlanderAbilities2Scenario2[[#This Row],[takes]]/SUM(HighlanderAbilities2Scenario2[takes]),0)</calculatedColumnFormula>
    </tableColumn>
    <tableColumn id="5" xr3:uid="{F3011AC2-F219-46C6-A7A6-35B70DABEBDC}" name="take-win-rate" dataDxfId="1442">
      <calculatedColumnFormula>IF(HighlanderAbilities2Scenario2[[#This Row],[takes]]&gt;0,HighlanderAbilities2Scenario2[[#This Row],[wins]]/HighlanderAbilities2Scenario2[[#This Row],[takes]],0)</calculatedColumnFormula>
    </tableColumn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501ADF4C-7048-4E17-B2DD-C58B7C07F063}" name="HighlanderAbilities3Scenario2" displayName="HighlanderAbilities3Scenario2" ref="K54:O57" totalsRowShown="0" headerRowDxfId="1441" headerRowBorderDxfId="1440" tableBorderDxfId="1439" totalsRowBorderDxfId="1438">
  <autoFilter ref="K54:O57" xr:uid="{34ED10E5-B169-4BBA-8F2C-73FF473D0922}"/>
  <tableColumns count="5">
    <tableColumn id="1" xr3:uid="{493EF5BC-2B38-4BE1-8614-18CDAC07BE37}" name="ability"/>
    <tableColumn id="2" xr3:uid="{0108FC97-4B58-40F9-B53F-97D4EF9A196C}" name="takes" dataDxfId="1437">
      <calculatedColumnFormula>COUNTIF(Scenario2[winner1-ability3],HighlanderAbilities3Scenario2[[#This Row],[ability]])+COUNTIF(Scenario2[loser1-ability3],HighlanderAbilities3Scenario2[[#This Row],[ability]])</calculatedColumnFormula>
    </tableColumn>
    <tableColumn id="3" xr3:uid="{EA0BA1A2-FC6B-4BE3-8A68-242E9CF5DFEC}" name="wins" dataDxfId="1436">
      <calculatedColumnFormula>COUNTIF(Scenario2[winner1-ability3],HighlanderAbilities3Scenario2[[#This Row],[ability]])</calculatedColumnFormula>
    </tableColumn>
    <tableColumn id="4" xr3:uid="{30063EAF-50ED-4235-8FA0-74C713EDE547}" name="battles-take-rate" dataDxfId="1435">
      <calculatedColumnFormula>IF(SUM(HighlanderAbilities3Scenario2[[#This Row],[takes]]) &gt; 0,HighlanderAbilities3Scenario2[[#This Row],[takes]]/SUM(HighlanderAbilities3Scenario2[takes]),0)</calculatedColumnFormula>
    </tableColumn>
    <tableColumn id="5" xr3:uid="{86AD0FC2-E3C1-45CF-9223-E72BB461F300}" name="take-win-rate" dataDxfId="1434">
      <calculatedColumnFormula>IF(HighlanderAbilities3Scenario2[[#This Row],[takes]]&gt;0,HighlanderAbilities3Scenario2[[#This Row],[wins]]/HighlanderAbilities3Scenario2[[#This Row],[takes]],0)</calculatedColumnFormula>
    </tableColumn>
  </tableColumns>
  <tableStyleInfo name="TableStyleMedium2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FA70F10B-BAAC-4E17-9EEC-68413B8C7108}" name="HighlanderAbilities4Scenario2" displayName="HighlanderAbilities4Scenario2" ref="K59:O62" totalsRowShown="0" headerRowDxfId="1433" headerRowBorderDxfId="1432" tableBorderDxfId="1431" totalsRowBorderDxfId="1430">
  <autoFilter ref="K59:O62" xr:uid="{DDB7F110-02A6-4F67-8266-251AF48CB7C0}"/>
  <tableColumns count="5">
    <tableColumn id="1" xr3:uid="{24AD3B9C-E89B-4255-AF6A-993728E1E88D}" name="ability" dataDxfId="1429"/>
    <tableColumn id="2" xr3:uid="{D8585D3A-FC34-4996-9EF2-60CC70EA9A7A}" name="takes" dataDxfId="1428">
      <calculatedColumnFormula>COUNTIF(Scenario2[winner1-ability4],HighlanderAbilities4Scenario2[[#This Row],[ability]])+COUNTIF(Scenario2[loser1-ability4],HighlanderAbilities4Scenario2[[#This Row],[ability]])</calculatedColumnFormula>
    </tableColumn>
    <tableColumn id="3" xr3:uid="{5693D63A-7667-450B-8F4D-8390532BD85C}" name="wins" dataDxfId="1427">
      <calculatedColumnFormula>COUNTIF(Scenario2[winner1-ability4],HighlanderAbilities4Scenario2[[#This Row],[ability]])</calculatedColumnFormula>
    </tableColumn>
    <tableColumn id="4" xr3:uid="{DFED8343-DB73-48A3-85AC-08485FB0C7E7}" name="battles-take-rate" dataDxfId="1426">
      <calculatedColumnFormula>IF(SUM(HighlanderAbilities4Scenario2[[#This Row],[takes]]) &gt; 0,HighlanderAbilities4Scenario2[[#This Row],[takes]]/SUM(HighlanderAbilities4Scenario2[takes]),0)</calculatedColumnFormula>
    </tableColumn>
    <tableColumn id="5" xr3:uid="{DC8113DC-172A-428C-9C29-1B00DCBC032B}" name="take-win-rate" dataDxfId="1425">
      <calculatedColumnFormula>IF(HighlanderAbilities4Scenario2[[#This Row],[takes]]&gt;0,HighlanderAbilities4Scenario2[[#This Row],[wins]]/HighlanderAbilities4Scenario2[[#This Row],[takes]],0)</calculatedColumnFormula>
    </tableColumn>
  </tableColumns>
  <tableStyleInfo name="TableStyleMedium2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DC8ED68E-BA8D-4E83-AA0C-261F07EB8824}" name="HighlanderEquipScenario2" displayName="HighlanderEquipScenario2" ref="Q44:S47" totalsRowShown="0">
  <autoFilter ref="Q44:S47" xr:uid="{BDEC3E9D-FA56-4E08-A52D-2A8BEB87833A}"/>
  <tableColumns count="3">
    <tableColumn id="1" xr3:uid="{29F321AB-29B4-496C-ACC4-8E6A42B7482E}" name="level"/>
    <tableColumn id="2" xr3:uid="{C196CCA5-FFE6-4EE0-9F1D-20E344386BA1}" name="sword" dataDxfId="1424">
      <calculatedColumnFormula>COUNTIFS(Scenario2[winner1],"highlander",Scenario2[winner1-pw],HighlanderEquipScenario2[[#This Row],[level]])+COUNTIFS(Scenario2[loser1],"highlander",Scenario2[loser1-pw],HighlanderEquipScenario2[[#This Row],[level]])</calculatedColumnFormula>
    </tableColumn>
    <tableColumn id="4" xr3:uid="{656D1C73-B02F-49D0-BE14-1C794215F2F4}" name="chestpiece" dataDxfId="1423">
      <calculatedColumnFormula>COUNTIFS(Scenario2[winner1],"highlander",Scenario2[winner1-cp],HighlanderEquipScenario2[[#This Row],[level]])+COUNTIFS(Scenario2[loser1],"highlander",Scenario2[loser1-cp],HighlanderEquipScenario2[[#This Row],[level]])</calculatedColumnFormula>
    </tableColumn>
  </tableColumns>
  <tableStyleInfo name="TableStyleMedium2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F726E1E-323E-407B-9FA8-6FC47DF2B208}" name="UpgradeStatistics1920" displayName="UpgradeStatistics1920" ref="U1:V9" totalsRowShown="0">
  <autoFilter ref="U1:V9" xr:uid="{9F726E1E-323E-407B-9FA8-6FC47DF2B208}"/>
  <tableColumns count="2">
    <tableColumn id="1" xr3:uid="{AF428A61-37E4-4C36-98F0-D3146C54A69E}" name="upgrade"/>
    <tableColumn id="3" xr3:uid="{8FC508AF-49ED-4B38-AC09-05E26F9C5E2D}" name="rate" dataDxfId="1422"/>
  </tableColumns>
  <tableStyleInfo name="TableStyleMedium2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918CE60D-DE06-457D-B56A-260456776DA3}" name="HighlanderAbilities1Scenario3" displayName="HighlanderAbilities1Scenario3" ref="K65:O68" totalsRowShown="0">
  <autoFilter ref="K65:O68" xr:uid="{918CE60D-DE06-457D-B56A-260456776DA3}"/>
  <tableColumns count="5">
    <tableColumn id="2" xr3:uid="{E17A51A8-DA5F-4E6B-A99E-BAD1E4EA7CD5}" name="ability"/>
    <tableColumn id="6" xr3:uid="{0C05501E-69CB-4827-9FE2-721A129B0945}" name="takes" dataDxfId="1421">
      <calculatedColumnFormula>COUNTIF(Scenario3[winner1-ability1],HighlanderAbilities1Scenario3[[#This Row],[ability]])+COUNTIF(Scenario3[loser1-ability1],HighlanderAbilities1Scenario3[[#This Row],[ability]])+COUNTIF(Scenario3[loser2-ability1],HighlanderAbilities1Scenario3[[#This Row],[ability]])</calculatedColumnFormula>
    </tableColumn>
    <tableColumn id="4" xr3:uid="{A903EEFB-39A5-441E-888E-397AC64592D8}" name="wins" dataDxfId="1420">
      <calculatedColumnFormula>COUNTIF(Scenario3[winner1-ability1],HighlanderAbilities1Scenario3[[#This Row],[ability]])</calculatedColumnFormula>
    </tableColumn>
    <tableColumn id="5" xr3:uid="{4E705C48-ED13-47DE-B143-107CFC4A9CB6}" name="battles-take-rate" dataDxfId="1419">
      <calculatedColumnFormula>IF(SUM(HighlanderAbilities1Scenario3[[#This Row],[takes]]) &gt; 0,HighlanderAbilities1Scenario3[[#This Row],[takes]]/SUM(HighlanderAbilities1Scenario3[takes]),0)</calculatedColumnFormula>
    </tableColumn>
    <tableColumn id="7" xr3:uid="{31EFFD88-9A16-4FCF-9FE9-CF5D4424A756}" name="take-win-rate" dataDxfId="1418">
      <calculatedColumnFormula>IF(HighlanderAbilities1Scenario3[[#This Row],[takes]]&gt;0,HighlanderAbilities1Scenario3[[#This Row],[wins]]/HighlanderAbilities1Scenario3[[#This Row],[takes]],0)</calculatedColumnFormula>
    </tableColumn>
  </tableColumns>
  <tableStyleInfo name="TableStyleMedium2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69932E6C-2474-4FB5-8D77-D5FC00AF662A}" name="HighlanderAbilities2Scenario3" displayName="HighlanderAbilities2Scenario3" ref="K70:O73" totalsRowShown="0" headerRowDxfId="1417" headerRowBorderDxfId="1416" tableBorderDxfId="1415" totalsRowBorderDxfId="1414">
  <autoFilter ref="K70:O73" xr:uid="{69932E6C-2474-4FB5-8D77-D5FC00AF662A}"/>
  <tableColumns count="5">
    <tableColumn id="1" xr3:uid="{2E53EB54-1C23-4897-A1F1-D503D3D6245A}" name="ability"/>
    <tableColumn id="2" xr3:uid="{9782667A-5C80-4158-8BE8-91036C06C83F}" name="takes" dataDxfId="1413">
      <calculatedColumnFormula>COUNTIF(Scenario3[winner1-ability2],HighlanderAbilities2Scenario3[[#This Row],[ability]])+COUNTIF(Scenario3[loser1-ability2],HighlanderAbilities2Scenario3[[#This Row],[ability]])+COUNTIF(Scenario3[loser2-ability2],HighlanderAbilities2Scenario3[[#This Row],[ability]])</calculatedColumnFormula>
    </tableColumn>
    <tableColumn id="3" xr3:uid="{6298DD85-E1A3-4CA2-8DA9-5F824E58E0DD}" name="wins" dataDxfId="1412">
      <calculatedColumnFormula>COUNTIF(Scenario3[winner1-ability2],HighlanderAbilities2Scenario3[[#This Row],[ability]])</calculatedColumnFormula>
    </tableColumn>
    <tableColumn id="4" xr3:uid="{AC2E8A6D-1967-4F4D-9C38-3C0B9FDFCCDD}" name="battles-take-rate" dataDxfId="1411">
      <calculatedColumnFormula>IF(SUM(HighlanderAbilities2Scenario3[[#This Row],[takes]]) &gt; 0,HighlanderAbilities2Scenario3[[#This Row],[takes]]/SUM(HighlanderAbilities2Scenario3[takes]),0)</calculatedColumnFormula>
    </tableColumn>
    <tableColumn id="5" xr3:uid="{92104491-ADA5-4BF6-A6ED-EB4CADCC91DC}" name="take-win-rate" dataDxfId="1410">
      <calculatedColumnFormula>IF(HighlanderAbilities2Scenario3[[#This Row],[takes]]&gt;0,HighlanderAbilities2Scenario3[[#This Row],[wins]]/HighlanderAbilities2Scenario3[[#This Row],[takes]],0)</calculatedColumnFormula>
    </tableColumn>
  </tableColumns>
  <tableStyleInfo name="TableStyleMedium2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B837091A-7F3B-48DA-BCA2-CA93D3B0A384}" name="HighlanderAbilities3Scenario3" displayName="HighlanderAbilities3Scenario3" ref="K75:O78" totalsRowShown="0" headerRowDxfId="1409" headerRowBorderDxfId="1408" tableBorderDxfId="1407" totalsRowBorderDxfId="1406">
  <autoFilter ref="K75:O78" xr:uid="{B837091A-7F3B-48DA-BCA2-CA93D3B0A384}"/>
  <tableColumns count="5">
    <tableColumn id="1" xr3:uid="{2D571E3C-84BB-4BD6-8A83-870A51B1200D}" name="ability"/>
    <tableColumn id="2" xr3:uid="{AE127B83-3195-4F6F-80CF-9563453DF4C4}" name="takes" dataDxfId="1405">
      <calculatedColumnFormula>COUNTIF(Scenario3[winner1-ability3],HighlanderAbilities3Scenario3[[#This Row],[ability]])+COUNTIF(Scenario3[loser1-ability3],HighlanderAbilities3Scenario3[[#This Row],[ability]])+COUNTIF(Scenario3[loser2-ability3],HighlanderAbilities3Scenario3[[#This Row],[ability]])</calculatedColumnFormula>
    </tableColumn>
    <tableColumn id="3" xr3:uid="{CB76CF3A-30E9-4F1D-B3E6-42476A4475C0}" name="wins" dataDxfId="1404">
      <calculatedColumnFormula>COUNTIF(Scenario3[winner1-ability3],HighlanderAbilities3Scenario3[[#This Row],[ability]])</calculatedColumnFormula>
    </tableColumn>
    <tableColumn id="4" xr3:uid="{7F7C697F-AC90-4790-AA3C-9EFBA9C5C3BF}" name="battles-take-rate" dataDxfId="1403">
      <calculatedColumnFormula>IF(SUM(HighlanderAbilities3Scenario3[[#This Row],[takes]]) &gt; 0,HighlanderAbilities3Scenario3[[#This Row],[takes]]/SUM(HighlanderAbilities3Scenario3[takes]),0)</calculatedColumnFormula>
    </tableColumn>
    <tableColumn id="5" xr3:uid="{D038ED6A-392C-47FE-8728-128A0FA03DC7}" name="take-win-rate" dataDxfId="1402">
      <calculatedColumnFormula>IF(HighlanderAbilities3Scenario3[[#This Row],[takes]]&gt;0,HighlanderAbilities3Scenario3[[#This Row],[wins]]/HighlanderAbilities3Scenario3[[#This Row],[takes]],0)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3DD05D47-50A5-495A-BE2A-D83C9BFA0F26}" name="ScenarioStat2" displayName="ScenarioStat2" ref="A2:E30" totalsRowShown="0">
  <autoFilter ref="A2:E30" xr:uid="{00000000-0009-0000-0100-000002000000}"/>
  <tableColumns count="5">
    <tableColumn id="1" xr3:uid="{93718735-18B3-4DE5-A9EA-B527E4C64D70}" name="hero-1"/>
    <tableColumn id="4" xr3:uid="{B5F2BD57-B761-44AD-ACDF-19ADDC946822}" name="team-1-win" dataDxfId="1798">
      <calculatedColumnFormula>COUNTIFS(Scenario2[winner1],ScenarioStat2[[#This Row],[hero-1]],Scenario2[loser1],ScenarioStat2[[#This Row],[hero-2]])</calculatedColumnFormula>
    </tableColumn>
    <tableColumn id="5" xr3:uid="{3585703E-8508-4FF4-8DCE-CFFA168E5DB7}" name="hero-2"/>
    <tableColumn id="8" xr3:uid="{B70BBE92-3FF1-40A0-ACAE-18D4AC56C35A}" name="team-2-win" dataDxfId="1797">
      <calculatedColumnFormula>COUNTIFS(Scenario2[winner1],ScenarioStat2[[#This Row],[hero-2]],Scenario2[loser1],ScenarioStat2[[#This Row],[hero-1]])</calculatedColumnFormula>
    </tableColumn>
    <tableColumn id="2" xr3:uid="{84AE5B9E-3C41-4729-A798-F3AE3C20BD95}" name="battles" dataDxfId="1796">
      <calculatedColumnFormula>ScenarioStat2[[#This Row],[team-1-win]]+ScenarioStat2[[#This Row],[team-2-win]]</calculatedColumnFormula>
    </tableColumn>
  </tableColumns>
  <tableStyleInfo name="TableStyleMedium2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52A1E26F-8C1E-4E44-A492-D2899C5A6AF6}" name="HighlanderAbilities4Scenario3" displayName="HighlanderAbilities4Scenario3" ref="K80:O83" totalsRowShown="0" headerRowDxfId="1401" headerRowBorderDxfId="1400" tableBorderDxfId="1399" totalsRowBorderDxfId="1398">
  <autoFilter ref="K80:O83" xr:uid="{52A1E26F-8C1E-4E44-A492-D2899C5A6AF6}"/>
  <tableColumns count="5">
    <tableColumn id="1" xr3:uid="{169774FB-455A-4DE4-A18D-B9D975DF3A85}" name="ability" dataDxfId="1397"/>
    <tableColumn id="2" xr3:uid="{E20A1519-EC59-41A4-BE08-D8DBEAC7CA6C}" name="takes" dataDxfId="1396">
      <calculatedColumnFormula>COUNTIF(Scenario3[winner1-ability4],HighlanderAbilities4Scenario3[[#This Row],[ability]])+COUNTIF(Scenario3[loser1-ability4],HighlanderAbilities4Scenario3[[#This Row],[ability]])+COUNTIF(Scenario3[loser2-ability4],HighlanderAbilities4Scenario3[[#This Row],[ability]])</calculatedColumnFormula>
    </tableColumn>
    <tableColumn id="3" xr3:uid="{C32F853F-6157-4846-A4BD-0C9677AFF193}" name="wins" dataDxfId="1395">
      <calculatedColumnFormula>COUNTIF(Scenario3[winner1-ability4],HighlanderAbilities4Scenario3[[#This Row],[ability]])</calculatedColumnFormula>
    </tableColumn>
    <tableColumn id="4" xr3:uid="{E0060D4D-D837-469A-8126-E998C0BE67B4}" name="battles-take-rate" dataDxfId="1394">
      <calculatedColumnFormula>IF(SUM(HighlanderAbilities4Scenario3[[#This Row],[takes]]) &gt; 0,HighlanderAbilities4Scenario3[[#This Row],[takes]]/SUM(HighlanderAbilities4Scenario3[takes]),0)</calculatedColumnFormula>
    </tableColumn>
    <tableColumn id="5" xr3:uid="{F27C28FA-9FB3-44A4-B3E8-F8C0548F4D2A}" name="take-win-rate" dataDxfId="1393">
      <calculatedColumnFormula>IF(HighlanderAbilities4Scenario3[[#This Row],[takes]]&gt;0,HighlanderAbilities4Scenario3[[#This Row],[wins]]/HighlanderAbilities4Scenario3[[#This Row],[takes]],0)</calculatedColumnFormula>
    </tableColumn>
  </tableColumns>
  <tableStyleInfo name="TableStyleMedium2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D7C2E781-6C06-4F6C-8974-8A1829027053}" name="HighlanderEquipScenario3" displayName="HighlanderEquipScenario3" ref="Q65:S68" totalsRowShown="0">
  <autoFilter ref="Q65:S68" xr:uid="{D7C2E781-6C06-4F6C-8974-8A1829027053}"/>
  <tableColumns count="3">
    <tableColumn id="1" xr3:uid="{696A5F92-944F-4127-B5E1-E378D744B6B7}" name="level"/>
    <tableColumn id="2" xr3:uid="{32D0CDD9-3AAD-45D2-A433-F7B34CE939B9}" name="sword" dataDxfId="1392">
      <calculatedColumnFormula>COUNTIFS(Scenario3[winner1],"highlander",Scenario3[winner1-pw],HighlanderEquipScenario3[[#This Row],[level]])+COUNTIFS(Scenario3[loser1],"highlander",Scenario3[loser1-pw],HighlanderEquipScenario3[[#This Row],[level]])+COUNTIFS(Scenario3[loser2],"highlander",Scenario3[loser2-pw],HighlanderEquipScenario3[[#This Row],[level]])</calculatedColumnFormula>
    </tableColumn>
    <tableColumn id="4" xr3:uid="{CCDAE671-DD6C-4735-9499-AE4C89B86652}" name="chestpiece" dataDxfId="1391">
      <calculatedColumnFormula>COUNTIFS(Scenario3[winner1],"highlander",Scenario3[winner1-cp],HighlanderEquipScenario3[[#This Row],[level]])+COUNTIFS(Scenario3[loser1],"highlander",Scenario3[loser1-cp],HighlanderEquipScenario3[[#This Row],[level]])+COUNTIFS(Scenario3[loser2],"highlander",Scenario3[loser2-cp],HighlanderEquipScenario3[[#This Row],[level]])</calculatedColumnFormula>
    </tableColumn>
  </tableColumns>
  <tableStyleInfo name="TableStyleMedium2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0" xr:uid="{E4635F60-70D3-43EC-AA7E-A70F148CE3F5}" name="HighlanderAbilities1Scenario4" displayName="HighlanderAbilities1Scenario4" ref="K86:O89" totalsRowShown="0">
  <autoFilter ref="K86:O89" xr:uid="{E4635F60-70D3-43EC-AA7E-A70F148CE3F5}"/>
  <tableColumns count="5">
    <tableColumn id="2" xr3:uid="{DED4C581-129A-4E2C-9C35-105073CE2F81}" name="ability"/>
    <tableColumn id="6" xr3:uid="{DBD8AC52-B272-4770-9D10-AE0CEC768BA1}" name="takes" dataDxfId="1390">
      <calculatedColumnFormula>COUNTIF(Scenario4[winner1-ability1],HighlanderAbilities1Scenario4[[#This Row],[ability]])+COUNTIF(Scenario4[loser1-ability1],HighlanderAbilities1Scenario4[[#This Row],[ability]])+COUNTIF(Scenario4[loser2-ability1],HighlanderAbilities1Scenario4[[#This Row],[ability]])+COUNTIF(Scenario4[loser3-ability1],HighlanderAbilities1Scenario4[[#This Row],[ability]])</calculatedColumnFormula>
    </tableColumn>
    <tableColumn id="4" xr3:uid="{D4A90814-8310-44F3-BABD-A7ED49910BA7}" name="wins" dataDxfId="1389">
      <calculatedColumnFormula>COUNTIF(Scenario4[winner1-ability1],HighlanderAbilities1Scenario4[[#This Row],[ability]])</calculatedColumnFormula>
    </tableColumn>
    <tableColumn id="5" xr3:uid="{6E0B87E2-94F5-47B4-A9C5-24FE38EC78C3}" name="battles-take-rate" dataDxfId="1388">
      <calculatedColumnFormula>IF(SUM(HighlanderAbilities1Scenario4[[#This Row],[takes]]) &gt; 0,HighlanderAbilities1Scenario4[[#This Row],[takes]]/SUM(HighlanderAbilities1Scenario4[takes]),0)</calculatedColumnFormula>
    </tableColumn>
    <tableColumn id="7" xr3:uid="{F78127DA-F232-4EC3-AA96-A79A8C01FDC4}" name="take-win-rate" dataDxfId="1387">
      <calculatedColumnFormula>IF(HighlanderAbilities1Scenario4[[#This Row],[takes]]&gt;0,HighlanderAbilities1Scenario4[[#This Row],[wins]]/HighlanderAbilities1Scenario4[[#This Row],[takes]],0)</calculatedColumnFormula>
    </tableColumn>
  </tableColumns>
  <tableStyleInfo name="TableStyleMedium2"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1" xr:uid="{3FB76BAE-C200-45C4-A783-873BD5372C4E}" name="HighlanderAbilities2Scenario4" displayName="HighlanderAbilities2Scenario4" ref="K91:O94" totalsRowShown="0" headerRowDxfId="1386" headerRowBorderDxfId="1385" tableBorderDxfId="1384" totalsRowBorderDxfId="1383">
  <autoFilter ref="K91:O94" xr:uid="{3FB76BAE-C200-45C4-A783-873BD5372C4E}"/>
  <tableColumns count="5">
    <tableColumn id="1" xr3:uid="{96D230B6-F877-4ADA-A867-9281E8E07FC9}" name="ability"/>
    <tableColumn id="2" xr3:uid="{F0086EDA-22A6-42DA-9B0F-2E62B44C1A48}" name="takes" dataDxfId="1382">
      <calculatedColumnFormula>COUNTIF(Scenario4[winner1-ability2],HighlanderAbilities2Scenario4[[#This Row],[ability]])+COUNTIF(Scenario4[loser1-ability2],HighlanderAbilities2Scenario4[[#This Row],[ability]])+COUNTIF(Scenario4[loser2-ability2],HighlanderAbilities2Scenario4[[#This Row],[ability]])+COUNTIF(Scenario4[loser3-ability2],HighlanderAbilities2Scenario4[[#This Row],[ability]])</calculatedColumnFormula>
    </tableColumn>
    <tableColumn id="3" xr3:uid="{B012259B-690A-4A72-9B3E-560F89494A29}" name="wins" dataDxfId="1381">
      <calculatedColumnFormula>COUNTIF(Scenario4[winner1-ability2],HighlanderAbilities2Scenario4[[#This Row],[ability]])</calculatedColumnFormula>
    </tableColumn>
    <tableColumn id="4" xr3:uid="{A289992E-5099-433A-839B-22BE62264AB7}" name="battles-take-rate" dataDxfId="1380">
      <calculatedColumnFormula>IF(SUM(HighlanderAbilities2Scenario4[[#This Row],[takes]]) &gt; 0,HighlanderAbilities2Scenario4[[#This Row],[takes]]/SUM(HighlanderAbilities2Scenario4[takes]),0)</calculatedColumnFormula>
    </tableColumn>
    <tableColumn id="5" xr3:uid="{6C66F06C-E991-4F51-9300-952851507C08}" name="take-win-rate" dataDxfId="1379">
      <calculatedColumnFormula>IF(HighlanderAbilities2Scenario4[[#This Row],[takes]]&gt;0,HighlanderAbilities2Scenario4[[#This Row],[wins]]/HighlanderAbilities2Scenario4[[#This Row],[takes]],0)</calculatedColumnFormula>
    </tableColumn>
  </tableColumns>
  <tableStyleInfo name="TableStyleMedium2"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2" xr:uid="{33BFDA70-3D7F-4060-B83B-0A7A4D01351D}" name="HighlanderAbilities3Scenario4" displayName="HighlanderAbilities3Scenario4" ref="K96:O99" totalsRowShown="0" headerRowDxfId="1378" headerRowBorderDxfId="1377" tableBorderDxfId="1376" totalsRowBorderDxfId="1375">
  <autoFilter ref="K96:O99" xr:uid="{33BFDA70-3D7F-4060-B83B-0A7A4D01351D}"/>
  <tableColumns count="5">
    <tableColumn id="1" xr3:uid="{7C86F223-F988-4E9E-BDD2-B17C6A41FCF6}" name="ability"/>
    <tableColumn id="2" xr3:uid="{D3CA016D-637C-45E4-9FA6-44863C0579E7}" name="takes" dataDxfId="1374">
      <calculatedColumnFormula>COUNTIF(Scenario4[winner1-ability3],HighlanderAbilities3Scenario4[[#This Row],[ability]])+COUNTIF(Scenario4[loser1-ability3],HighlanderAbilities3Scenario4[[#This Row],[ability]])+COUNTIF(Scenario4[loser2-ability3],HighlanderAbilities3Scenario4[[#This Row],[ability]])+COUNTIF(Scenario4[loser3-ability3],HighlanderAbilities3Scenario4[[#This Row],[ability]])</calculatedColumnFormula>
    </tableColumn>
    <tableColumn id="3" xr3:uid="{1CF5A6E3-BDBB-4BA0-AB18-D98F0CF98FAD}" name="wins" dataDxfId="1373">
      <calculatedColumnFormula>COUNTIF(Scenario4[winner1-ability3],HighlanderAbilities3Scenario4[[#This Row],[ability]])</calculatedColumnFormula>
    </tableColumn>
    <tableColumn id="4" xr3:uid="{C7700EEB-22A4-475D-847D-673B54FC744B}" name="battles-take-rate" dataDxfId="1372">
      <calculatedColumnFormula>IF(SUM(HighlanderAbilities3Scenario4[[#This Row],[takes]]) &gt; 0,HighlanderAbilities3Scenario4[[#This Row],[takes]]/SUM(HighlanderAbilities3Scenario4[takes]),0)</calculatedColumnFormula>
    </tableColumn>
    <tableColumn id="5" xr3:uid="{D63D4ECC-976C-4185-942A-9A1FA6D5333C}" name="take-win-rate" dataDxfId="1371">
      <calculatedColumnFormula>IF(HighlanderAbilities3Scenario4[[#This Row],[takes]]&gt;0,HighlanderAbilities3Scenario4[[#This Row],[wins]]/HighlanderAbilities3Scenario4[[#This Row],[takes]],0)</calculatedColumnFormula>
    </tableColumn>
  </tableColumns>
  <tableStyleInfo name="TableStyleMedium2"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3" xr:uid="{3021A274-1944-499F-919F-F5D82E87C071}" name="HighlanderAbilities4Scenario4" displayName="HighlanderAbilities4Scenario4" ref="K101:O104" totalsRowShown="0" headerRowDxfId="1370" headerRowBorderDxfId="1369" tableBorderDxfId="1368" totalsRowBorderDxfId="1367">
  <autoFilter ref="K101:O104" xr:uid="{3021A274-1944-499F-919F-F5D82E87C071}"/>
  <tableColumns count="5">
    <tableColumn id="1" xr3:uid="{6A10C915-2B4E-4171-B1A6-BA0E08BCB5E6}" name="ability" dataDxfId="1366"/>
    <tableColumn id="2" xr3:uid="{1B63CB98-3358-4BF6-B784-DAB5C7511C79}" name="takes" dataDxfId="1365">
      <calculatedColumnFormula>COUNTIF(Scenario4[winner1-ability4],HighlanderAbilities4Scenario4[[#This Row],[ability]])+COUNTIF(Scenario4[loser1-ability4],HighlanderAbilities4Scenario4[[#This Row],[ability]])+COUNTIF(Scenario4[loser2-ability4],HighlanderAbilities4Scenario4[[#This Row],[ability]])+COUNTIF(Scenario4[loser3-ability4],HighlanderAbilities4Scenario4[[#This Row],[ability]])</calculatedColumnFormula>
    </tableColumn>
    <tableColumn id="3" xr3:uid="{DA71A3EB-7BF8-4770-9352-8EB5456EEB80}" name="wins" dataDxfId="1364">
      <calculatedColumnFormula>COUNTIF(Scenario4[winner1-ability4],HighlanderAbilities4Scenario4[[#This Row],[ability]])</calculatedColumnFormula>
    </tableColumn>
    <tableColumn id="4" xr3:uid="{7473A2D8-3F3F-4FFA-BAB1-C8B71D109AB0}" name="battles-take-rate" dataDxfId="1363">
      <calculatedColumnFormula>IF(SUM(HighlanderAbilities4Scenario4[[#This Row],[takes]]) &gt; 0,HighlanderAbilities4Scenario4[[#This Row],[takes]]/SUM(HighlanderAbilities4Scenario4[takes]),0)</calculatedColumnFormula>
    </tableColumn>
    <tableColumn id="5" xr3:uid="{267C917C-4983-4803-9AE8-E81D25B3F4A3}" name="take-win-rate" dataDxfId="1362">
      <calculatedColumnFormula>IF(HighlanderAbilities4Scenario4[[#This Row],[takes]]&gt;0,HighlanderAbilities4Scenario4[[#This Row],[wins]]/HighlanderAbilities4Scenario4[[#This Row],[takes]],0)</calculatedColumnFormula>
    </tableColumn>
  </tableColumns>
  <tableStyleInfo name="TableStyleMedium2"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4" xr:uid="{C70E3893-1158-4C05-85ED-343E71210686}" name="HighlanderEquipScenario4" displayName="HighlanderEquipScenario4" ref="Q86:S89" totalsRowShown="0">
  <autoFilter ref="Q86:S89" xr:uid="{C70E3893-1158-4C05-85ED-343E71210686}"/>
  <tableColumns count="3">
    <tableColumn id="1" xr3:uid="{B0267319-CEFB-46A1-A0D0-B821254D33D8}" name="level"/>
    <tableColumn id="2" xr3:uid="{F3F64B13-6B39-493C-A6A4-F1DC4F71C793}" name="sword" dataDxfId="1361">
      <calculatedColumnFormula>COUNTIFS(Scenario4[winner1],"highlander",Scenario4[winner1-pw],HighlanderEquipScenario4[[#This Row],[level]])+COUNTIFS(Scenario4[loser1],"highlander",Scenario4[loser1-pw],HighlanderEquipScenario4[[#This Row],[level]])+COUNTIFS(Scenario4[loser2],"highlander",Scenario4[loser2-pw],HighlanderEquipScenario4[[#This Row],[level]])+COUNTIFS(Scenario4[loser3],"highlander",Scenario4[loser3-pw],HighlanderEquipScenario4[[#This Row],[level]])</calculatedColumnFormula>
    </tableColumn>
    <tableColumn id="4" xr3:uid="{E2F6EB7B-43DF-42D9-87B2-023C21CF0A40}" name="chestpiece" dataDxfId="1360">
      <calculatedColumnFormula>COUNTIFS(Scenario4[winner1],"highlander",Scenario4[winner1-cp],HighlanderEquipScenario4[[#This Row],[level]])+COUNTIFS(Scenario4[loser1],"highlander",Scenario4[loser1-cp],HighlanderEquipScenario4[[#This Row],[level]])+COUNTIFS(Scenario4[loser2],"highlander",Scenario4[loser2-cp],HighlanderEquipScenario4[[#This Row],[level]])+COUNTIFS(Scenario4[loser3],"highlander",Scenario4[loser3-cp],HighlanderEquipScenario4[[#This Row],[level]])</calculatedColumnFormula>
    </tableColumn>
  </tableColumns>
  <tableStyleInfo name="TableStyleMedium2"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8" xr:uid="{E92FFEA1-DCE3-4FE6-AE73-F34F7655B6E5}" name="HighlanderAbilities1Scenario5" displayName="HighlanderAbilities1Scenario5" ref="K107:O110" totalsRowShown="0">
  <autoFilter ref="K107:O110" xr:uid="{E92FFEA1-DCE3-4FE6-AE73-F34F7655B6E5}"/>
  <tableColumns count="5">
    <tableColumn id="2" xr3:uid="{370D4B97-1834-4E47-BB03-00E8BB421161}" name="ability"/>
    <tableColumn id="6" xr3:uid="{F8E4A647-6A92-4B38-9AD3-4BA20F30E33E}" name="takes" dataDxfId="1359">
      <calculatedColumnFormula>COUNTIF(Scenario5[winner1-ability1],HighlanderAbilities1Scenario5[[#This Row],[ability]])+COUNTIF(Scenario5[winner2-ability1],HighlanderAbilities1Scenario5[[#This Row],[ability]])+COUNTIF(Scenario5[loser1-ability1],HighlanderAbilities1Scenario5[[#This Row],[ability]])+COUNTIF(Scenario5[loser2-ability1],HighlanderAbilities1Scenario5[[#This Row],[ability]])</calculatedColumnFormula>
    </tableColumn>
    <tableColumn id="4" xr3:uid="{E3E11701-45EA-4E7B-8D97-785CFAB0CD86}" name="wins" dataDxfId="1358">
      <calculatedColumnFormula>COUNTIF(Scenario5[winner1-ability1],HighlanderAbilities1Scenario5[[#This Row],[ability]])+COUNTIF(Scenario5[winner2-ability1],HighlanderAbilities1Scenario5[[#This Row],[ability]])</calculatedColumnFormula>
    </tableColumn>
    <tableColumn id="5" xr3:uid="{3365DD93-BED9-475B-AA72-6854F651A87E}" name="battles-take-rate" dataDxfId="1357">
      <calculatedColumnFormula>IF(SUM(HighlanderAbilities1Scenario5[[#This Row],[takes]]) &gt; 0,HighlanderAbilities1Scenario5[[#This Row],[takes]]/SUM(HighlanderAbilities1Scenario5[takes]),0)</calculatedColumnFormula>
    </tableColumn>
    <tableColumn id="7" xr3:uid="{94D8C1EC-49E9-4B1A-A039-F363BD539C43}" name="take-win-rate" dataDxfId="1356">
      <calculatedColumnFormula>IF(HighlanderAbilities1Scenario5[[#This Row],[takes]]&gt;0,HighlanderAbilities1Scenario5[[#This Row],[wins]]/HighlanderAbilities1Scenario5[[#This Row],[takes]],0)</calculatedColumnFormula>
    </tableColumn>
  </tableColumns>
  <tableStyleInfo name="TableStyleMedium2" showFirstColumn="0" showLastColumn="0" showRowStripes="1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9" xr:uid="{8A05B47B-BA82-410E-8E83-33AEF19FC888}" name="HighlanderAbilities2Scenario5" displayName="HighlanderAbilities2Scenario5" ref="K112:O115" totalsRowShown="0" headerRowDxfId="1355" headerRowBorderDxfId="1354" tableBorderDxfId="1353" totalsRowBorderDxfId="1352">
  <autoFilter ref="K112:O115" xr:uid="{8A05B47B-BA82-410E-8E83-33AEF19FC888}"/>
  <tableColumns count="5">
    <tableColumn id="1" xr3:uid="{91AB09DE-4802-41D1-A830-69E8CA9B6C73}" name="ability"/>
    <tableColumn id="2" xr3:uid="{772E6551-9344-4E76-BF3F-45BFA26D4F53}" name="takes" dataDxfId="1351">
      <calculatedColumnFormula>COUNTIF(Scenario5[winner1-ability2],HighlanderAbilities2Scenario5[[#This Row],[ability]])+COUNTIF(Scenario5[winner2-ability2],HighlanderAbilities2Scenario5[[#This Row],[ability]])+COUNTIF(Scenario5[loser1-ability2],HighlanderAbilities2Scenario5[[#This Row],[ability]])+COUNTIF(Scenario5[loser2-ability2],HighlanderAbilities2Scenario5[[#This Row],[ability]])</calculatedColumnFormula>
    </tableColumn>
    <tableColumn id="3" xr3:uid="{0748E928-679C-4373-83B8-9E5383F2EB01}" name="wins" dataDxfId="1350">
      <calculatedColumnFormula>COUNTIF(Scenario5[winner1-ability2],HighlanderAbilities2Scenario5[[#This Row],[ability]])+COUNTIF(Scenario5[winner2-ability2],HighlanderAbilities2Scenario5[[#This Row],[ability]])</calculatedColumnFormula>
    </tableColumn>
    <tableColumn id="4" xr3:uid="{EE61E8A1-5380-4192-A8D5-90CD9586331B}" name="battles-take-rate" dataDxfId="1349">
      <calculatedColumnFormula>IF(SUM(HighlanderAbilities2Scenario5[[#This Row],[takes]]) &gt; 0,HighlanderAbilities2Scenario5[[#This Row],[takes]]/SUM(HighlanderAbilities2Scenario5[takes]),0)</calculatedColumnFormula>
    </tableColumn>
    <tableColumn id="5" xr3:uid="{5BC5B108-E7F6-45C2-A5B8-015520D1A83E}" name="take-win-rate" dataDxfId="1348">
      <calculatedColumnFormula>IF(HighlanderAbilities2Scenario5[[#This Row],[takes]]&gt;0,HighlanderAbilities2Scenario5[[#This Row],[wins]]/HighlanderAbilities2Scenario5[[#This Row],[takes]],0)</calculatedColumnFormula>
    </tableColumn>
  </tableColumns>
  <tableStyleInfo name="TableStyleMedium2" showFirstColumn="0" showLastColumn="0" showRowStripes="1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0" xr:uid="{0FB333E9-9A55-4894-9A20-6383E318C370}" name="HighlanderAbilities3Scenario5" displayName="HighlanderAbilities3Scenario5" ref="K117:O120" totalsRowShown="0" headerRowDxfId="1347" headerRowBorderDxfId="1346" tableBorderDxfId="1345" totalsRowBorderDxfId="1344">
  <autoFilter ref="K117:O120" xr:uid="{0FB333E9-9A55-4894-9A20-6383E318C370}"/>
  <tableColumns count="5">
    <tableColumn id="1" xr3:uid="{4157DC2F-FCBF-4073-A6F1-6675EC9E7B37}" name="ability"/>
    <tableColumn id="2" xr3:uid="{69004BF6-0D71-409F-A1D4-8340A31F2DD9}" name="takes" dataDxfId="1343">
      <calculatedColumnFormula>COUNTIF(Scenario5[winner1-ability3],HighlanderAbilities3Scenario5[[#This Row],[ability]])+COUNTIF(Scenario5[winner2-ability3],HighlanderAbilities3Scenario5[[#This Row],[ability]])+COUNTIF(Scenario5[loser1-ability3],HighlanderAbilities3Scenario5[[#This Row],[ability]])+COUNTIF(Scenario5[loser2-ability3],HighlanderAbilities3Scenario5[[#This Row],[ability]])</calculatedColumnFormula>
    </tableColumn>
    <tableColumn id="3" xr3:uid="{48091A4D-D948-449C-AA4E-6ECAA9545B32}" name="wins" dataDxfId="1342">
      <calculatedColumnFormula>COUNTIF(Scenario5[winner1-ability3],HighlanderAbilities3Scenario5[[#This Row],[ability]])+COUNTIF(Scenario5[winner2-ability3],HighlanderAbilities3Scenario5[[#This Row],[ability]])</calculatedColumnFormula>
    </tableColumn>
    <tableColumn id="4" xr3:uid="{79CB238A-29E9-4B74-AB8F-04DDDB25C927}" name="battles-take-rate" dataDxfId="1341">
      <calculatedColumnFormula>IF(SUM(HighlanderAbilities3Scenario5[[#This Row],[takes]]) &gt; 0,HighlanderAbilities3Scenario5[[#This Row],[takes]]/SUM(HighlanderAbilities3Scenario5[takes]),0)</calculatedColumnFormula>
    </tableColumn>
    <tableColumn id="5" xr3:uid="{AE48667D-3626-4CD6-B844-F40AC8534E14}" name="take-win-rate" dataDxfId="1340">
      <calculatedColumnFormula>IF(HighlanderAbilities3Scenario5[[#This Row],[takes]]&gt;0,HighlanderAbilities3Scenario5[[#This Row],[wins]]/HighlanderAbilities3Scenario5[[#This Row],[takes]],0)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3FC62722-CCCE-4E03-92E4-BA9904BB3395}" name="ScenarioTeams2" displayName="ScenarioTeams2" ref="G2:J10">
  <autoFilter ref="G2:J10" xr:uid="{3BA29664-241D-4460-819F-8FE8E5CEB60F}"/>
  <tableColumns count="4">
    <tableColumn id="1" xr3:uid="{17E518F0-7BE0-4F68-AC60-927B53AF4B94}" name="hero" totalsRowLabel="Total"/>
    <tableColumn id="7" xr3:uid="{582965B0-9D45-4EFE-8001-0677ABE86ADE}" name="battles" totalsRowFunction="count" dataDxfId="1795">
      <calculatedColumnFormula>SUMIFS(ScenarioStat2[battles],ScenarioStat2[hero-1],ScenarioTeams2[[#This Row],[hero]])+SUMIFS(ScenarioStat2[battles],ScenarioStat2[hero-2],ScenarioTeams2[[#This Row],[hero]])</calculatedColumnFormula>
    </tableColumn>
    <tableColumn id="3" xr3:uid="{74F44086-A996-474F-8D1F-CF066210D730}" name="wins" dataDxfId="1794">
      <calculatedColumnFormula>SUMIFS(ScenarioStat2[team-1-win],ScenarioStat2[hero-1],ScenarioTeams2[[#This Row],[hero]])+SUMIFS(ScenarioStat2[team-2-win],ScenarioStat2[hero-2],ScenarioTeams2[[#This Row],[hero]])</calculatedColumnFormula>
    </tableColumn>
    <tableColumn id="5" xr3:uid="{FA6B8CF1-D4DA-4D8F-B0A4-F1FF46B61864}" name="win-rate" totalsRowFunction="sum" dataDxfId="1793" totalsRowDxfId="1792">
      <calculatedColumnFormula>IF(ScenarioTeams2[[#This Row],[battles]],ScenarioTeams2[[#This Row],[wins]]/ScenarioTeams2[[#This Row],[battles]],0)</calculatedColumnFormula>
    </tableColumn>
  </tableColumns>
  <tableStyleInfo name="TableStyleMedium2" showFirstColumn="0" showLastColumn="0" showRowStripes="1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1" xr:uid="{865DBF38-999A-4183-A029-CB08FB30F44C}" name="HighlanderAbilities4Scenario5" displayName="HighlanderAbilities4Scenario5" ref="K122:O125" totalsRowShown="0" headerRowDxfId="1339" headerRowBorderDxfId="1338" tableBorderDxfId="1337" totalsRowBorderDxfId="1336">
  <autoFilter ref="K122:O125" xr:uid="{865DBF38-999A-4183-A029-CB08FB30F44C}"/>
  <tableColumns count="5">
    <tableColumn id="1" xr3:uid="{41E29E68-60A8-423B-9021-7DFA08756E06}" name="ability" dataDxfId="1335"/>
    <tableColumn id="2" xr3:uid="{9CC3CC3F-42CE-4277-9DE5-B1A61D3DB62A}" name="takes" dataDxfId="1334">
      <calculatedColumnFormula>COUNTIF(Scenario5[winner1-ability4],HighlanderAbilities4Scenario5[[#This Row],[ability]])+COUNTIF(Scenario5[winner2-ability4],HighlanderAbilities4Scenario5[[#This Row],[ability]])+COUNTIF(Scenario5[loser1-ability4],HighlanderAbilities4Scenario5[[#This Row],[ability]])+COUNTIF(Scenario5[loser2-ability4],HighlanderAbilities4Scenario5[[#This Row],[ability]])</calculatedColumnFormula>
    </tableColumn>
    <tableColumn id="3" xr3:uid="{C5FCE514-7540-479E-894E-D8CA29011D80}" name="wins" dataDxfId="1333">
      <calculatedColumnFormula>COUNTIF(Scenario5[winner1-ability4],HighlanderAbilities4Scenario5[[#This Row],[ability]])+COUNTIF(Scenario5[winner2-ability4],HighlanderAbilities4Scenario5[[#This Row],[ability]])</calculatedColumnFormula>
    </tableColumn>
    <tableColumn id="4" xr3:uid="{267AE6DC-7E86-4BE9-8482-A30D7BE58B58}" name="battles-take-rate" dataDxfId="1332">
      <calculatedColumnFormula>IF(SUM(HighlanderAbilities4Scenario5[[#This Row],[takes]]) &gt; 0,HighlanderAbilities4Scenario5[[#This Row],[takes]]/SUM(HighlanderAbilities4Scenario5[takes]),0)</calculatedColumnFormula>
    </tableColumn>
    <tableColumn id="5" xr3:uid="{D4F70B2E-1094-4854-B3A6-E13E8370FB6F}" name="take-win-rate" dataDxfId="1331">
      <calculatedColumnFormula>IF(HighlanderAbilities4Scenario5[[#This Row],[takes]]&gt;0,HighlanderAbilities4Scenario5[[#This Row],[wins]]/HighlanderAbilities4Scenario5[[#This Row],[takes]],0)</calculatedColumnFormula>
    </tableColumn>
  </tableColumns>
  <tableStyleInfo name="TableStyleMedium2" showFirstColumn="0" showLastColumn="0" showRowStripes="1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2" xr:uid="{AE013EA8-DF3B-4BBA-AAAC-EE3F57259DA3}" name="HighlanderEquipScenario5" displayName="HighlanderEquipScenario5" ref="Q107:S110" totalsRowShown="0">
  <autoFilter ref="Q107:S110" xr:uid="{AE013EA8-DF3B-4BBA-AAAC-EE3F57259DA3}"/>
  <tableColumns count="3">
    <tableColumn id="1" xr3:uid="{F3D90884-8B6C-40EB-936A-A923BA841D7F}" name="level"/>
    <tableColumn id="2" xr3:uid="{2DA830E6-2F38-48FA-9BAC-B527D9CCC8D1}" name="sword" dataDxfId="1330">
      <calculatedColumnFormula>COUNTIFS(Scenario5[winner1],"highlander",Scenario5[winner1-pw],HighlanderEquipScenario5[[#This Row],[level]])+COUNTIFS(Scenario5[winner2],"highlander",Scenario5[winner2-pw],HighlanderEquipScenario5[[#This Row],[level]])+COUNTIFS(Scenario5[loser1],"highlander",Scenario5[loser1-pw],HighlanderEquipScenario5[[#This Row],[level]])+COUNTIFS(Scenario5[loser2],"highlander",Scenario5[loser2-pw],HighlanderEquipScenario5[[#This Row],[level]])</calculatedColumnFormula>
    </tableColumn>
    <tableColumn id="4" xr3:uid="{A41CE38C-EE1C-497F-9031-8AE9B4AAE8BF}" name="chestpiece" dataDxfId="1329">
      <calculatedColumnFormula>COUNTIFS(Scenario5[winner1],"highlander",Scenario5[winner1-cp],HighlanderEquipScenario5[[#This Row],[level]])+COUNTIFS(Scenario5[winner2],"highlander",Scenario5[winner2-cp],HighlanderEquipScenario5[[#This Row],[level]])+COUNTIFS(Scenario5[loser1],"highlander",Scenario5[loser1-cp],HighlanderEquipScenario5[[#This Row],[level]])+COUNTIFS(Scenario5[loser2],"highlander",Scenario5[loser2-cp],HighlanderEquipScenario5[[#This Row],[level]])</calculatedColumnFormula>
    </tableColumn>
  </tableColumns>
  <tableStyleInfo name="TableStyleMedium2" showFirstColumn="0" showLastColumn="0" showRowStripes="1" showColumnStripes="0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2" xr:uid="{E9C2E3BE-35CA-4522-A0D2-300243F43902}" name="DruidAbilities1" displayName="DruidAbilities1" ref="A2:E5" totalsRowShown="0">
  <autoFilter ref="A2:E5" xr:uid="{DCA301F1-E0F8-4700-BEE5-2688AF43F23A}"/>
  <tableColumns count="5">
    <tableColumn id="2" xr3:uid="{93EA1F80-C6AB-4EC9-AEE8-56E729DF7847}" name="ability"/>
    <tableColumn id="6" xr3:uid="{15EF928B-498B-43FC-8CE9-9493D82F9C26}" name="takes" dataDxfId="1328">
      <calculatedColumnFormula>L3+L24+L45+L66+L87+L108</calculatedColumnFormula>
    </tableColumn>
    <tableColumn id="4" xr3:uid="{30745929-46B0-48D6-B955-7A2AC6D9C7E1}" name="wins" dataDxfId="1327">
      <calculatedColumnFormula>M3+M24+M45+M66+M87+M108</calculatedColumnFormula>
    </tableColumn>
    <tableColumn id="5" xr3:uid="{6D02BF52-C170-4CC1-9A86-21AB4BDB7626}" name="battles-take-rate" dataDxfId="1326">
      <calculatedColumnFormula>IF(SUM(DruidAbilities1[[#This Row],[takes]]) &gt; 0,DruidAbilities1[[#This Row],[takes]]/SUM(DruidAbilities1[takes]),0)</calculatedColumnFormula>
    </tableColumn>
    <tableColumn id="7" xr3:uid="{1BD2CBF1-C18F-4926-AD25-D921CA90DC08}" name="take-win-rate" dataDxfId="1325">
      <calculatedColumnFormula>IF(DruidAbilities1[[#This Row],[takes]]&gt;0,DruidAbilities1[[#This Row],[wins]]/DruidAbilities1[[#This Row],[takes]],0)</calculatedColumnFormula>
    </tableColumn>
  </tableColumns>
  <tableStyleInfo name="TableStyleMedium2" showFirstColumn="0" showLastColumn="0" showRowStripes="1" showColumnStripes="0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3" xr:uid="{367F1C73-ED1E-4E60-8200-BA163DFF0C87}" name="DruidAbilities2" displayName="DruidAbilities2" ref="A7:E10" totalsRowShown="0" headerRowDxfId="1324" headerRowBorderDxfId="1323" tableBorderDxfId="1322" totalsRowBorderDxfId="1321">
  <autoFilter ref="A7:E10" xr:uid="{8ADAEE31-4DDA-4DF2-9EAD-04808D53FFC1}"/>
  <tableColumns count="5">
    <tableColumn id="1" xr3:uid="{66F8BC3A-1684-4A71-8B49-EE69455B0DE9}" name="ability"/>
    <tableColumn id="2" xr3:uid="{A8D63241-E0F4-4693-ABBE-3F7FD1417DFC}" name="takes" dataDxfId="1320">
      <calculatedColumnFormula>L8+L29+L50+L71+L92+L113</calculatedColumnFormula>
    </tableColumn>
    <tableColumn id="3" xr3:uid="{48DF5F5A-0975-4E8D-B144-712277591A94}" name="wins" dataDxfId="1319">
      <calculatedColumnFormula>M8+M29+M50+M71+M92+M113</calculatedColumnFormula>
    </tableColumn>
    <tableColumn id="4" xr3:uid="{268E7864-1892-40A3-BCCF-FE157CEB565E}" name="battles-take-rate" dataDxfId="1318">
      <calculatedColumnFormula>IF(SUM(DruidAbilities2[[#This Row],[takes]]) &gt; 0,DruidAbilities2[[#This Row],[takes]]/SUM(DruidAbilities2[takes]),0)</calculatedColumnFormula>
    </tableColumn>
    <tableColumn id="5" xr3:uid="{374CE05D-3175-43E9-B4DC-F8CD21B172BB}" name="take-win-rate" dataDxfId="1317">
      <calculatedColumnFormula>IF(DruidAbilities2[[#This Row],[takes]]&gt;0,DruidAbilities2[[#This Row],[wins]]/DruidAbilities2[[#This Row],[takes]],0)</calculatedColumnFormula>
    </tableColumn>
  </tableColumns>
  <tableStyleInfo name="TableStyleMedium2" showFirstColumn="0" showLastColumn="0" showRowStripes="1" showColumnStripes="0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4" xr:uid="{A2CE5123-D112-44C4-B168-D945CF82A081}" name="DruidAbilities3" displayName="DruidAbilities3" ref="A12:E15" totalsRowShown="0" headerRowDxfId="1316" headerRowBorderDxfId="1315" tableBorderDxfId="1314" totalsRowBorderDxfId="1313">
  <autoFilter ref="A12:E15" xr:uid="{1B0EA3CA-FA8E-4345-B52C-471D5C94AD38}"/>
  <tableColumns count="5">
    <tableColumn id="1" xr3:uid="{45CA90FB-A2ED-421B-89DD-30969C31AE00}" name="ability"/>
    <tableColumn id="2" xr3:uid="{DF223676-B573-4853-A841-241EB64E92A1}" name="takes" dataDxfId="1312">
      <calculatedColumnFormula>L13+L34+L55+L76+L97+L118</calculatedColumnFormula>
    </tableColumn>
    <tableColumn id="3" xr3:uid="{925C0493-2E5C-4E18-B248-24590FEA740E}" name="wins" dataDxfId="1311">
      <calculatedColumnFormula>M13+M34+M55+M76+M97+M118</calculatedColumnFormula>
    </tableColumn>
    <tableColumn id="4" xr3:uid="{7164F2B9-2D78-40B4-A513-E10635D154E9}" name="battles-take-rate" dataDxfId="1310">
      <calculatedColumnFormula>IF(SUM(DruidAbilities3[[#This Row],[takes]]) &gt; 0,DruidAbilities3[[#This Row],[takes]]/SUM(DruidAbilities3[takes]),0)</calculatedColumnFormula>
    </tableColumn>
    <tableColumn id="5" xr3:uid="{6DB17264-E974-4948-97B1-29BF3B55E29D}" name="take-win-rate" dataDxfId="1309">
      <calculatedColumnFormula>IF(DruidAbilities3[[#This Row],[takes]]&gt;0,DruidAbilities3[[#This Row],[wins]]/DruidAbilities3[[#This Row],[takes]],0)</calculatedColumnFormula>
    </tableColumn>
  </tableColumns>
  <tableStyleInfo name="TableStyleMedium2" showFirstColumn="0" showLastColumn="0" showRowStripes="1" showColumnStripes="0"/>
</table>
</file>

<file path=xl/tables/table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5" xr:uid="{9F118AFF-C47F-4848-9C27-8D32C456EFBF}" name="DruidAbilities4" displayName="DruidAbilities4" ref="A17:E20" totalsRowShown="0" headerRowDxfId="1308" headerRowBorderDxfId="1307" tableBorderDxfId="1306" totalsRowBorderDxfId="1305">
  <autoFilter ref="A17:E20" xr:uid="{2AADA4A0-2F4A-4009-8ECF-0BECA693390C}"/>
  <tableColumns count="5">
    <tableColumn id="1" xr3:uid="{B55E8E85-9B14-4EFC-B40F-2ADF016F740F}" name="ability" dataDxfId="1304"/>
    <tableColumn id="2" xr3:uid="{076E566F-F5E9-47AA-B1B5-F3E7825F4999}" name="takes" dataDxfId="1303">
      <calculatedColumnFormula>L18+L39+L60+L81+L102+L123</calculatedColumnFormula>
    </tableColumn>
    <tableColumn id="3" xr3:uid="{322B89F0-887F-4B61-98E6-57F772ED36C6}" name="wins" dataDxfId="1302">
      <calculatedColumnFormula>M18+M39+M60+M81+M102+M123</calculatedColumnFormula>
    </tableColumn>
    <tableColumn id="4" xr3:uid="{DD000198-4098-4FC5-A3B5-6351F4B85BF2}" name="battles-take-rate" dataDxfId="1301">
      <calculatedColumnFormula>IF(SUM(DruidAbilities4[[#This Row],[takes]]) &gt; 0,DruidAbilities4[[#This Row],[takes]]/SUM(DruidAbilities4[takes]),0)</calculatedColumnFormula>
    </tableColumn>
    <tableColumn id="5" xr3:uid="{81BF86A0-5F92-4D2B-A368-FDA1F7D3ACE3}" name="take-win-rate" dataDxfId="1300">
      <calculatedColumnFormula>IF(DruidAbilities4[[#This Row],[takes]]&gt;0,DruidAbilities4[[#This Row],[wins]]/DruidAbilities4[[#This Row],[takes]],0)</calculatedColumnFormula>
    </tableColumn>
  </tableColumns>
  <tableStyleInfo name="TableStyleMedium2" showFirstColumn="0" showLastColumn="0" showRowStripes="1" showColumnStripes="0"/>
</table>
</file>

<file path=xl/tables/table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6" xr:uid="{13BCC088-8F39-48B0-95E5-E63768BB8A50}" name="DruidEquip" displayName="DruidEquip" ref="G2:I5" totalsRowShown="0">
  <autoFilter ref="G2:I5" xr:uid="{C15024E5-2A00-4F8B-BBEB-0FE7A036BC54}"/>
  <tableColumns count="3">
    <tableColumn id="1" xr3:uid="{5B9D82B9-3D0B-4C4E-9628-FC4065F1766B}" name="level"/>
    <tableColumn id="2" xr3:uid="{7825B36A-217E-4FE5-A50A-4C0322A24058}" name="staff" dataDxfId="1299">
      <calculatedColumnFormula>R3+R24+R45+R66+R87+R108</calculatedColumnFormula>
    </tableColumn>
    <tableColumn id="4" xr3:uid="{59B0F45B-3883-4EBA-BA1D-13246CC2FDE2}" name="chestpiece" dataDxfId="1298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7" xr:uid="{F3078140-BDB3-4E47-9641-F6A59B656217}" name="DruidAbilities1Scenario0" displayName="DruidAbilities1Scenario0" ref="K2:O5" totalsRowShown="0">
  <autoFilter ref="K2:O5" xr:uid="{4CDFB74F-734F-4444-929B-80D3797B5492}"/>
  <tableColumns count="5">
    <tableColumn id="2" xr3:uid="{1F2631B6-23E3-4938-8032-70ED0A1C4D53}" name="ability"/>
    <tableColumn id="6" xr3:uid="{E1365074-2A39-43B2-802B-F0D7DE81C665}" name="takes" dataDxfId="1297">
      <calculatedColumnFormula>COUNTIF(Scenario0[winner1-ability1],DruidAbilities1Scenario0[[#This Row],[ability]])+COUNTIF(Scenario0[winner2-ability1],DruidAbilities1Scenario0[[#This Row],[ability]])+COUNTIF(Scenario0[loser1-ability1],DruidAbilities1Scenario0[[#This Row],[ability]])+COUNTIF(Scenario0[loser2-ability1],DruidAbilities1Scenario0[[#This Row],[ability]])</calculatedColumnFormula>
    </tableColumn>
    <tableColumn id="4" xr3:uid="{C72A9F66-870A-4BDC-BA05-80282530E432}" name="wins" dataDxfId="1296">
      <calculatedColumnFormula>COUNTIF(Scenario0[winner1-ability1],DruidAbilities1Scenario0[[#This Row],[ability]])+COUNTIF(Scenario0[winner2-ability1],DruidAbilities1Scenario0[[#This Row],[ability]])</calculatedColumnFormula>
    </tableColumn>
    <tableColumn id="5" xr3:uid="{B378F8E1-F8A6-4F4B-985C-9DEE02C18C62}" name="battles-take-rate" dataDxfId="1295">
      <calculatedColumnFormula>IF(SUM(DruidAbilities1Scenario0[[#This Row],[takes]]) &gt; 0,DruidAbilities1Scenario0[[#This Row],[takes]]/SUM(DruidAbilities1Scenario0[takes]),0)</calculatedColumnFormula>
    </tableColumn>
    <tableColumn id="7" xr3:uid="{DD4E19FD-B77D-47A4-90B5-0FE54DD8DFDD}" name="take-win-rate" dataDxfId="1294">
      <calculatedColumnFormula>IF(DruidAbilities1Scenario0[[#This Row],[takes]]&gt;0,DruidAbilities1Scenario0[[#This Row],[wins]]/DruidAbilities1Scenario0[[#This Row],[takes]],0)</calculatedColumnFormula>
    </tableColumn>
  </tableColumns>
  <tableStyleInfo name="TableStyleMedium2" showFirstColumn="0" showLastColumn="0" showRowStripes="1" showColumnStripes="0"/>
</table>
</file>

<file path=xl/tables/table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8" xr:uid="{DC638ED2-3B5C-4F3A-8BF5-49CF68790CFF}" name="DruidAbilities2Scenario0" displayName="DruidAbilities2Scenario0" ref="K7:O10" totalsRowShown="0" headerRowDxfId="1293" headerRowBorderDxfId="1292" tableBorderDxfId="1291" totalsRowBorderDxfId="1290">
  <autoFilter ref="K7:O10" xr:uid="{07F4368A-34C9-4286-BBA2-89F699718525}"/>
  <tableColumns count="5">
    <tableColumn id="1" xr3:uid="{5BED9BFF-ED58-4C47-971E-1F0FECEB0144}" name="ability"/>
    <tableColumn id="2" xr3:uid="{A29D37F0-2AF4-4419-8288-60516A134BBE}" name="takes" dataDxfId="1289">
      <calculatedColumnFormula>COUNTIF(Scenario0[winner1-ability2],DruidAbilities2Scenario0[[#This Row],[ability]])+COUNTIF(Scenario0[winner2-ability2],DruidAbilities2Scenario0[[#This Row],[ability]])+COUNTIF(Scenario0[loser1-ability2],DruidAbilities2Scenario0[[#This Row],[ability]])+COUNTIF(Scenario0[loser2-ability2],DruidAbilities2Scenario0[[#This Row],[ability]])</calculatedColumnFormula>
    </tableColumn>
    <tableColumn id="3" xr3:uid="{0E5FADB7-D383-4AC3-B6EF-7F5F00B20702}" name="wins" dataDxfId="1288">
      <calculatedColumnFormula>COUNTIF(Scenario0[winner1-ability2],DruidAbilities2Scenario0[[#This Row],[ability]])+COUNTIF(Scenario0[winner2-ability2],DruidAbilities2Scenario0[[#This Row],[ability]])</calculatedColumnFormula>
    </tableColumn>
    <tableColumn id="4" xr3:uid="{3F3E6573-03B3-4E46-87CF-691A088D075D}" name="battles-take-rate" dataDxfId="1287">
      <calculatedColumnFormula>IF(SUM(DruidAbilities2Scenario0[[#This Row],[takes]]) &gt; 0,DruidAbilities2Scenario0[[#This Row],[takes]]/SUM(DruidAbilities2Scenario0[takes]),0)</calculatedColumnFormula>
    </tableColumn>
    <tableColumn id="5" xr3:uid="{F9BD2519-F555-44D7-B470-E4B2359F48ED}" name="take-win-rate" dataDxfId="1286">
      <calculatedColumnFormula>IF(DruidAbilities2Scenario0[[#This Row],[takes]]&gt;0,DruidAbilities2Scenario0[[#This Row],[wins]]/DruidAbilities2Scenario0[[#This Row],[takes]],0)</calculatedColumnFormula>
    </tableColumn>
  </tableColumns>
  <tableStyleInfo name="TableStyleMedium2" showFirstColumn="0" showLastColumn="0" showRowStripes="1" showColumnStripes="0"/>
</table>
</file>

<file path=xl/tables/table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9" xr:uid="{D93F13CD-3FC5-4FE8-8FD7-CB381F4B2F32}" name="DruidAbilities3Scenario0" displayName="DruidAbilities3Scenario0" ref="K12:O15" totalsRowShown="0" headerRowDxfId="1285" headerRowBorderDxfId="1284" tableBorderDxfId="1283" totalsRowBorderDxfId="1282">
  <autoFilter ref="K12:O15" xr:uid="{E8520742-705B-4A78-A5FD-1F57726A369B}"/>
  <tableColumns count="5">
    <tableColumn id="1" xr3:uid="{EF9C86AC-A217-4318-BD6D-3E629F18591F}" name="ability"/>
    <tableColumn id="2" xr3:uid="{B7D8A600-2162-4A35-8158-AC4071B36227}" name="takes" dataDxfId="1281">
      <calculatedColumnFormula>COUNTIF(Scenario0[winner1-ability3],DruidAbilities3Scenario0[[#This Row],[ability]])+COUNTIF(Scenario0[winner2-ability3],DruidAbilities3Scenario0[[#This Row],[ability]])+COUNTIF(Scenario0[loser1-ability3],DruidAbilities3Scenario0[[#This Row],[ability]])+COUNTIF(Scenario0[loser2-ability3],DruidAbilities3Scenario0[[#This Row],[ability]])</calculatedColumnFormula>
    </tableColumn>
    <tableColumn id="3" xr3:uid="{09BE4551-FD08-44A5-A3EA-0E8E18684832}" name="wins" dataDxfId="1280">
      <calculatedColumnFormula>COUNTIF(Scenario0[winner1-ability3],DruidAbilities3Scenario0[[#This Row],[ability]])+COUNTIF(Scenario0[winner2-ability3],DruidAbilities3Scenario0[[#This Row],[ability]])</calculatedColumnFormula>
    </tableColumn>
    <tableColumn id="4" xr3:uid="{CEF7C87A-5622-4B53-82EF-99E133A706A3}" name="battles-take-rate" dataDxfId="1279">
      <calculatedColumnFormula>IF(SUM(DruidAbilities3Scenario0[[#This Row],[takes]]) &gt; 0,DruidAbilities3Scenario0[[#This Row],[takes]]/SUM(DruidAbilities3Scenario0[takes]),0)</calculatedColumnFormula>
    </tableColumn>
    <tableColumn id="5" xr3:uid="{207DD875-ED11-40EC-8B20-4E5EFE92F4EB}" name="take-win-rate" dataDxfId="1278">
      <calculatedColumnFormula>IF(DruidAbilities3Scenario0[[#This Row],[takes]]&gt;0,DruidAbilities3Scenario0[[#This Row],[wins]]/DruidAbilities3Scenario0[[#This Row],[takes]],0)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31.xml"/><Relationship Id="rId18" Type="http://schemas.openxmlformats.org/officeDocument/2006/relationships/table" Target="../tables/table36.xml"/><Relationship Id="rId26" Type="http://schemas.openxmlformats.org/officeDocument/2006/relationships/table" Target="../tables/table44.xml"/><Relationship Id="rId21" Type="http://schemas.openxmlformats.org/officeDocument/2006/relationships/table" Target="../tables/table39.xml"/><Relationship Id="rId34" Type="http://schemas.openxmlformats.org/officeDocument/2006/relationships/table" Target="../tables/table52.xml"/><Relationship Id="rId7" Type="http://schemas.openxmlformats.org/officeDocument/2006/relationships/table" Target="../tables/table25.xml"/><Relationship Id="rId12" Type="http://schemas.openxmlformats.org/officeDocument/2006/relationships/table" Target="../tables/table30.xml"/><Relationship Id="rId17" Type="http://schemas.openxmlformats.org/officeDocument/2006/relationships/table" Target="../tables/table35.xml"/><Relationship Id="rId25" Type="http://schemas.openxmlformats.org/officeDocument/2006/relationships/table" Target="../tables/table43.xml"/><Relationship Id="rId33" Type="http://schemas.openxmlformats.org/officeDocument/2006/relationships/table" Target="../tables/table51.xml"/><Relationship Id="rId2" Type="http://schemas.openxmlformats.org/officeDocument/2006/relationships/table" Target="../tables/table20.xml"/><Relationship Id="rId16" Type="http://schemas.openxmlformats.org/officeDocument/2006/relationships/table" Target="../tables/table34.xml"/><Relationship Id="rId20" Type="http://schemas.openxmlformats.org/officeDocument/2006/relationships/table" Target="../tables/table38.xml"/><Relationship Id="rId29" Type="http://schemas.openxmlformats.org/officeDocument/2006/relationships/table" Target="../tables/table47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24.xml"/><Relationship Id="rId11" Type="http://schemas.openxmlformats.org/officeDocument/2006/relationships/table" Target="../tables/table29.xml"/><Relationship Id="rId24" Type="http://schemas.openxmlformats.org/officeDocument/2006/relationships/table" Target="../tables/table42.xml"/><Relationship Id="rId32" Type="http://schemas.openxmlformats.org/officeDocument/2006/relationships/table" Target="../tables/table50.xml"/><Relationship Id="rId37" Type="http://schemas.openxmlformats.org/officeDocument/2006/relationships/table" Target="../tables/table55.xml"/><Relationship Id="rId5" Type="http://schemas.openxmlformats.org/officeDocument/2006/relationships/table" Target="../tables/table23.xml"/><Relationship Id="rId15" Type="http://schemas.openxmlformats.org/officeDocument/2006/relationships/table" Target="../tables/table33.xml"/><Relationship Id="rId23" Type="http://schemas.openxmlformats.org/officeDocument/2006/relationships/table" Target="../tables/table41.xml"/><Relationship Id="rId28" Type="http://schemas.openxmlformats.org/officeDocument/2006/relationships/table" Target="../tables/table46.xml"/><Relationship Id="rId36" Type="http://schemas.openxmlformats.org/officeDocument/2006/relationships/table" Target="../tables/table54.xml"/><Relationship Id="rId10" Type="http://schemas.openxmlformats.org/officeDocument/2006/relationships/table" Target="../tables/table28.xml"/><Relationship Id="rId19" Type="http://schemas.openxmlformats.org/officeDocument/2006/relationships/table" Target="../tables/table37.xml"/><Relationship Id="rId31" Type="http://schemas.openxmlformats.org/officeDocument/2006/relationships/table" Target="../tables/table49.xml"/><Relationship Id="rId4" Type="http://schemas.openxmlformats.org/officeDocument/2006/relationships/table" Target="../tables/table22.xml"/><Relationship Id="rId9" Type="http://schemas.openxmlformats.org/officeDocument/2006/relationships/table" Target="../tables/table27.xml"/><Relationship Id="rId14" Type="http://schemas.openxmlformats.org/officeDocument/2006/relationships/table" Target="../tables/table32.xml"/><Relationship Id="rId22" Type="http://schemas.openxmlformats.org/officeDocument/2006/relationships/table" Target="../tables/table40.xml"/><Relationship Id="rId27" Type="http://schemas.openxmlformats.org/officeDocument/2006/relationships/table" Target="../tables/table45.xml"/><Relationship Id="rId30" Type="http://schemas.openxmlformats.org/officeDocument/2006/relationships/table" Target="../tables/table48.xml"/><Relationship Id="rId35" Type="http://schemas.openxmlformats.org/officeDocument/2006/relationships/table" Target="../tables/table53.xml"/><Relationship Id="rId8" Type="http://schemas.openxmlformats.org/officeDocument/2006/relationships/table" Target="../tables/table26.xml"/><Relationship Id="rId3" Type="http://schemas.openxmlformats.org/officeDocument/2006/relationships/table" Target="../tables/table21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67.xml"/><Relationship Id="rId18" Type="http://schemas.openxmlformats.org/officeDocument/2006/relationships/table" Target="../tables/table72.xml"/><Relationship Id="rId26" Type="http://schemas.openxmlformats.org/officeDocument/2006/relationships/table" Target="../tables/table80.xml"/><Relationship Id="rId21" Type="http://schemas.openxmlformats.org/officeDocument/2006/relationships/table" Target="../tables/table75.xml"/><Relationship Id="rId34" Type="http://schemas.openxmlformats.org/officeDocument/2006/relationships/table" Target="../tables/table88.xml"/><Relationship Id="rId7" Type="http://schemas.openxmlformats.org/officeDocument/2006/relationships/table" Target="../tables/table61.xml"/><Relationship Id="rId12" Type="http://schemas.openxmlformats.org/officeDocument/2006/relationships/table" Target="../tables/table66.xml"/><Relationship Id="rId17" Type="http://schemas.openxmlformats.org/officeDocument/2006/relationships/table" Target="../tables/table71.xml"/><Relationship Id="rId25" Type="http://schemas.openxmlformats.org/officeDocument/2006/relationships/table" Target="../tables/table79.xml"/><Relationship Id="rId33" Type="http://schemas.openxmlformats.org/officeDocument/2006/relationships/table" Target="../tables/table87.xml"/><Relationship Id="rId2" Type="http://schemas.openxmlformats.org/officeDocument/2006/relationships/table" Target="../tables/table56.xml"/><Relationship Id="rId16" Type="http://schemas.openxmlformats.org/officeDocument/2006/relationships/table" Target="../tables/table70.xml"/><Relationship Id="rId20" Type="http://schemas.openxmlformats.org/officeDocument/2006/relationships/table" Target="../tables/table74.xml"/><Relationship Id="rId29" Type="http://schemas.openxmlformats.org/officeDocument/2006/relationships/table" Target="../tables/table8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60.xml"/><Relationship Id="rId11" Type="http://schemas.openxmlformats.org/officeDocument/2006/relationships/table" Target="../tables/table65.xml"/><Relationship Id="rId24" Type="http://schemas.openxmlformats.org/officeDocument/2006/relationships/table" Target="../tables/table78.xml"/><Relationship Id="rId32" Type="http://schemas.openxmlformats.org/officeDocument/2006/relationships/table" Target="../tables/table86.xml"/><Relationship Id="rId37" Type="http://schemas.openxmlformats.org/officeDocument/2006/relationships/table" Target="../tables/table91.xml"/><Relationship Id="rId5" Type="http://schemas.openxmlformats.org/officeDocument/2006/relationships/table" Target="../tables/table59.xml"/><Relationship Id="rId15" Type="http://schemas.openxmlformats.org/officeDocument/2006/relationships/table" Target="../tables/table69.xml"/><Relationship Id="rId23" Type="http://schemas.openxmlformats.org/officeDocument/2006/relationships/table" Target="../tables/table77.xml"/><Relationship Id="rId28" Type="http://schemas.openxmlformats.org/officeDocument/2006/relationships/table" Target="../tables/table82.xml"/><Relationship Id="rId36" Type="http://schemas.openxmlformats.org/officeDocument/2006/relationships/table" Target="../tables/table90.xml"/><Relationship Id="rId10" Type="http://schemas.openxmlformats.org/officeDocument/2006/relationships/table" Target="../tables/table64.xml"/><Relationship Id="rId19" Type="http://schemas.openxmlformats.org/officeDocument/2006/relationships/table" Target="../tables/table73.xml"/><Relationship Id="rId31" Type="http://schemas.openxmlformats.org/officeDocument/2006/relationships/table" Target="../tables/table85.xml"/><Relationship Id="rId4" Type="http://schemas.openxmlformats.org/officeDocument/2006/relationships/table" Target="../tables/table58.xml"/><Relationship Id="rId9" Type="http://schemas.openxmlformats.org/officeDocument/2006/relationships/table" Target="../tables/table63.xml"/><Relationship Id="rId14" Type="http://schemas.openxmlformats.org/officeDocument/2006/relationships/table" Target="../tables/table68.xml"/><Relationship Id="rId22" Type="http://schemas.openxmlformats.org/officeDocument/2006/relationships/table" Target="../tables/table76.xml"/><Relationship Id="rId27" Type="http://schemas.openxmlformats.org/officeDocument/2006/relationships/table" Target="../tables/table81.xml"/><Relationship Id="rId30" Type="http://schemas.openxmlformats.org/officeDocument/2006/relationships/table" Target="../tables/table84.xml"/><Relationship Id="rId35" Type="http://schemas.openxmlformats.org/officeDocument/2006/relationships/table" Target="../tables/table89.xml"/><Relationship Id="rId8" Type="http://schemas.openxmlformats.org/officeDocument/2006/relationships/table" Target="../tables/table62.xml"/><Relationship Id="rId3" Type="http://schemas.openxmlformats.org/officeDocument/2006/relationships/table" Target="../tables/table57.xml"/></Relationships>
</file>

<file path=xl/worksheets/_rels/sheet16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03.xml"/><Relationship Id="rId18" Type="http://schemas.openxmlformats.org/officeDocument/2006/relationships/table" Target="../tables/table108.xml"/><Relationship Id="rId26" Type="http://schemas.openxmlformats.org/officeDocument/2006/relationships/table" Target="../tables/table116.xml"/><Relationship Id="rId21" Type="http://schemas.openxmlformats.org/officeDocument/2006/relationships/table" Target="../tables/table111.xml"/><Relationship Id="rId34" Type="http://schemas.openxmlformats.org/officeDocument/2006/relationships/table" Target="../tables/table124.xml"/><Relationship Id="rId7" Type="http://schemas.openxmlformats.org/officeDocument/2006/relationships/table" Target="../tables/table97.xml"/><Relationship Id="rId12" Type="http://schemas.openxmlformats.org/officeDocument/2006/relationships/table" Target="../tables/table102.xml"/><Relationship Id="rId17" Type="http://schemas.openxmlformats.org/officeDocument/2006/relationships/table" Target="../tables/table107.xml"/><Relationship Id="rId25" Type="http://schemas.openxmlformats.org/officeDocument/2006/relationships/table" Target="../tables/table115.xml"/><Relationship Id="rId33" Type="http://schemas.openxmlformats.org/officeDocument/2006/relationships/table" Target="../tables/table123.xml"/><Relationship Id="rId2" Type="http://schemas.openxmlformats.org/officeDocument/2006/relationships/table" Target="../tables/table92.xml"/><Relationship Id="rId16" Type="http://schemas.openxmlformats.org/officeDocument/2006/relationships/table" Target="../tables/table106.xml"/><Relationship Id="rId20" Type="http://schemas.openxmlformats.org/officeDocument/2006/relationships/table" Target="../tables/table110.xml"/><Relationship Id="rId29" Type="http://schemas.openxmlformats.org/officeDocument/2006/relationships/table" Target="../tables/table119.xml"/><Relationship Id="rId1" Type="http://schemas.openxmlformats.org/officeDocument/2006/relationships/printerSettings" Target="../printerSettings/printerSettings10.bin"/><Relationship Id="rId6" Type="http://schemas.openxmlformats.org/officeDocument/2006/relationships/table" Target="../tables/table96.xml"/><Relationship Id="rId11" Type="http://schemas.openxmlformats.org/officeDocument/2006/relationships/table" Target="../tables/table101.xml"/><Relationship Id="rId24" Type="http://schemas.openxmlformats.org/officeDocument/2006/relationships/table" Target="../tables/table114.xml"/><Relationship Id="rId32" Type="http://schemas.openxmlformats.org/officeDocument/2006/relationships/table" Target="../tables/table122.xml"/><Relationship Id="rId37" Type="http://schemas.openxmlformats.org/officeDocument/2006/relationships/table" Target="../tables/table127.xml"/><Relationship Id="rId5" Type="http://schemas.openxmlformats.org/officeDocument/2006/relationships/table" Target="../tables/table95.xml"/><Relationship Id="rId15" Type="http://schemas.openxmlformats.org/officeDocument/2006/relationships/table" Target="../tables/table105.xml"/><Relationship Id="rId23" Type="http://schemas.openxmlformats.org/officeDocument/2006/relationships/table" Target="../tables/table113.xml"/><Relationship Id="rId28" Type="http://schemas.openxmlformats.org/officeDocument/2006/relationships/table" Target="../tables/table118.xml"/><Relationship Id="rId36" Type="http://schemas.openxmlformats.org/officeDocument/2006/relationships/table" Target="../tables/table126.xml"/><Relationship Id="rId10" Type="http://schemas.openxmlformats.org/officeDocument/2006/relationships/table" Target="../tables/table100.xml"/><Relationship Id="rId19" Type="http://schemas.openxmlformats.org/officeDocument/2006/relationships/table" Target="../tables/table109.xml"/><Relationship Id="rId31" Type="http://schemas.openxmlformats.org/officeDocument/2006/relationships/table" Target="../tables/table121.xml"/><Relationship Id="rId4" Type="http://schemas.openxmlformats.org/officeDocument/2006/relationships/table" Target="../tables/table94.xml"/><Relationship Id="rId9" Type="http://schemas.openxmlformats.org/officeDocument/2006/relationships/table" Target="../tables/table99.xml"/><Relationship Id="rId14" Type="http://schemas.openxmlformats.org/officeDocument/2006/relationships/table" Target="../tables/table104.xml"/><Relationship Id="rId22" Type="http://schemas.openxmlformats.org/officeDocument/2006/relationships/table" Target="../tables/table112.xml"/><Relationship Id="rId27" Type="http://schemas.openxmlformats.org/officeDocument/2006/relationships/table" Target="../tables/table117.xml"/><Relationship Id="rId30" Type="http://schemas.openxmlformats.org/officeDocument/2006/relationships/table" Target="../tables/table120.xml"/><Relationship Id="rId35" Type="http://schemas.openxmlformats.org/officeDocument/2006/relationships/table" Target="../tables/table125.xml"/><Relationship Id="rId8" Type="http://schemas.openxmlformats.org/officeDocument/2006/relationships/table" Target="../tables/table98.xml"/><Relationship Id="rId3" Type="http://schemas.openxmlformats.org/officeDocument/2006/relationships/table" Target="../tables/table93.xml"/></Relationships>
</file>

<file path=xl/worksheets/_rels/sheet17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39.xml"/><Relationship Id="rId18" Type="http://schemas.openxmlformats.org/officeDocument/2006/relationships/table" Target="../tables/table144.xml"/><Relationship Id="rId26" Type="http://schemas.openxmlformats.org/officeDocument/2006/relationships/table" Target="../tables/table152.xml"/><Relationship Id="rId21" Type="http://schemas.openxmlformats.org/officeDocument/2006/relationships/table" Target="../tables/table147.xml"/><Relationship Id="rId34" Type="http://schemas.openxmlformats.org/officeDocument/2006/relationships/table" Target="../tables/table160.xml"/><Relationship Id="rId7" Type="http://schemas.openxmlformats.org/officeDocument/2006/relationships/table" Target="../tables/table133.xml"/><Relationship Id="rId12" Type="http://schemas.openxmlformats.org/officeDocument/2006/relationships/table" Target="../tables/table138.xml"/><Relationship Id="rId17" Type="http://schemas.openxmlformats.org/officeDocument/2006/relationships/table" Target="../tables/table143.xml"/><Relationship Id="rId25" Type="http://schemas.openxmlformats.org/officeDocument/2006/relationships/table" Target="../tables/table151.xml"/><Relationship Id="rId33" Type="http://schemas.openxmlformats.org/officeDocument/2006/relationships/table" Target="../tables/table159.xml"/><Relationship Id="rId2" Type="http://schemas.openxmlformats.org/officeDocument/2006/relationships/table" Target="../tables/table128.xml"/><Relationship Id="rId16" Type="http://schemas.openxmlformats.org/officeDocument/2006/relationships/table" Target="../tables/table142.xml"/><Relationship Id="rId20" Type="http://schemas.openxmlformats.org/officeDocument/2006/relationships/table" Target="../tables/table146.xml"/><Relationship Id="rId29" Type="http://schemas.openxmlformats.org/officeDocument/2006/relationships/table" Target="../tables/table155.xml"/><Relationship Id="rId1" Type="http://schemas.openxmlformats.org/officeDocument/2006/relationships/printerSettings" Target="../printerSettings/printerSettings11.bin"/><Relationship Id="rId6" Type="http://schemas.openxmlformats.org/officeDocument/2006/relationships/table" Target="../tables/table132.xml"/><Relationship Id="rId11" Type="http://schemas.openxmlformats.org/officeDocument/2006/relationships/table" Target="../tables/table137.xml"/><Relationship Id="rId24" Type="http://schemas.openxmlformats.org/officeDocument/2006/relationships/table" Target="../tables/table150.xml"/><Relationship Id="rId32" Type="http://schemas.openxmlformats.org/officeDocument/2006/relationships/table" Target="../tables/table158.xml"/><Relationship Id="rId37" Type="http://schemas.openxmlformats.org/officeDocument/2006/relationships/table" Target="../tables/table163.xml"/><Relationship Id="rId5" Type="http://schemas.openxmlformats.org/officeDocument/2006/relationships/table" Target="../tables/table131.xml"/><Relationship Id="rId15" Type="http://schemas.openxmlformats.org/officeDocument/2006/relationships/table" Target="../tables/table141.xml"/><Relationship Id="rId23" Type="http://schemas.openxmlformats.org/officeDocument/2006/relationships/table" Target="../tables/table149.xml"/><Relationship Id="rId28" Type="http://schemas.openxmlformats.org/officeDocument/2006/relationships/table" Target="../tables/table154.xml"/><Relationship Id="rId36" Type="http://schemas.openxmlformats.org/officeDocument/2006/relationships/table" Target="../tables/table162.xml"/><Relationship Id="rId10" Type="http://schemas.openxmlformats.org/officeDocument/2006/relationships/table" Target="../tables/table136.xml"/><Relationship Id="rId19" Type="http://schemas.openxmlformats.org/officeDocument/2006/relationships/table" Target="../tables/table145.xml"/><Relationship Id="rId31" Type="http://schemas.openxmlformats.org/officeDocument/2006/relationships/table" Target="../tables/table157.xml"/><Relationship Id="rId4" Type="http://schemas.openxmlformats.org/officeDocument/2006/relationships/table" Target="../tables/table130.xml"/><Relationship Id="rId9" Type="http://schemas.openxmlformats.org/officeDocument/2006/relationships/table" Target="../tables/table135.xml"/><Relationship Id="rId14" Type="http://schemas.openxmlformats.org/officeDocument/2006/relationships/table" Target="../tables/table140.xml"/><Relationship Id="rId22" Type="http://schemas.openxmlformats.org/officeDocument/2006/relationships/table" Target="../tables/table148.xml"/><Relationship Id="rId27" Type="http://schemas.openxmlformats.org/officeDocument/2006/relationships/table" Target="../tables/table153.xml"/><Relationship Id="rId30" Type="http://schemas.openxmlformats.org/officeDocument/2006/relationships/table" Target="../tables/table156.xml"/><Relationship Id="rId35" Type="http://schemas.openxmlformats.org/officeDocument/2006/relationships/table" Target="../tables/table161.xml"/><Relationship Id="rId8" Type="http://schemas.openxmlformats.org/officeDocument/2006/relationships/table" Target="../tables/table134.xml"/><Relationship Id="rId3" Type="http://schemas.openxmlformats.org/officeDocument/2006/relationships/table" Target="../tables/table129.xml"/></Relationships>
</file>

<file path=xl/worksheets/_rels/sheet18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75.xml"/><Relationship Id="rId18" Type="http://schemas.openxmlformats.org/officeDocument/2006/relationships/table" Target="../tables/table180.xml"/><Relationship Id="rId26" Type="http://schemas.openxmlformats.org/officeDocument/2006/relationships/table" Target="../tables/table188.xml"/><Relationship Id="rId21" Type="http://schemas.openxmlformats.org/officeDocument/2006/relationships/table" Target="../tables/table183.xml"/><Relationship Id="rId34" Type="http://schemas.openxmlformats.org/officeDocument/2006/relationships/table" Target="../tables/table196.xml"/><Relationship Id="rId7" Type="http://schemas.openxmlformats.org/officeDocument/2006/relationships/table" Target="../tables/table169.xml"/><Relationship Id="rId12" Type="http://schemas.openxmlformats.org/officeDocument/2006/relationships/table" Target="../tables/table174.xml"/><Relationship Id="rId17" Type="http://schemas.openxmlformats.org/officeDocument/2006/relationships/table" Target="../tables/table179.xml"/><Relationship Id="rId25" Type="http://schemas.openxmlformats.org/officeDocument/2006/relationships/table" Target="../tables/table187.xml"/><Relationship Id="rId33" Type="http://schemas.openxmlformats.org/officeDocument/2006/relationships/table" Target="../tables/table195.xml"/><Relationship Id="rId2" Type="http://schemas.openxmlformats.org/officeDocument/2006/relationships/table" Target="../tables/table164.xml"/><Relationship Id="rId16" Type="http://schemas.openxmlformats.org/officeDocument/2006/relationships/table" Target="../tables/table178.xml"/><Relationship Id="rId20" Type="http://schemas.openxmlformats.org/officeDocument/2006/relationships/table" Target="../tables/table182.xml"/><Relationship Id="rId29" Type="http://schemas.openxmlformats.org/officeDocument/2006/relationships/table" Target="../tables/table191.xml"/><Relationship Id="rId1" Type="http://schemas.openxmlformats.org/officeDocument/2006/relationships/printerSettings" Target="../printerSettings/printerSettings12.bin"/><Relationship Id="rId6" Type="http://schemas.openxmlformats.org/officeDocument/2006/relationships/table" Target="../tables/table168.xml"/><Relationship Id="rId11" Type="http://schemas.openxmlformats.org/officeDocument/2006/relationships/table" Target="../tables/table173.xml"/><Relationship Id="rId24" Type="http://schemas.openxmlformats.org/officeDocument/2006/relationships/table" Target="../tables/table186.xml"/><Relationship Id="rId32" Type="http://schemas.openxmlformats.org/officeDocument/2006/relationships/table" Target="../tables/table194.xml"/><Relationship Id="rId37" Type="http://schemas.openxmlformats.org/officeDocument/2006/relationships/table" Target="../tables/table199.xml"/><Relationship Id="rId5" Type="http://schemas.openxmlformats.org/officeDocument/2006/relationships/table" Target="../tables/table167.xml"/><Relationship Id="rId15" Type="http://schemas.openxmlformats.org/officeDocument/2006/relationships/table" Target="../tables/table177.xml"/><Relationship Id="rId23" Type="http://schemas.openxmlformats.org/officeDocument/2006/relationships/table" Target="../tables/table185.xml"/><Relationship Id="rId28" Type="http://schemas.openxmlformats.org/officeDocument/2006/relationships/table" Target="../tables/table190.xml"/><Relationship Id="rId36" Type="http://schemas.openxmlformats.org/officeDocument/2006/relationships/table" Target="../tables/table198.xml"/><Relationship Id="rId10" Type="http://schemas.openxmlformats.org/officeDocument/2006/relationships/table" Target="../tables/table172.xml"/><Relationship Id="rId19" Type="http://schemas.openxmlformats.org/officeDocument/2006/relationships/table" Target="../tables/table181.xml"/><Relationship Id="rId31" Type="http://schemas.openxmlformats.org/officeDocument/2006/relationships/table" Target="../tables/table193.xml"/><Relationship Id="rId4" Type="http://schemas.openxmlformats.org/officeDocument/2006/relationships/table" Target="../tables/table166.xml"/><Relationship Id="rId9" Type="http://schemas.openxmlformats.org/officeDocument/2006/relationships/table" Target="../tables/table171.xml"/><Relationship Id="rId14" Type="http://schemas.openxmlformats.org/officeDocument/2006/relationships/table" Target="../tables/table176.xml"/><Relationship Id="rId22" Type="http://schemas.openxmlformats.org/officeDocument/2006/relationships/table" Target="../tables/table184.xml"/><Relationship Id="rId27" Type="http://schemas.openxmlformats.org/officeDocument/2006/relationships/table" Target="../tables/table189.xml"/><Relationship Id="rId30" Type="http://schemas.openxmlformats.org/officeDocument/2006/relationships/table" Target="../tables/table192.xml"/><Relationship Id="rId35" Type="http://schemas.openxmlformats.org/officeDocument/2006/relationships/table" Target="../tables/table197.xml"/><Relationship Id="rId8" Type="http://schemas.openxmlformats.org/officeDocument/2006/relationships/table" Target="../tables/table170.xml"/><Relationship Id="rId3" Type="http://schemas.openxmlformats.org/officeDocument/2006/relationships/table" Target="../tables/table165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211.xml"/><Relationship Id="rId18" Type="http://schemas.openxmlformats.org/officeDocument/2006/relationships/table" Target="../tables/table216.xml"/><Relationship Id="rId26" Type="http://schemas.openxmlformats.org/officeDocument/2006/relationships/table" Target="../tables/table224.xml"/><Relationship Id="rId21" Type="http://schemas.openxmlformats.org/officeDocument/2006/relationships/table" Target="../tables/table219.xml"/><Relationship Id="rId34" Type="http://schemas.openxmlformats.org/officeDocument/2006/relationships/table" Target="../tables/table232.xml"/><Relationship Id="rId7" Type="http://schemas.openxmlformats.org/officeDocument/2006/relationships/table" Target="../tables/table205.xml"/><Relationship Id="rId12" Type="http://schemas.openxmlformats.org/officeDocument/2006/relationships/table" Target="../tables/table210.xml"/><Relationship Id="rId17" Type="http://schemas.openxmlformats.org/officeDocument/2006/relationships/table" Target="../tables/table215.xml"/><Relationship Id="rId25" Type="http://schemas.openxmlformats.org/officeDocument/2006/relationships/table" Target="../tables/table223.xml"/><Relationship Id="rId33" Type="http://schemas.openxmlformats.org/officeDocument/2006/relationships/table" Target="../tables/table231.xml"/><Relationship Id="rId2" Type="http://schemas.openxmlformats.org/officeDocument/2006/relationships/table" Target="../tables/table200.xml"/><Relationship Id="rId16" Type="http://schemas.openxmlformats.org/officeDocument/2006/relationships/table" Target="../tables/table214.xml"/><Relationship Id="rId20" Type="http://schemas.openxmlformats.org/officeDocument/2006/relationships/table" Target="../tables/table218.xml"/><Relationship Id="rId29" Type="http://schemas.openxmlformats.org/officeDocument/2006/relationships/table" Target="../tables/table227.xml"/><Relationship Id="rId1" Type="http://schemas.openxmlformats.org/officeDocument/2006/relationships/printerSettings" Target="../printerSettings/printerSettings13.bin"/><Relationship Id="rId6" Type="http://schemas.openxmlformats.org/officeDocument/2006/relationships/table" Target="../tables/table204.xml"/><Relationship Id="rId11" Type="http://schemas.openxmlformats.org/officeDocument/2006/relationships/table" Target="../tables/table209.xml"/><Relationship Id="rId24" Type="http://schemas.openxmlformats.org/officeDocument/2006/relationships/table" Target="../tables/table222.xml"/><Relationship Id="rId32" Type="http://schemas.openxmlformats.org/officeDocument/2006/relationships/table" Target="../tables/table230.xml"/><Relationship Id="rId37" Type="http://schemas.openxmlformats.org/officeDocument/2006/relationships/table" Target="../tables/table235.xml"/><Relationship Id="rId5" Type="http://schemas.openxmlformats.org/officeDocument/2006/relationships/table" Target="../tables/table203.xml"/><Relationship Id="rId15" Type="http://schemas.openxmlformats.org/officeDocument/2006/relationships/table" Target="../tables/table213.xml"/><Relationship Id="rId23" Type="http://schemas.openxmlformats.org/officeDocument/2006/relationships/table" Target="../tables/table221.xml"/><Relationship Id="rId28" Type="http://schemas.openxmlformats.org/officeDocument/2006/relationships/table" Target="../tables/table226.xml"/><Relationship Id="rId36" Type="http://schemas.openxmlformats.org/officeDocument/2006/relationships/table" Target="../tables/table234.xml"/><Relationship Id="rId10" Type="http://schemas.openxmlformats.org/officeDocument/2006/relationships/table" Target="../tables/table208.xml"/><Relationship Id="rId19" Type="http://schemas.openxmlformats.org/officeDocument/2006/relationships/table" Target="../tables/table217.xml"/><Relationship Id="rId31" Type="http://schemas.openxmlformats.org/officeDocument/2006/relationships/table" Target="../tables/table229.xml"/><Relationship Id="rId4" Type="http://schemas.openxmlformats.org/officeDocument/2006/relationships/table" Target="../tables/table202.xml"/><Relationship Id="rId9" Type="http://schemas.openxmlformats.org/officeDocument/2006/relationships/table" Target="../tables/table207.xml"/><Relationship Id="rId14" Type="http://schemas.openxmlformats.org/officeDocument/2006/relationships/table" Target="../tables/table212.xml"/><Relationship Id="rId22" Type="http://schemas.openxmlformats.org/officeDocument/2006/relationships/table" Target="../tables/table220.xml"/><Relationship Id="rId27" Type="http://schemas.openxmlformats.org/officeDocument/2006/relationships/table" Target="../tables/table225.xml"/><Relationship Id="rId30" Type="http://schemas.openxmlformats.org/officeDocument/2006/relationships/table" Target="../tables/table228.xml"/><Relationship Id="rId35" Type="http://schemas.openxmlformats.org/officeDocument/2006/relationships/table" Target="../tables/table233.xml"/><Relationship Id="rId8" Type="http://schemas.openxmlformats.org/officeDocument/2006/relationships/table" Target="../tables/table206.xml"/><Relationship Id="rId3" Type="http://schemas.openxmlformats.org/officeDocument/2006/relationships/table" Target="../tables/table20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247.xml"/><Relationship Id="rId18" Type="http://schemas.openxmlformats.org/officeDocument/2006/relationships/table" Target="../tables/table252.xml"/><Relationship Id="rId26" Type="http://schemas.openxmlformats.org/officeDocument/2006/relationships/table" Target="../tables/table260.xml"/><Relationship Id="rId21" Type="http://schemas.openxmlformats.org/officeDocument/2006/relationships/table" Target="../tables/table255.xml"/><Relationship Id="rId34" Type="http://schemas.openxmlformats.org/officeDocument/2006/relationships/table" Target="../tables/table268.xml"/><Relationship Id="rId7" Type="http://schemas.openxmlformats.org/officeDocument/2006/relationships/table" Target="../tables/table241.xml"/><Relationship Id="rId12" Type="http://schemas.openxmlformats.org/officeDocument/2006/relationships/table" Target="../tables/table246.xml"/><Relationship Id="rId17" Type="http://schemas.openxmlformats.org/officeDocument/2006/relationships/table" Target="../tables/table251.xml"/><Relationship Id="rId25" Type="http://schemas.openxmlformats.org/officeDocument/2006/relationships/table" Target="../tables/table259.xml"/><Relationship Id="rId33" Type="http://schemas.openxmlformats.org/officeDocument/2006/relationships/table" Target="../tables/table267.xml"/><Relationship Id="rId2" Type="http://schemas.openxmlformats.org/officeDocument/2006/relationships/table" Target="../tables/table236.xml"/><Relationship Id="rId16" Type="http://schemas.openxmlformats.org/officeDocument/2006/relationships/table" Target="../tables/table250.xml"/><Relationship Id="rId20" Type="http://schemas.openxmlformats.org/officeDocument/2006/relationships/table" Target="../tables/table254.xml"/><Relationship Id="rId29" Type="http://schemas.openxmlformats.org/officeDocument/2006/relationships/table" Target="../tables/table263.xml"/><Relationship Id="rId1" Type="http://schemas.openxmlformats.org/officeDocument/2006/relationships/printerSettings" Target="../printerSettings/printerSettings14.bin"/><Relationship Id="rId6" Type="http://schemas.openxmlformats.org/officeDocument/2006/relationships/table" Target="../tables/table240.xml"/><Relationship Id="rId11" Type="http://schemas.openxmlformats.org/officeDocument/2006/relationships/table" Target="../tables/table245.xml"/><Relationship Id="rId24" Type="http://schemas.openxmlformats.org/officeDocument/2006/relationships/table" Target="../tables/table258.xml"/><Relationship Id="rId32" Type="http://schemas.openxmlformats.org/officeDocument/2006/relationships/table" Target="../tables/table266.xml"/><Relationship Id="rId37" Type="http://schemas.openxmlformats.org/officeDocument/2006/relationships/table" Target="../tables/table271.xml"/><Relationship Id="rId5" Type="http://schemas.openxmlformats.org/officeDocument/2006/relationships/table" Target="../tables/table239.xml"/><Relationship Id="rId15" Type="http://schemas.openxmlformats.org/officeDocument/2006/relationships/table" Target="../tables/table249.xml"/><Relationship Id="rId23" Type="http://schemas.openxmlformats.org/officeDocument/2006/relationships/table" Target="../tables/table257.xml"/><Relationship Id="rId28" Type="http://schemas.openxmlformats.org/officeDocument/2006/relationships/table" Target="../tables/table262.xml"/><Relationship Id="rId36" Type="http://schemas.openxmlformats.org/officeDocument/2006/relationships/table" Target="../tables/table270.xml"/><Relationship Id="rId10" Type="http://schemas.openxmlformats.org/officeDocument/2006/relationships/table" Target="../tables/table244.xml"/><Relationship Id="rId19" Type="http://schemas.openxmlformats.org/officeDocument/2006/relationships/table" Target="../tables/table253.xml"/><Relationship Id="rId31" Type="http://schemas.openxmlformats.org/officeDocument/2006/relationships/table" Target="../tables/table265.xml"/><Relationship Id="rId4" Type="http://schemas.openxmlformats.org/officeDocument/2006/relationships/table" Target="../tables/table238.xml"/><Relationship Id="rId9" Type="http://schemas.openxmlformats.org/officeDocument/2006/relationships/table" Target="../tables/table243.xml"/><Relationship Id="rId14" Type="http://schemas.openxmlformats.org/officeDocument/2006/relationships/table" Target="../tables/table248.xml"/><Relationship Id="rId22" Type="http://schemas.openxmlformats.org/officeDocument/2006/relationships/table" Target="../tables/table256.xml"/><Relationship Id="rId27" Type="http://schemas.openxmlformats.org/officeDocument/2006/relationships/table" Target="../tables/table261.xml"/><Relationship Id="rId30" Type="http://schemas.openxmlformats.org/officeDocument/2006/relationships/table" Target="../tables/table264.xml"/><Relationship Id="rId35" Type="http://schemas.openxmlformats.org/officeDocument/2006/relationships/table" Target="../tables/table269.xml"/><Relationship Id="rId8" Type="http://schemas.openxmlformats.org/officeDocument/2006/relationships/table" Target="../tables/table242.xml"/><Relationship Id="rId3" Type="http://schemas.openxmlformats.org/officeDocument/2006/relationships/table" Target="../tables/table237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283.xml"/><Relationship Id="rId18" Type="http://schemas.openxmlformats.org/officeDocument/2006/relationships/table" Target="../tables/table288.xml"/><Relationship Id="rId26" Type="http://schemas.openxmlformats.org/officeDocument/2006/relationships/table" Target="../tables/table296.xml"/><Relationship Id="rId21" Type="http://schemas.openxmlformats.org/officeDocument/2006/relationships/table" Target="../tables/table291.xml"/><Relationship Id="rId34" Type="http://schemas.openxmlformats.org/officeDocument/2006/relationships/table" Target="../tables/table304.xml"/><Relationship Id="rId7" Type="http://schemas.openxmlformats.org/officeDocument/2006/relationships/table" Target="../tables/table277.xml"/><Relationship Id="rId12" Type="http://schemas.openxmlformats.org/officeDocument/2006/relationships/table" Target="../tables/table282.xml"/><Relationship Id="rId17" Type="http://schemas.openxmlformats.org/officeDocument/2006/relationships/table" Target="../tables/table287.xml"/><Relationship Id="rId25" Type="http://schemas.openxmlformats.org/officeDocument/2006/relationships/table" Target="../tables/table295.xml"/><Relationship Id="rId33" Type="http://schemas.openxmlformats.org/officeDocument/2006/relationships/table" Target="../tables/table303.xml"/><Relationship Id="rId2" Type="http://schemas.openxmlformats.org/officeDocument/2006/relationships/table" Target="../tables/table272.xml"/><Relationship Id="rId16" Type="http://schemas.openxmlformats.org/officeDocument/2006/relationships/table" Target="../tables/table286.xml"/><Relationship Id="rId20" Type="http://schemas.openxmlformats.org/officeDocument/2006/relationships/table" Target="../tables/table290.xml"/><Relationship Id="rId29" Type="http://schemas.openxmlformats.org/officeDocument/2006/relationships/table" Target="../tables/table299.xml"/><Relationship Id="rId1" Type="http://schemas.openxmlformats.org/officeDocument/2006/relationships/printerSettings" Target="../printerSettings/printerSettings15.bin"/><Relationship Id="rId6" Type="http://schemas.openxmlformats.org/officeDocument/2006/relationships/table" Target="../tables/table276.xml"/><Relationship Id="rId11" Type="http://schemas.openxmlformats.org/officeDocument/2006/relationships/table" Target="../tables/table281.xml"/><Relationship Id="rId24" Type="http://schemas.openxmlformats.org/officeDocument/2006/relationships/table" Target="../tables/table294.xml"/><Relationship Id="rId32" Type="http://schemas.openxmlformats.org/officeDocument/2006/relationships/table" Target="../tables/table302.xml"/><Relationship Id="rId37" Type="http://schemas.openxmlformats.org/officeDocument/2006/relationships/table" Target="../tables/table307.xml"/><Relationship Id="rId5" Type="http://schemas.openxmlformats.org/officeDocument/2006/relationships/table" Target="../tables/table275.xml"/><Relationship Id="rId15" Type="http://schemas.openxmlformats.org/officeDocument/2006/relationships/table" Target="../tables/table285.xml"/><Relationship Id="rId23" Type="http://schemas.openxmlformats.org/officeDocument/2006/relationships/table" Target="../tables/table293.xml"/><Relationship Id="rId28" Type="http://schemas.openxmlformats.org/officeDocument/2006/relationships/table" Target="../tables/table298.xml"/><Relationship Id="rId36" Type="http://schemas.openxmlformats.org/officeDocument/2006/relationships/table" Target="../tables/table306.xml"/><Relationship Id="rId10" Type="http://schemas.openxmlformats.org/officeDocument/2006/relationships/table" Target="../tables/table280.xml"/><Relationship Id="rId19" Type="http://schemas.openxmlformats.org/officeDocument/2006/relationships/table" Target="../tables/table289.xml"/><Relationship Id="rId31" Type="http://schemas.openxmlformats.org/officeDocument/2006/relationships/table" Target="../tables/table301.xml"/><Relationship Id="rId4" Type="http://schemas.openxmlformats.org/officeDocument/2006/relationships/table" Target="../tables/table274.xml"/><Relationship Id="rId9" Type="http://schemas.openxmlformats.org/officeDocument/2006/relationships/table" Target="../tables/table279.xml"/><Relationship Id="rId14" Type="http://schemas.openxmlformats.org/officeDocument/2006/relationships/table" Target="../tables/table284.xml"/><Relationship Id="rId22" Type="http://schemas.openxmlformats.org/officeDocument/2006/relationships/table" Target="../tables/table292.xml"/><Relationship Id="rId27" Type="http://schemas.openxmlformats.org/officeDocument/2006/relationships/table" Target="../tables/table297.xml"/><Relationship Id="rId30" Type="http://schemas.openxmlformats.org/officeDocument/2006/relationships/table" Target="../tables/table300.xml"/><Relationship Id="rId35" Type="http://schemas.openxmlformats.org/officeDocument/2006/relationships/table" Target="../tables/table305.xml"/><Relationship Id="rId8" Type="http://schemas.openxmlformats.org/officeDocument/2006/relationships/table" Target="../tables/table278.xml"/><Relationship Id="rId3" Type="http://schemas.openxmlformats.org/officeDocument/2006/relationships/table" Target="../tables/table27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11"/>
  <sheetViews>
    <sheetView topLeftCell="A160" workbookViewId="0">
      <selection activeCell="AL202" sqref="AL202"/>
    </sheetView>
  </sheetViews>
  <sheetFormatPr defaultRowHeight="15" x14ac:dyDescent="0.25"/>
  <cols>
    <col min="1" max="1" width="38.42578125" bestFit="1" customWidth="1"/>
    <col min="2" max="2" width="8.28515625" bestFit="1" customWidth="1"/>
    <col min="3" max="3" width="11.42578125" bestFit="1" customWidth="1"/>
    <col min="4" max="4" width="14" hidden="1" customWidth="1"/>
    <col min="5" max="5" width="13.7109375" hidden="1" customWidth="1"/>
    <col min="6" max="6" width="13.28515625" hidden="1" customWidth="1"/>
    <col min="7" max="7" width="18.42578125" hidden="1" customWidth="1"/>
    <col min="8" max="8" width="19.140625" hidden="1" customWidth="1"/>
    <col min="9" max="9" width="18" hidden="1" customWidth="1"/>
    <col min="10" max="10" width="18.42578125" hidden="1" customWidth="1"/>
    <col min="11" max="11" width="11.42578125" bestFit="1" customWidth="1"/>
    <col min="12" max="12" width="14" hidden="1" customWidth="1"/>
    <col min="13" max="13" width="13.7109375" hidden="1" customWidth="1"/>
    <col min="14" max="14" width="13.28515625" hidden="1" customWidth="1"/>
    <col min="15" max="15" width="18.42578125" hidden="1" customWidth="1"/>
    <col min="16" max="16" width="19.140625" hidden="1" customWidth="1"/>
    <col min="17" max="17" width="19.42578125" hidden="1" customWidth="1"/>
    <col min="18" max="18" width="18" hidden="1" customWidth="1"/>
    <col min="19" max="19" width="11.42578125" bestFit="1" customWidth="1"/>
    <col min="20" max="20" width="12.140625" hidden="1" customWidth="1"/>
    <col min="21" max="21" width="11.85546875" hidden="1" customWidth="1"/>
    <col min="22" max="22" width="11.42578125" hidden="1" customWidth="1"/>
    <col min="23" max="23" width="18.42578125" hidden="1" customWidth="1"/>
    <col min="24" max="24" width="18.7109375" hidden="1" customWidth="1"/>
    <col min="25" max="25" width="20.7109375" hidden="1" customWidth="1"/>
    <col min="26" max="26" width="17.28515625" hidden="1" customWidth="1"/>
    <col min="27" max="27" width="11.42578125" bestFit="1" customWidth="1"/>
    <col min="28" max="28" width="12.140625" hidden="1" customWidth="1"/>
    <col min="29" max="29" width="11.85546875" hidden="1" customWidth="1"/>
    <col min="30" max="30" width="11.42578125" hidden="1" customWidth="1"/>
    <col min="31" max="31" width="24" hidden="1" customWidth="1"/>
    <col min="32" max="32" width="19.140625" hidden="1" customWidth="1"/>
    <col min="33" max="33" width="19.42578125" hidden="1" customWidth="1"/>
    <col min="34" max="34" width="16.140625" hidden="1" customWidth="1"/>
    <col min="35" max="35" width="9.85546875" bestFit="1" customWidth="1"/>
    <col min="36" max="36" width="7.85546875" bestFit="1" customWidth="1"/>
  </cols>
  <sheetData>
    <row r="1" spans="1:36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119</v>
      </c>
      <c r="AG1" t="s">
        <v>30</v>
      </c>
      <c r="AH1" t="s">
        <v>31</v>
      </c>
      <c r="AI1" t="s">
        <v>64</v>
      </c>
      <c r="AJ1" t="s">
        <v>32</v>
      </c>
    </row>
    <row r="2" spans="1:36" x14ac:dyDescent="0.25">
      <c r="A2" t="s">
        <v>227</v>
      </c>
      <c r="B2">
        <v>1</v>
      </c>
      <c r="C2" t="s">
        <v>48</v>
      </c>
      <c r="D2">
        <v>2</v>
      </c>
      <c r="F2">
        <v>1</v>
      </c>
      <c r="G2" t="s">
        <v>49</v>
      </c>
      <c r="K2" t="s">
        <v>43</v>
      </c>
      <c r="L2">
        <v>3</v>
      </c>
      <c r="N2">
        <v>1</v>
      </c>
      <c r="O2" t="s">
        <v>135</v>
      </c>
      <c r="P2" t="s">
        <v>74</v>
      </c>
      <c r="Q2" t="s">
        <v>100</v>
      </c>
      <c r="S2" t="s">
        <v>53</v>
      </c>
      <c r="T2">
        <v>1</v>
      </c>
      <c r="U2">
        <v>1</v>
      </c>
      <c r="V2">
        <v>1</v>
      </c>
      <c r="W2" t="s">
        <v>54</v>
      </c>
      <c r="AA2" t="s">
        <v>56</v>
      </c>
      <c r="AB2">
        <v>3</v>
      </c>
      <c r="AD2">
        <v>1</v>
      </c>
      <c r="AE2" t="s">
        <v>57</v>
      </c>
      <c r="AF2" t="s">
        <v>122</v>
      </c>
      <c r="AI2">
        <v>8</v>
      </c>
      <c r="AJ2">
        <v>25</v>
      </c>
    </row>
    <row r="3" spans="1:36" x14ac:dyDescent="0.25">
      <c r="A3" t="s">
        <v>228</v>
      </c>
      <c r="B3">
        <v>3</v>
      </c>
      <c r="C3" t="s">
        <v>53</v>
      </c>
      <c r="D3">
        <v>2</v>
      </c>
      <c r="E3">
        <v>1</v>
      </c>
      <c r="F3">
        <v>1</v>
      </c>
      <c r="G3" t="s">
        <v>111</v>
      </c>
      <c r="K3" t="s">
        <v>56</v>
      </c>
      <c r="L3">
        <v>1</v>
      </c>
      <c r="N3">
        <v>1</v>
      </c>
      <c r="O3" t="s">
        <v>57</v>
      </c>
      <c r="P3" t="s">
        <v>122</v>
      </c>
      <c r="Q3" t="s">
        <v>85</v>
      </c>
      <c r="S3" t="s">
        <v>48</v>
      </c>
      <c r="T3">
        <v>2</v>
      </c>
      <c r="V3">
        <v>1</v>
      </c>
      <c r="W3" t="s">
        <v>49</v>
      </c>
      <c r="AA3" t="s">
        <v>63</v>
      </c>
      <c r="AB3">
        <v>1</v>
      </c>
      <c r="AD3">
        <v>1</v>
      </c>
      <c r="AE3" t="s">
        <v>103</v>
      </c>
      <c r="AF3" t="s">
        <v>95</v>
      </c>
      <c r="AG3" t="s">
        <v>104</v>
      </c>
      <c r="AI3">
        <v>6</v>
      </c>
      <c r="AJ3">
        <v>27</v>
      </c>
    </row>
    <row r="4" spans="1:36" x14ac:dyDescent="0.25">
      <c r="A4" t="s">
        <v>229</v>
      </c>
      <c r="B4">
        <v>4</v>
      </c>
      <c r="C4" t="s">
        <v>48</v>
      </c>
      <c r="D4">
        <v>3</v>
      </c>
      <c r="F4">
        <v>3</v>
      </c>
      <c r="G4" t="s">
        <v>89</v>
      </c>
      <c r="K4" t="s">
        <v>38</v>
      </c>
      <c r="L4">
        <v>1</v>
      </c>
      <c r="M4">
        <v>2</v>
      </c>
      <c r="N4">
        <v>3</v>
      </c>
      <c r="O4" t="s">
        <v>152</v>
      </c>
      <c r="S4" t="s">
        <v>53</v>
      </c>
      <c r="T4">
        <v>1</v>
      </c>
      <c r="U4">
        <v>1</v>
      </c>
      <c r="V4">
        <v>1</v>
      </c>
      <c r="W4" t="s">
        <v>111</v>
      </c>
      <c r="AA4" t="s">
        <v>56</v>
      </c>
      <c r="AB4">
        <v>3</v>
      </c>
      <c r="AD4">
        <v>1</v>
      </c>
      <c r="AE4" t="s">
        <v>57</v>
      </c>
      <c r="AF4" t="s">
        <v>122</v>
      </c>
      <c r="AG4" t="s">
        <v>85</v>
      </c>
      <c r="AH4" t="s">
        <v>125</v>
      </c>
      <c r="AI4">
        <v>12</v>
      </c>
      <c r="AJ4">
        <v>37</v>
      </c>
    </row>
    <row r="5" spans="1:36" x14ac:dyDescent="0.25">
      <c r="A5" t="s">
        <v>230</v>
      </c>
      <c r="B5">
        <v>5</v>
      </c>
      <c r="C5" t="s">
        <v>33</v>
      </c>
      <c r="D5">
        <v>2</v>
      </c>
      <c r="F5">
        <v>2</v>
      </c>
      <c r="G5" t="s">
        <v>46</v>
      </c>
      <c r="K5" t="s">
        <v>43</v>
      </c>
      <c r="L5">
        <v>1</v>
      </c>
      <c r="N5">
        <v>1</v>
      </c>
      <c r="O5" t="s">
        <v>135</v>
      </c>
      <c r="P5" t="s">
        <v>74</v>
      </c>
      <c r="S5" t="s">
        <v>53</v>
      </c>
      <c r="T5">
        <v>1</v>
      </c>
      <c r="U5">
        <v>1</v>
      </c>
      <c r="V5">
        <v>2</v>
      </c>
      <c r="W5" t="s">
        <v>111</v>
      </c>
      <c r="X5" t="s">
        <v>83</v>
      </c>
      <c r="Y5" t="s">
        <v>97</v>
      </c>
      <c r="AA5" t="s">
        <v>56</v>
      </c>
      <c r="AB5">
        <v>1</v>
      </c>
      <c r="AD5">
        <v>1</v>
      </c>
      <c r="AE5" t="s">
        <v>68</v>
      </c>
      <c r="AF5" t="s">
        <v>69</v>
      </c>
      <c r="AI5">
        <v>7</v>
      </c>
      <c r="AJ5">
        <v>38</v>
      </c>
    </row>
    <row r="6" spans="1:36" x14ac:dyDescent="0.25">
      <c r="A6" t="s">
        <v>231</v>
      </c>
      <c r="B6">
        <v>6</v>
      </c>
      <c r="C6" t="s">
        <v>33</v>
      </c>
      <c r="D6">
        <v>1</v>
      </c>
      <c r="F6">
        <v>1</v>
      </c>
      <c r="G6" t="s">
        <v>46</v>
      </c>
      <c r="K6" t="s">
        <v>45</v>
      </c>
      <c r="L6">
        <v>3</v>
      </c>
      <c r="N6">
        <v>1</v>
      </c>
      <c r="O6" t="s">
        <v>47</v>
      </c>
      <c r="P6" t="s">
        <v>76</v>
      </c>
      <c r="S6" t="s">
        <v>53</v>
      </c>
      <c r="T6">
        <v>2</v>
      </c>
      <c r="U6">
        <v>3</v>
      </c>
      <c r="V6">
        <v>1</v>
      </c>
      <c r="W6" t="s">
        <v>111</v>
      </c>
      <c r="X6" t="s">
        <v>55</v>
      </c>
      <c r="Y6" t="s">
        <v>97</v>
      </c>
      <c r="AA6" t="s">
        <v>56</v>
      </c>
      <c r="AB6">
        <v>1</v>
      </c>
      <c r="AD6">
        <v>1</v>
      </c>
      <c r="AE6" t="s">
        <v>68</v>
      </c>
      <c r="AI6">
        <v>8</v>
      </c>
      <c r="AJ6">
        <v>38</v>
      </c>
    </row>
    <row r="7" spans="1:36" x14ac:dyDescent="0.25">
      <c r="A7" t="s">
        <v>232</v>
      </c>
      <c r="B7">
        <v>7</v>
      </c>
      <c r="C7" t="s">
        <v>33</v>
      </c>
      <c r="D7">
        <v>2</v>
      </c>
      <c r="F7">
        <v>3</v>
      </c>
      <c r="G7" t="s">
        <v>46</v>
      </c>
      <c r="K7" t="s">
        <v>63</v>
      </c>
      <c r="L7">
        <v>2</v>
      </c>
      <c r="N7">
        <v>1</v>
      </c>
      <c r="O7" t="s">
        <v>103</v>
      </c>
      <c r="S7" t="s">
        <v>53</v>
      </c>
      <c r="T7">
        <v>1</v>
      </c>
      <c r="U7">
        <v>1</v>
      </c>
      <c r="V7">
        <v>1</v>
      </c>
      <c r="W7" t="s">
        <v>54</v>
      </c>
      <c r="AA7" t="s">
        <v>56</v>
      </c>
      <c r="AB7">
        <v>3</v>
      </c>
      <c r="AD7">
        <v>2</v>
      </c>
      <c r="AE7" t="s">
        <v>57</v>
      </c>
      <c r="AI7">
        <v>7</v>
      </c>
      <c r="AJ7">
        <v>28</v>
      </c>
    </row>
    <row r="8" spans="1:36" x14ac:dyDescent="0.25">
      <c r="A8" t="s">
        <v>233</v>
      </c>
      <c r="B8">
        <v>8</v>
      </c>
      <c r="C8" t="s">
        <v>33</v>
      </c>
      <c r="D8">
        <v>2</v>
      </c>
      <c r="F8">
        <v>1</v>
      </c>
      <c r="G8" t="s">
        <v>46</v>
      </c>
      <c r="K8" t="s">
        <v>38</v>
      </c>
      <c r="L8">
        <v>1</v>
      </c>
      <c r="M8">
        <v>1</v>
      </c>
      <c r="N8">
        <v>1</v>
      </c>
      <c r="O8" t="s">
        <v>152</v>
      </c>
      <c r="S8" t="s">
        <v>53</v>
      </c>
      <c r="T8">
        <v>2</v>
      </c>
      <c r="U8">
        <v>1</v>
      </c>
      <c r="V8">
        <v>1</v>
      </c>
      <c r="W8" t="s">
        <v>111</v>
      </c>
      <c r="AA8" t="s">
        <v>56</v>
      </c>
      <c r="AB8">
        <v>2</v>
      </c>
      <c r="AD8">
        <v>1</v>
      </c>
      <c r="AE8" t="s">
        <v>68</v>
      </c>
      <c r="AF8" t="s">
        <v>69</v>
      </c>
      <c r="AI8">
        <v>4</v>
      </c>
      <c r="AJ8">
        <v>26</v>
      </c>
    </row>
    <row r="9" spans="1:36" x14ac:dyDescent="0.25">
      <c r="A9" t="s">
        <v>234</v>
      </c>
      <c r="B9">
        <v>9</v>
      </c>
      <c r="C9" t="s">
        <v>43</v>
      </c>
      <c r="D9">
        <v>2</v>
      </c>
      <c r="F9">
        <v>1</v>
      </c>
      <c r="G9" t="s">
        <v>135</v>
      </c>
      <c r="H9" t="s">
        <v>74</v>
      </c>
      <c r="K9" t="s">
        <v>45</v>
      </c>
      <c r="L9">
        <v>3</v>
      </c>
      <c r="N9">
        <v>2</v>
      </c>
      <c r="O9" t="s">
        <v>47</v>
      </c>
      <c r="S9" t="s">
        <v>53</v>
      </c>
      <c r="T9">
        <v>1</v>
      </c>
      <c r="U9">
        <v>1</v>
      </c>
      <c r="V9">
        <v>1</v>
      </c>
      <c r="W9" t="s">
        <v>111</v>
      </c>
      <c r="X9" t="s">
        <v>113</v>
      </c>
      <c r="AA9" t="s">
        <v>56</v>
      </c>
      <c r="AB9">
        <v>3</v>
      </c>
      <c r="AD9">
        <v>1</v>
      </c>
      <c r="AE9" t="s">
        <v>68</v>
      </c>
      <c r="AF9" t="s">
        <v>122</v>
      </c>
      <c r="AI9">
        <v>9</v>
      </c>
      <c r="AJ9">
        <v>43</v>
      </c>
    </row>
    <row r="10" spans="1:36" x14ac:dyDescent="0.25">
      <c r="A10" t="s">
        <v>235</v>
      </c>
      <c r="B10">
        <v>10</v>
      </c>
      <c r="C10" t="s">
        <v>43</v>
      </c>
      <c r="D10">
        <v>2</v>
      </c>
      <c r="F10">
        <v>1</v>
      </c>
      <c r="G10" t="s">
        <v>135</v>
      </c>
      <c r="H10" t="s">
        <v>74</v>
      </c>
      <c r="I10" t="s">
        <v>75</v>
      </c>
      <c r="K10" t="s">
        <v>63</v>
      </c>
      <c r="L10">
        <v>1</v>
      </c>
      <c r="N10">
        <v>1</v>
      </c>
      <c r="O10" t="s">
        <v>103</v>
      </c>
      <c r="P10" t="s">
        <v>146</v>
      </c>
      <c r="S10" t="s">
        <v>53</v>
      </c>
      <c r="T10">
        <v>1</v>
      </c>
      <c r="U10">
        <v>1</v>
      </c>
      <c r="V10">
        <v>1</v>
      </c>
      <c r="W10" t="s">
        <v>54</v>
      </c>
      <c r="AA10" t="s">
        <v>56</v>
      </c>
      <c r="AB10">
        <v>2</v>
      </c>
      <c r="AD10">
        <v>1</v>
      </c>
      <c r="AE10" t="s">
        <v>57</v>
      </c>
      <c r="AI10">
        <v>5</v>
      </c>
      <c r="AJ10">
        <v>23</v>
      </c>
    </row>
    <row r="11" spans="1:36" x14ac:dyDescent="0.25">
      <c r="A11" t="s">
        <v>236</v>
      </c>
      <c r="B11">
        <v>11</v>
      </c>
      <c r="C11" t="s">
        <v>43</v>
      </c>
      <c r="D11">
        <v>2</v>
      </c>
      <c r="F11">
        <v>3</v>
      </c>
      <c r="G11" t="s">
        <v>135</v>
      </c>
      <c r="H11" t="s">
        <v>74</v>
      </c>
      <c r="I11" t="s">
        <v>137</v>
      </c>
      <c r="K11" t="s">
        <v>38</v>
      </c>
      <c r="L11">
        <v>1</v>
      </c>
      <c r="M11">
        <v>1</v>
      </c>
      <c r="N11">
        <v>1</v>
      </c>
      <c r="O11" t="s">
        <v>152</v>
      </c>
      <c r="S11" t="s">
        <v>53</v>
      </c>
      <c r="T11">
        <v>2</v>
      </c>
      <c r="U11">
        <v>1</v>
      </c>
      <c r="V11">
        <v>1</v>
      </c>
      <c r="W11" t="s">
        <v>111</v>
      </c>
      <c r="X11" t="s">
        <v>55</v>
      </c>
      <c r="Y11" t="s">
        <v>105</v>
      </c>
      <c r="Z11" t="s">
        <v>98</v>
      </c>
      <c r="AA11" t="s">
        <v>56</v>
      </c>
      <c r="AB11">
        <v>1</v>
      </c>
      <c r="AD11">
        <v>1</v>
      </c>
      <c r="AE11" t="s">
        <v>68</v>
      </c>
      <c r="AI11">
        <v>9</v>
      </c>
      <c r="AJ11">
        <v>35</v>
      </c>
    </row>
    <row r="12" spans="1:36" x14ac:dyDescent="0.25">
      <c r="A12" t="s">
        <v>237</v>
      </c>
      <c r="B12">
        <v>12</v>
      </c>
      <c r="C12" t="s">
        <v>45</v>
      </c>
      <c r="D12">
        <v>2</v>
      </c>
      <c r="F12">
        <v>1</v>
      </c>
      <c r="G12" t="s">
        <v>47</v>
      </c>
      <c r="K12" t="s">
        <v>63</v>
      </c>
      <c r="L12">
        <v>1</v>
      </c>
      <c r="N12">
        <v>1</v>
      </c>
      <c r="O12" t="s">
        <v>103</v>
      </c>
      <c r="P12" t="s">
        <v>95</v>
      </c>
      <c r="S12" t="s">
        <v>53</v>
      </c>
      <c r="T12">
        <v>2</v>
      </c>
      <c r="U12">
        <v>2</v>
      </c>
      <c r="V12">
        <v>1</v>
      </c>
      <c r="W12" t="s">
        <v>111</v>
      </c>
      <c r="X12" t="s">
        <v>83</v>
      </c>
      <c r="AA12" t="s">
        <v>56</v>
      </c>
      <c r="AB12">
        <v>1</v>
      </c>
      <c r="AD12">
        <v>1</v>
      </c>
      <c r="AE12" t="s">
        <v>57</v>
      </c>
      <c r="AI12">
        <v>5</v>
      </c>
      <c r="AJ12">
        <v>26</v>
      </c>
    </row>
    <row r="13" spans="1:36" x14ac:dyDescent="0.25">
      <c r="A13" t="s">
        <v>238</v>
      </c>
      <c r="B13">
        <v>13</v>
      </c>
      <c r="C13" t="s">
        <v>53</v>
      </c>
      <c r="D13">
        <v>3</v>
      </c>
      <c r="E13">
        <v>1</v>
      </c>
      <c r="F13">
        <v>1</v>
      </c>
      <c r="G13" t="s">
        <v>111</v>
      </c>
      <c r="H13" t="s">
        <v>55</v>
      </c>
      <c r="I13" t="s">
        <v>97</v>
      </c>
      <c r="K13" t="s">
        <v>56</v>
      </c>
      <c r="L13">
        <v>2</v>
      </c>
      <c r="N13">
        <v>2</v>
      </c>
      <c r="O13" t="s">
        <v>68</v>
      </c>
      <c r="S13" t="s">
        <v>45</v>
      </c>
      <c r="T13">
        <v>3</v>
      </c>
      <c r="V13">
        <v>2</v>
      </c>
      <c r="W13" t="s">
        <v>86</v>
      </c>
      <c r="AA13" t="s">
        <v>38</v>
      </c>
      <c r="AB13">
        <v>1</v>
      </c>
      <c r="AC13">
        <v>1</v>
      </c>
      <c r="AD13">
        <v>1</v>
      </c>
      <c r="AE13" t="s">
        <v>152</v>
      </c>
      <c r="AI13">
        <v>9</v>
      </c>
      <c r="AJ13">
        <v>32</v>
      </c>
    </row>
    <row r="14" spans="1:36" x14ac:dyDescent="0.25">
      <c r="A14" t="s">
        <v>239</v>
      </c>
      <c r="B14">
        <v>14</v>
      </c>
      <c r="C14" t="s">
        <v>63</v>
      </c>
      <c r="D14">
        <v>2</v>
      </c>
      <c r="F14">
        <v>1</v>
      </c>
      <c r="G14" t="s">
        <v>103</v>
      </c>
      <c r="H14" t="s">
        <v>95</v>
      </c>
      <c r="K14" t="s">
        <v>38</v>
      </c>
      <c r="L14">
        <v>1</v>
      </c>
      <c r="M14">
        <v>1</v>
      </c>
      <c r="N14">
        <v>2</v>
      </c>
      <c r="O14" t="s">
        <v>152</v>
      </c>
      <c r="S14" t="s">
        <v>53</v>
      </c>
      <c r="T14">
        <v>1</v>
      </c>
      <c r="U14">
        <v>1</v>
      </c>
      <c r="V14">
        <v>1</v>
      </c>
      <c r="W14" t="s">
        <v>54</v>
      </c>
      <c r="AA14" t="s">
        <v>56</v>
      </c>
      <c r="AB14">
        <v>2</v>
      </c>
      <c r="AD14">
        <v>1</v>
      </c>
      <c r="AE14" t="s">
        <v>57</v>
      </c>
      <c r="AF14" t="s">
        <v>122</v>
      </c>
      <c r="AG14" t="s">
        <v>85</v>
      </c>
      <c r="AI14">
        <v>6</v>
      </c>
      <c r="AJ14">
        <v>23</v>
      </c>
    </row>
    <row r="15" spans="1:36" x14ac:dyDescent="0.25">
      <c r="A15" t="s">
        <v>240</v>
      </c>
      <c r="B15">
        <v>15</v>
      </c>
      <c r="C15" t="s">
        <v>56</v>
      </c>
      <c r="D15">
        <v>1</v>
      </c>
      <c r="F15">
        <v>1</v>
      </c>
      <c r="G15" t="s">
        <v>57</v>
      </c>
      <c r="K15" t="s">
        <v>33</v>
      </c>
      <c r="L15">
        <v>1</v>
      </c>
      <c r="N15">
        <v>3</v>
      </c>
      <c r="O15" t="s">
        <v>46</v>
      </c>
      <c r="S15" t="s">
        <v>53</v>
      </c>
      <c r="T15">
        <v>2</v>
      </c>
      <c r="U15">
        <v>1</v>
      </c>
      <c r="V15">
        <v>1</v>
      </c>
      <c r="W15" t="s">
        <v>111</v>
      </c>
      <c r="AA15" t="s">
        <v>48</v>
      </c>
      <c r="AB15">
        <v>3</v>
      </c>
      <c r="AD15">
        <v>1</v>
      </c>
      <c r="AE15" t="s">
        <v>89</v>
      </c>
      <c r="AI15">
        <v>5</v>
      </c>
      <c r="AJ15">
        <v>26</v>
      </c>
    </row>
    <row r="16" spans="1:36" x14ac:dyDescent="0.25">
      <c r="A16" t="s">
        <v>241</v>
      </c>
      <c r="B16">
        <v>16</v>
      </c>
      <c r="C16" t="s">
        <v>56</v>
      </c>
      <c r="D16">
        <v>1</v>
      </c>
      <c r="F16">
        <v>1</v>
      </c>
      <c r="G16" t="s">
        <v>57</v>
      </c>
      <c r="K16" t="s">
        <v>43</v>
      </c>
      <c r="L16">
        <v>3</v>
      </c>
      <c r="N16">
        <v>1</v>
      </c>
      <c r="O16" t="s">
        <v>135</v>
      </c>
      <c r="P16" t="s">
        <v>74</v>
      </c>
      <c r="Q16" t="s">
        <v>137</v>
      </c>
      <c r="S16" t="s">
        <v>53</v>
      </c>
      <c r="T16">
        <v>2</v>
      </c>
      <c r="U16">
        <v>1</v>
      </c>
      <c r="V16">
        <v>1</v>
      </c>
      <c r="W16" t="s">
        <v>54</v>
      </c>
      <c r="X16" t="s">
        <v>113</v>
      </c>
      <c r="AA16" t="s">
        <v>48</v>
      </c>
      <c r="AB16">
        <v>3</v>
      </c>
      <c r="AD16">
        <v>2</v>
      </c>
      <c r="AE16" t="s">
        <v>89</v>
      </c>
      <c r="AI16">
        <v>9</v>
      </c>
      <c r="AJ16">
        <v>26</v>
      </c>
    </row>
    <row r="17" spans="1:36" x14ac:dyDescent="0.25">
      <c r="A17" t="s">
        <v>242</v>
      </c>
      <c r="B17">
        <v>17</v>
      </c>
      <c r="C17" t="s">
        <v>53</v>
      </c>
      <c r="D17">
        <v>2</v>
      </c>
      <c r="E17">
        <v>1</v>
      </c>
      <c r="F17">
        <v>2</v>
      </c>
      <c r="G17" t="s">
        <v>54</v>
      </c>
      <c r="H17" t="s">
        <v>83</v>
      </c>
      <c r="K17" t="s">
        <v>48</v>
      </c>
      <c r="L17">
        <v>1</v>
      </c>
      <c r="N17">
        <v>1</v>
      </c>
      <c r="O17" t="s">
        <v>89</v>
      </c>
      <c r="S17" t="s">
        <v>56</v>
      </c>
      <c r="T17">
        <v>2</v>
      </c>
      <c r="V17">
        <v>1</v>
      </c>
      <c r="W17" t="s">
        <v>57</v>
      </c>
      <c r="X17" t="s">
        <v>122</v>
      </c>
      <c r="Y17" t="s">
        <v>85</v>
      </c>
      <c r="AA17" t="s">
        <v>45</v>
      </c>
      <c r="AB17">
        <v>2</v>
      </c>
      <c r="AD17">
        <v>1</v>
      </c>
      <c r="AE17" t="s">
        <v>47</v>
      </c>
      <c r="AI17">
        <v>7</v>
      </c>
      <c r="AJ17">
        <v>26</v>
      </c>
    </row>
    <row r="18" spans="1:36" x14ac:dyDescent="0.25">
      <c r="A18" t="s">
        <v>243</v>
      </c>
      <c r="B18">
        <v>18</v>
      </c>
      <c r="C18" t="s">
        <v>56</v>
      </c>
      <c r="D18">
        <v>1</v>
      </c>
      <c r="F18">
        <v>1</v>
      </c>
      <c r="G18" t="s">
        <v>57</v>
      </c>
      <c r="H18" t="s">
        <v>122</v>
      </c>
      <c r="K18" t="s">
        <v>63</v>
      </c>
      <c r="L18">
        <v>1</v>
      </c>
      <c r="N18">
        <v>1</v>
      </c>
      <c r="O18" t="s">
        <v>103</v>
      </c>
      <c r="P18" t="s">
        <v>95</v>
      </c>
      <c r="S18" t="s">
        <v>53</v>
      </c>
      <c r="T18">
        <v>1</v>
      </c>
      <c r="U18">
        <v>1</v>
      </c>
      <c r="V18">
        <v>1</v>
      </c>
      <c r="W18" t="s">
        <v>54</v>
      </c>
      <c r="AA18" t="s">
        <v>48</v>
      </c>
      <c r="AB18">
        <v>1</v>
      </c>
      <c r="AD18">
        <v>1</v>
      </c>
      <c r="AE18" t="s">
        <v>49</v>
      </c>
      <c r="AF18" t="s">
        <v>84</v>
      </c>
      <c r="AG18" t="s">
        <v>127</v>
      </c>
      <c r="AI18">
        <v>4</v>
      </c>
      <c r="AJ18">
        <v>24</v>
      </c>
    </row>
    <row r="19" spans="1:36" x14ac:dyDescent="0.25">
      <c r="A19" t="s">
        <v>244</v>
      </c>
      <c r="B19">
        <v>19</v>
      </c>
      <c r="C19" t="s">
        <v>56</v>
      </c>
      <c r="D19">
        <v>3</v>
      </c>
      <c r="F19">
        <v>1</v>
      </c>
      <c r="G19" t="s">
        <v>57</v>
      </c>
      <c r="H19" t="s">
        <v>122</v>
      </c>
      <c r="K19" t="s">
        <v>38</v>
      </c>
      <c r="L19">
        <v>1</v>
      </c>
      <c r="M19">
        <v>1</v>
      </c>
      <c r="N19">
        <v>1</v>
      </c>
      <c r="O19" t="s">
        <v>152</v>
      </c>
      <c r="P19" t="s">
        <v>70</v>
      </c>
      <c r="S19" t="s">
        <v>53</v>
      </c>
      <c r="T19">
        <v>2</v>
      </c>
      <c r="U19">
        <v>1</v>
      </c>
      <c r="V19">
        <v>2</v>
      </c>
      <c r="W19" t="s">
        <v>54</v>
      </c>
      <c r="X19" t="s">
        <v>55</v>
      </c>
      <c r="AA19" t="s">
        <v>48</v>
      </c>
      <c r="AB19">
        <v>2</v>
      </c>
      <c r="AD19">
        <v>1</v>
      </c>
      <c r="AE19" t="s">
        <v>89</v>
      </c>
      <c r="AI19">
        <v>8</v>
      </c>
      <c r="AJ19">
        <v>23</v>
      </c>
    </row>
    <row r="20" spans="1:36" x14ac:dyDescent="0.25">
      <c r="A20" t="s">
        <v>245</v>
      </c>
      <c r="B20">
        <v>20</v>
      </c>
      <c r="C20" t="s">
        <v>33</v>
      </c>
      <c r="D20">
        <v>1</v>
      </c>
      <c r="F20">
        <v>1</v>
      </c>
      <c r="G20" t="s">
        <v>46</v>
      </c>
      <c r="K20" t="s">
        <v>43</v>
      </c>
      <c r="L20">
        <v>2</v>
      </c>
      <c r="N20">
        <v>2</v>
      </c>
      <c r="O20" t="s">
        <v>135</v>
      </c>
      <c r="P20" t="s">
        <v>74</v>
      </c>
      <c r="S20" t="s">
        <v>53</v>
      </c>
      <c r="T20">
        <v>1</v>
      </c>
      <c r="U20">
        <v>3</v>
      </c>
      <c r="V20">
        <v>1</v>
      </c>
      <c r="W20" t="s">
        <v>111</v>
      </c>
      <c r="AA20" t="s">
        <v>48</v>
      </c>
      <c r="AB20">
        <v>3</v>
      </c>
      <c r="AD20">
        <v>2</v>
      </c>
      <c r="AE20" t="s">
        <v>89</v>
      </c>
      <c r="AI20">
        <v>8</v>
      </c>
      <c r="AJ20">
        <v>31</v>
      </c>
    </row>
    <row r="21" spans="1:36" x14ac:dyDescent="0.25">
      <c r="A21" t="s">
        <v>246</v>
      </c>
      <c r="B21">
        <v>21</v>
      </c>
      <c r="C21" t="s">
        <v>53</v>
      </c>
      <c r="D21">
        <v>2</v>
      </c>
      <c r="E21">
        <v>3</v>
      </c>
      <c r="F21">
        <v>3</v>
      </c>
      <c r="G21" t="s">
        <v>111</v>
      </c>
      <c r="H21" t="s">
        <v>55</v>
      </c>
      <c r="K21" t="s">
        <v>48</v>
      </c>
      <c r="L21">
        <v>2</v>
      </c>
      <c r="N21">
        <v>1</v>
      </c>
      <c r="O21" t="s">
        <v>89</v>
      </c>
      <c r="S21" t="s">
        <v>33</v>
      </c>
      <c r="T21">
        <v>1</v>
      </c>
      <c r="V21">
        <v>1</v>
      </c>
      <c r="W21" t="s">
        <v>46</v>
      </c>
      <c r="AA21" t="s">
        <v>45</v>
      </c>
      <c r="AB21">
        <v>3</v>
      </c>
      <c r="AD21">
        <v>3</v>
      </c>
      <c r="AE21" t="s">
        <v>47</v>
      </c>
      <c r="AF21" t="s">
        <v>76</v>
      </c>
      <c r="AG21" t="s">
        <v>93</v>
      </c>
      <c r="AH21" t="s">
        <v>94</v>
      </c>
      <c r="AI21">
        <v>14</v>
      </c>
      <c r="AJ21">
        <v>37</v>
      </c>
    </row>
    <row r="22" spans="1:36" x14ac:dyDescent="0.25">
      <c r="A22" t="s">
        <v>247</v>
      </c>
      <c r="B22">
        <v>22</v>
      </c>
      <c r="C22" t="s">
        <v>33</v>
      </c>
      <c r="D22">
        <v>1</v>
      </c>
      <c r="F22">
        <v>2</v>
      </c>
      <c r="G22" t="s">
        <v>46</v>
      </c>
      <c r="H22" t="s">
        <v>35</v>
      </c>
      <c r="K22" t="s">
        <v>63</v>
      </c>
      <c r="L22">
        <v>1</v>
      </c>
      <c r="N22">
        <v>1</v>
      </c>
      <c r="O22" t="s">
        <v>103</v>
      </c>
      <c r="P22" t="s">
        <v>95</v>
      </c>
      <c r="S22" t="s">
        <v>53</v>
      </c>
      <c r="T22">
        <v>1</v>
      </c>
      <c r="U22">
        <v>1</v>
      </c>
      <c r="V22">
        <v>1</v>
      </c>
      <c r="W22" t="s">
        <v>111</v>
      </c>
      <c r="AA22" t="s">
        <v>48</v>
      </c>
      <c r="AB22">
        <v>2</v>
      </c>
      <c r="AD22">
        <v>1</v>
      </c>
      <c r="AE22" t="s">
        <v>89</v>
      </c>
      <c r="AI22">
        <v>4</v>
      </c>
      <c r="AJ22">
        <v>25</v>
      </c>
    </row>
    <row r="23" spans="1:36" x14ac:dyDescent="0.25">
      <c r="A23" t="s">
        <v>248</v>
      </c>
      <c r="B23">
        <v>23</v>
      </c>
      <c r="C23" t="s">
        <v>33</v>
      </c>
      <c r="D23">
        <v>1</v>
      </c>
      <c r="F23">
        <v>2</v>
      </c>
      <c r="G23" t="s">
        <v>46</v>
      </c>
      <c r="K23" t="s">
        <v>38</v>
      </c>
      <c r="L23">
        <v>3</v>
      </c>
      <c r="M23">
        <v>1</v>
      </c>
      <c r="N23">
        <v>2</v>
      </c>
      <c r="O23" t="s">
        <v>152</v>
      </c>
      <c r="S23" t="s">
        <v>53</v>
      </c>
      <c r="T23">
        <v>1</v>
      </c>
      <c r="U23">
        <v>1</v>
      </c>
      <c r="V23">
        <v>1</v>
      </c>
      <c r="W23" t="s">
        <v>111</v>
      </c>
      <c r="AA23" t="s">
        <v>48</v>
      </c>
      <c r="AB23">
        <v>3</v>
      </c>
      <c r="AD23">
        <v>1</v>
      </c>
      <c r="AE23" t="s">
        <v>89</v>
      </c>
      <c r="AI23">
        <v>6</v>
      </c>
      <c r="AJ23">
        <v>23</v>
      </c>
    </row>
    <row r="24" spans="1:36" x14ac:dyDescent="0.25">
      <c r="A24" t="s">
        <v>249</v>
      </c>
      <c r="B24">
        <v>24</v>
      </c>
      <c r="C24" t="s">
        <v>43</v>
      </c>
      <c r="D24">
        <v>1</v>
      </c>
      <c r="F24">
        <v>1</v>
      </c>
      <c r="G24" t="s">
        <v>135</v>
      </c>
      <c r="H24" t="s">
        <v>74</v>
      </c>
      <c r="I24" t="s">
        <v>137</v>
      </c>
      <c r="K24" t="s">
        <v>45</v>
      </c>
      <c r="L24">
        <v>2</v>
      </c>
      <c r="N24">
        <v>1</v>
      </c>
      <c r="O24" t="s">
        <v>47</v>
      </c>
      <c r="S24" t="s">
        <v>53</v>
      </c>
      <c r="T24">
        <v>1</v>
      </c>
      <c r="U24">
        <v>1</v>
      </c>
      <c r="V24">
        <v>1</v>
      </c>
      <c r="W24" t="s">
        <v>111</v>
      </c>
      <c r="AA24" t="s">
        <v>48</v>
      </c>
      <c r="AB24">
        <v>3</v>
      </c>
      <c r="AD24">
        <v>1</v>
      </c>
      <c r="AE24" t="s">
        <v>89</v>
      </c>
      <c r="AI24">
        <v>5</v>
      </c>
      <c r="AJ24">
        <v>24</v>
      </c>
    </row>
    <row r="25" spans="1:36" x14ac:dyDescent="0.25">
      <c r="A25" t="s">
        <v>250</v>
      </c>
      <c r="B25">
        <v>25</v>
      </c>
      <c r="C25" t="s">
        <v>43</v>
      </c>
      <c r="D25">
        <v>1</v>
      </c>
      <c r="F25">
        <v>1</v>
      </c>
      <c r="G25" t="s">
        <v>135</v>
      </c>
      <c r="H25" t="s">
        <v>74</v>
      </c>
      <c r="I25" t="s">
        <v>100</v>
      </c>
      <c r="K25" t="s">
        <v>63</v>
      </c>
      <c r="L25">
        <v>1</v>
      </c>
      <c r="N25">
        <v>1</v>
      </c>
      <c r="O25" t="s">
        <v>103</v>
      </c>
      <c r="P25" t="s">
        <v>95</v>
      </c>
      <c r="Q25" t="s">
        <v>148</v>
      </c>
      <c r="S25" t="s">
        <v>53</v>
      </c>
      <c r="T25">
        <v>1</v>
      </c>
      <c r="U25">
        <v>1</v>
      </c>
      <c r="V25">
        <v>1</v>
      </c>
      <c r="W25" t="s">
        <v>54</v>
      </c>
      <c r="X25" t="s">
        <v>113</v>
      </c>
      <c r="AA25" t="s">
        <v>48</v>
      </c>
      <c r="AB25">
        <v>2</v>
      </c>
      <c r="AD25">
        <v>1</v>
      </c>
      <c r="AE25" t="s">
        <v>89</v>
      </c>
      <c r="AI25">
        <v>6</v>
      </c>
      <c r="AJ25">
        <v>30</v>
      </c>
    </row>
    <row r="26" spans="1:36" x14ac:dyDescent="0.25">
      <c r="A26" t="s">
        <v>251</v>
      </c>
      <c r="B26">
        <v>26</v>
      </c>
      <c r="C26" t="s">
        <v>43</v>
      </c>
      <c r="D26">
        <v>2</v>
      </c>
      <c r="F26">
        <v>1</v>
      </c>
      <c r="G26" t="s">
        <v>135</v>
      </c>
      <c r="H26" t="s">
        <v>74</v>
      </c>
      <c r="I26" t="s">
        <v>75</v>
      </c>
      <c r="J26" t="s">
        <v>138</v>
      </c>
      <c r="K26" t="s">
        <v>38</v>
      </c>
      <c r="L26">
        <v>1</v>
      </c>
      <c r="M26">
        <v>1</v>
      </c>
      <c r="N26">
        <v>1</v>
      </c>
      <c r="O26" t="s">
        <v>152</v>
      </c>
      <c r="P26" t="s">
        <v>70</v>
      </c>
      <c r="S26" t="s">
        <v>53</v>
      </c>
      <c r="T26">
        <v>1</v>
      </c>
      <c r="U26">
        <v>1</v>
      </c>
      <c r="V26">
        <v>2</v>
      </c>
      <c r="W26" t="s">
        <v>111</v>
      </c>
      <c r="AA26" t="s">
        <v>48</v>
      </c>
      <c r="AB26">
        <v>2</v>
      </c>
      <c r="AD26">
        <v>1</v>
      </c>
      <c r="AE26" t="s">
        <v>89</v>
      </c>
      <c r="AF26" t="s">
        <v>71</v>
      </c>
      <c r="AG26" t="s">
        <v>51</v>
      </c>
      <c r="AI26">
        <v>9</v>
      </c>
      <c r="AJ26">
        <v>53</v>
      </c>
    </row>
    <row r="27" spans="1:36" x14ac:dyDescent="0.25">
      <c r="A27" t="s">
        <v>252</v>
      </c>
      <c r="B27">
        <v>27</v>
      </c>
      <c r="C27" t="s">
        <v>53</v>
      </c>
      <c r="D27">
        <v>2</v>
      </c>
      <c r="E27">
        <v>1</v>
      </c>
      <c r="F27">
        <v>1</v>
      </c>
      <c r="G27" t="s">
        <v>54</v>
      </c>
      <c r="K27" t="s">
        <v>48</v>
      </c>
      <c r="L27">
        <v>2</v>
      </c>
      <c r="N27">
        <v>1</v>
      </c>
      <c r="O27" t="s">
        <v>89</v>
      </c>
      <c r="S27" t="s">
        <v>45</v>
      </c>
      <c r="T27">
        <v>2</v>
      </c>
      <c r="V27">
        <v>1</v>
      </c>
      <c r="W27" t="s">
        <v>47</v>
      </c>
      <c r="AA27" t="s">
        <v>63</v>
      </c>
      <c r="AB27">
        <v>1</v>
      </c>
      <c r="AD27">
        <v>1</v>
      </c>
      <c r="AE27" t="s">
        <v>103</v>
      </c>
      <c r="AI27">
        <v>3</v>
      </c>
      <c r="AJ27">
        <v>22</v>
      </c>
    </row>
    <row r="28" spans="1:36" x14ac:dyDescent="0.25">
      <c r="A28" t="s">
        <v>253</v>
      </c>
      <c r="B28">
        <v>28</v>
      </c>
      <c r="C28" t="s">
        <v>53</v>
      </c>
      <c r="D28">
        <v>2</v>
      </c>
      <c r="E28">
        <v>1</v>
      </c>
      <c r="F28">
        <v>1</v>
      </c>
      <c r="G28" t="s">
        <v>111</v>
      </c>
      <c r="K28" t="s">
        <v>48</v>
      </c>
      <c r="L28">
        <v>1</v>
      </c>
      <c r="N28">
        <v>1</v>
      </c>
      <c r="O28" t="s">
        <v>89</v>
      </c>
      <c r="S28" t="s">
        <v>45</v>
      </c>
      <c r="T28">
        <v>2</v>
      </c>
      <c r="V28">
        <v>1</v>
      </c>
      <c r="W28" t="s">
        <v>47</v>
      </c>
      <c r="AA28" t="s">
        <v>38</v>
      </c>
      <c r="AB28">
        <v>1</v>
      </c>
      <c r="AC28">
        <v>1</v>
      </c>
      <c r="AD28">
        <v>1</v>
      </c>
      <c r="AE28" t="s">
        <v>152</v>
      </c>
      <c r="AI28">
        <v>2</v>
      </c>
      <c r="AJ28">
        <v>20</v>
      </c>
    </row>
    <row r="29" spans="1:36" x14ac:dyDescent="0.25">
      <c r="A29" t="s">
        <v>254</v>
      </c>
      <c r="B29">
        <v>29</v>
      </c>
      <c r="C29" t="s">
        <v>63</v>
      </c>
      <c r="D29">
        <v>1</v>
      </c>
      <c r="F29">
        <v>1</v>
      </c>
      <c r="G29" t="s">
        <v>103</v>
      </c>
      <c r="H29" t="s">
        <v>95</v>
      </c>
      <c r="K29" t="s">
        <v>38</v>
      </c>
      <c r="L29">
        <v>3</v>
      </c>
      <c r="M29">
        <v>1</v>
      </c>
      <c r="N29">
        <v>2</v>
      </c>
      <c r="O29" t="s">
        <v>152</v>
      </c>
      <c r="S29" t="s">
        <v>53</v>
      </c>
      <c r="T29">
        <v>1</v>
      </c>
      <c r="U29">
        <v>1</v>
      </c>
      <c r="V29">
        <v>1</v>
      </c>
      <c r="W29" t="s">
        <v>54</v>
      </c>
      <c r="X29" t="s">
        <v>83</v>
      </c>
      <c r="AA29" t="s">
        <v>48</v>
      </c>
      <c r="AB29">
        <v>1</v>
      </c>
      <c r="AD29">
        <v>1</v>
      </c>
      <c r="AE29" t="s">
        <v>89</v>
      </c>
      <c r="AF29" t="s">
        <v>50</v>
      </c>
      <c r="AG29" t="s">
        <v>127</v>
      </c>
      <c r="AI29">
        <v>7</v>
      </c>
      <c r="AJ29">
        <v>27</v>
      </c>
    </row>
    <row r="30" spans="1:36" x14ac:dyDescent="0.25">
      <c r="A30" t="s">
        <v>255</v>
      </c>
      <c r="B30">
        <v>30</v>
      </c>
      <c r="C30" t="s">
        <v>56</v>
      </c>
      <c r="D30">
        <v>1</v>
      </c>
      <c r="F30">
        <v>1</v>
      </c>
      <c r="G30" t="s">
        <v>57</v>
      </c>
      <c r="H30" t="s">
        <v>122</v>
      </c>
      <c r="I30" t="s">
        <v>85</v>
      </c>
      <c r="K30" t="s">
        <v>48</v>
      </c>
      <c r="L30">
        <v>2</v>
      </c>
      <c r="N30">
        <v>1</v>
      </c>
      <c r="O30" t="s">
        <v>89</v>
      </c>
      <c r="S30" t="s">
        <v>53</v>
      </c>
      <c r="T30">
        <v>2</v>
      </c>
      <c r="U30">
        <v>2</v>
      </c>
      <c r="V30">
        <v>1</v>
      </c>
      <c r="W30" t="s">
        <v>111</v>
      </c>
      <c r="AA30" t="s">
        <v>33</v>
      </c>
      <c r="AB30">
        <v>1</v>
      </c>
      <c r="AD30">
        <v>2</v>
      </c>
      <c r="AE30" t="s">
        <v>46</v>
      </c>
      <c r="AI30">
        <v>6</v>
      </c>
      <c r="AJ30">
        <v>25</v>
      </c>
    </row>
    <row r="31" spans="1:36" x14ac:dyDescent="0.25">
      <c r="A31" t="s">
        <v>256</v>
      </c>
      <c r="B31">
        <v>31</v>
      </c>
      <c r="C31" t="s">
        <v>53</v>
      </c>
      <c r="D31">
        <v>2</v>
      </c>
      <c r="E31">
        <v>1</v>
      </c>
      <c r="F31">
        <v>1</v>
      </c>
      <c r="G31" t="s">
        <v>111</v>
      </c>
      <c r="K31" t="s">
        <v>33</v>
      </c>
      <c r="L31">
        <v>3</v>
      </c>
      <c r="N31">
        <v>1</v>
      </c>
      <c r="O31" t="s">
        <v>46</v>
      </c>
      <c r="S31" t="s">
        <v>56</v>
      </c>
      <c r="T31">
        <v>1</v>
      </c>
      <c r="V31">
        <v>1</v>
      </c>
      <c r="W31" t="s">
        <v>57</v>
      </c>
      <c r="AA31" t="s">
        <v>43</v>
      </c>
      <c r="AB31">
        <v>3</v>
      </c>
      <c r="AD31">
        <v>1</v>
      </c>
      <c r="AE31" t="s">
        <v>135</v>
      </c>
      <c r="AF31" t="s">
        <v>136</v>
      </c>
      <c r="AI31">
        <v>6</v>
      </c>
      <c r="AJ31">
        <v>24</v>
      </c>
    </row>
    <row r="32" spans="1:36" x14ac:dyDescent="0.25">
      <c r="A32" t="s">
        <v>257</v>
      </c>
      <c r="B32">
        <v>32</v>
      </c>
      <c r="C32" t="s">
        <v>53</v>
      </c>
      <c r="D32">
        <v>1</v>
      </c>
      <c r="E32">
        <v>1</v>
      </c>
      <c r="F32">
        <v>1</v>
      </c>
      <c r="G32" t="s">
        <v>111</v>
      </c>
      <c r="K32" t="s">
        <v>33</v>
      </c>
      <c r="L32">
        <v>1</v>
      </c>
      <c r="N32">
        <v>3</v>
      </c>
      <c r="O32" t="s">
        <v>46</v>
      </c>
      <c r="S32" t="s">
        <v>56</v>
      </c>
      <c r="T32">
        <v>2</v>
      </c>
      <c r="V32">
        <v>1</v>
      </c>
      <c r="W32" t="s">
        <v>57</v>
      </c>
      <c r="AA32" t="s">
        <v>45</v>
      </c>
      <c r="AB32">
        <v>2</v>
      </c>
      <c r="AD32">
        <v>1</v>
      </c>
      <c r="AE32" t="s">
        <v>47</v>
      </c>
      <c r="AI32">
        <v>4</v>
      </c>
      <c r="AJ32">
        <v>31</v>
      </c>
    </row>
    <row r="33" spans="1:36" x14ac:dyDescent="0.25">
      <c r="A33" t="s">
        <v>258</v>
      </c>
      <c r="B33">
        <v>33</v>
      </c>
      <c r="C33" t="s">
        <v>53</v>
      </c>
      <c r="D33">
        <v>2</v>
      </c>
      <c r="E33">
        <v>1</v>
      </c>
      <c r="F33">
        <v>1</v>
      </c>
      <c r="G33" t="s">
        <v>111</v>
      </c>
      <c r="H33" t="s">
        <v>83</v>
      </c>
      <c r="K33" t="s">
        <v>33</v>
      </c>
      <c r="L33">
        <v>2</v>
      </c>
      <c r="N33">
        <v>3</v>
      </c>
      <c r="O33" t="s">
        <v>46</v>
      </c>
      <c r="P33" t="s">
        <v>35</v>
      </c>
      <c r="S33" t="s">
        <v>56</v>
      </c>
      <c r="T33">
        <v>1</v>
      </c>
      <c r="V33">
        <v>1</v>
      </c>
      <c r="W33" t="s">
        <v>57</v>
      </c>
      <c r="X33" t="s">
        <v>122</v>
      </c>
      <c r="AA33" t="s">
        <v>63</v>
      </c>
      <c r="AB33">
        <v>1</v>
      </c>
      <c r="AD33">
        <v>1</v>
      </c>
      <c r="AE33" t="s">
        <v>103</v>
      </c>
      <c r="AF33" t="s">
        <v>95</v>
      </c>
      <c r="AI33">
        <v>8</v>
      </c>
      <c r="AJ33">
        <v>28</v>
      </c>
    </row>
    <row r="34" spans="1:36" x14ac:dyDescent="0.25">
      <c r="A34" t="s">
        <v>259</v>
      </c>
      <c r="B34">
        <v>34</v>
      </c>
      <c r="C34" t="s">
        <v>53</v>
      </c>
      <c r="D34">
        <v>2</v>
      </c>
      <c r="E34">
        <v>1</v>
      </c>
      <c r="F34">
        <v>1</v>
      </c>
      <c r="G34" t="s">
        <v>111</v>
      </c>
      <c r="H34" t="s">
        <v>55</v>
      </c>
      <c r="K34" t="s">
        <v>33</v>
      </c>
      <c r="L34">
        <v>1</v>
      </c>
      <c r="N34">
        <v>2</v>
      </c>
      <c r="O34" t="s">
        <v>46</v>
      </c>
      <c r="P34" t="s">
        <v>66</v>
      </c>
      <c r="S34" t="s">
        <v>56</v>
      </c>
      <c r="T34">
        <v>1</v>
      </c>
      <c r="V34">
        <v>1</v>
      </c>
      <c r="W34" t="s">
        <v>57</v>
      </c>
      <c r="AA34" t="s">
        <v>38</v>
      </c>
      <c r="AB34">
        <v>1</v>
      </c>
      <c r="AC34">
        <v>2</v>
      </c>
      <c r="AD34">
        <v>2</v>
      </c>
      <c r="AE34" t="s">
        <v>152</v>
      </c>
      <c r="AI34">
        <v>6</v>
      </c>
      <c r="AJ34">
        <v>37</v>
      </c>
    </row>
    <row r="35" spans="1:36" x14ac:dyDescent="0.25">
      <c r="A35" t="s">
        <v>260</v>
      </c>
      <c r="B35">
        <v>35</v>
      </c>
      <c r="C35" t="s">
        <v>53</v>
      </c>
      <c r="D35">
        <v>1</v>
      </c>
      <c r="E35">
        <v>2</v>
      </c>
      <c r="F35">
        <v>1</v>
      </c>
      <c r="G35" t="s">
        <v>111</v>
      </c>
      <c r="H35" t="s">
        <v>113</v>
      </c>
      <c r="K35" t="s">
        <v>33</v>
      </c>
      <c r="L35">
        <v>3</v>
      </c>
      <c r="N35">
        <v>3</v>
      </c>
      <c r="O35" t="s">
        <v>46</v>
      </c>
      <c r="P35" t="s">
        <v>35</v>
      </c>
      <c r="S35" t="s">
        <v>48</v>
      </c>
      <c r="T35">
        <v>3</v>
      </c>
      <c r="V35">
        <v>1</v>
      </c>
      <c r="W35" t="s">
        <v>89</v>
      </c>
      <c r="X35" t="s">
        <v>71</v>
      </c>
      <c r="Y35" t="s">
        <v>51</v>
      </c>
      <c r="AA35" t="s">
        <v>43</v>
      </c>
      <c r="AB35">
        <v>1</v>
      </c>
      <c r="AD35">
        <v>1</v>
      </c>
      <c r="AE35" t="s">
        <v>135</v>
      </c>
      <c r="AF35" t="s">
        <v>74</v>
      </c>
      <c r="AI35">
        <v>12</v>
      </c>
      <c r="AJ35">
        <v>32</v>
      </c>
    </row>
    <row r="36" spans="1:36" x14ac:dyDescent="0.25">
      <c r="A36" t="s">
        <v>261</v>
      </c>
      <c r="B36">
        <v>36</v>
      </c>
      <c r="C36" t="s">
        <v>53</v>
      </c>
      <c r="D36">
        <v>1</v>
      </c>
      <c r="E36">
        <v>1</v>
      </c>
      <c r="F36">
        <v>1</v>
      </c>
      <c r="G36" t="s">
        <v>111</v>
      </c>
      <c r="H36" t="s">
        <v>83</v>
      </c>
      <c r="K36" t="s">
        <v>33</v>
      </c>
      <c r="L36">
        <v>2</v>
      </c>
      <c r="N36">
        <v>2</v>
      </c>
      <c r="O36" t="s">
        <v>46</v>
      </c>
      <c r="S36" t="s">
        <v>48</v>
      </c>
      <c r="T36">
        <v>1</v>
      </c>
      <c r="V36">
        <v>1</v>
      </c>
      <c r="W36" t="s">
        <v>89</v>
      </c>
      <c r="AA36" t="s">
        <v>45</v>
      </c>
      <c r="AB36">
        <v>3</v>
      </c>
      <c r="AD36">
        <v>1</v>
      </c>
      <c r="AE36" t="s">
        <v>86</v>
      </c>
      <c r="AI36">
        <v>5</v>
      </c>
      <c r="AJ36">
        <v>23</v>
      </c>
    </row>
    <row r="37" spans="1:36" x14ac:dyDescent="0.25">
      <c r="A37" t="s">
        <v>262</v>
      </c>
      <c r="B37">
        <v>37</v>
      </c>
      <c r="C37" t="s">
        <v>53</v>
      </c>
      <c r="D37">
        <v>3</v>
      </c>
      <c r="E37">
        <v>1</v>
      </c>
      <c r="F37">
        <v>1</v>
      </c>
      <c r="G37" t="s">
        <v>54</v>
      </c>
      <c r="H37" t="s">
        <v>55</v>
      </c>
      <c r="I37" t="s">
        <v>114</v>
      </c>
      <c r="K37" t="s">
        <v>33</v>
      </c>
      <c r="L37">
        <v>1</v>
      </c>
      <c r="N37">
        <v>1</v>
      </c>
      <c r="O37" t="s">
        <v>46</v>
      </c>
      <c r="S37" t="s">
        <v>48</v>
      </c>
      <c r="T37">
        <v>1</v>
      </c>
      <c r="V37">
        <v>1</v>
      </c>
      <c r="W37" t="s">
        <v>89</v>
      </c>
      <c r="X37" t="s">
        <v>84</v>
      </c>
      <c r="AA37" t="s">
        <v>63</v>
      </c>
      <c r="AB37">
        <v>2</v>
      </c>
      <c r="AD37">
        <v>1</v>
      </c>
      <c r="AE37" t="s">
        <v>103</v>
      </c>
      <c r="AI37">
        <v>6</v>
      </c>
      <c r="AJ37">
        <v>30</v>
      </c>
    </row>
    <row r="38" spans="1:36" x14ac:dyDescent="0.25">
      <c r="A38" t="s">
        <v>263</v>
      </c>
      <c r="B38">
        <v>38</v>
      </c>
      <c r="C38" t="s">
        <v>53</v>
      </c>
      <c r="D38">
        <v>2</v>
      </c>
      <c r="E38">
        <v>1</v>
      </c>
      <c r="F38">
        <v>1</v>
      </c>
      <c r="G38" t="s">
        <v>111</v>
      </c>
      <c r="H38" t="s">
        <v>83</v>
      </c>
      <c r="K38" t="s">
        <v>33</v>
      </c>
      <c r="L38">
        <v>2</v>
      </c>
      <c r="N38">
        <v>3</v>
      </c>
      <c r="O38" t="s">
        <v>46</v>
      </c>
      <c r="S38" t="s">
        <v>48</v>
      </c>
      <c r="T38">
        <v>2</v>
      </c>
      <c r="V38">
        <v>1</v>
      </c>
      <c r="W38" t="s">
        <v>89</v>
      </c>
      <c r="AA38" t="s">
        <v>38</v>
      </c>
      <c r="AB38">
        <v>2</v>
      </c>
      <c r="AC38">
        <v>1</v>
      </c>
      <c r="AD38">
        <v>1</v>
      </c>
      <c r="AE38" t="s">
        <v>152</v>
      </c>
      <c r="AF38" t="s">
        <v>96</v>
      </c>
      <c r="AG38" t="s">
        <v>41</v>
      </c>
      <c r="AI38">
        <v>9</v>
      </c>
      <c r="AJ38">
        <v>51</v>
      </c>
    </row>
    <row r="39" spans="1:36" x14ac:dyDescent="0.25">
      <c r="A39" t="s">
        <v>264</v>
      </c>
      <c r="B39">
        <v>39</v>
      </c>
      <c r="C39" t="s">
        <v>43</v>
      </c>
      <c r="D39">
        <v>1</v>
      </c>
      <c r="F39">
        <v>1</v>
      </c>
      <c r="G39" t="s">
        <v>135</v>
      </c>
      <c r="H39" t="s">
        <v>74</v>
      </c>
      <c r="I39" t="s">
        <v>137</v>
      </c>
      <c r="K39" t="s">
        <v>45</v>
      </c>
      <c r="L39">
        <v>2</v>
      </c>
      <c r="N39">
        <v>1</v>
      </c>
      <c r="O39" t="s">
        <v>47</v>
      </c>
      <c r="P39" t="s">
        <v>141</v>
      </c>
      <c r="S39" t="s">
        <v>53</v>
      </c>
      <c r="T39">
        <v>1</v>
      </c>
      <c r="U39">
        <v>1</v>
      </c>
      <c r="V39">
        <v>1</v>
      </c>
      <c r="W39" t="s">
        <v>111</v>
      </c>
      <c r="X39" t="s">
        <v>113</v>
      </c>
      <c r="Y39" t="s">
        <v>97</v>
      </c>
      <c r="AA39" t="s">
        <v>33</v>
      </c>
      <c r="AB39">
        <v>2</v>
      </c>
      <c r="AD39">
        <v>2</v>
      </c>
      <c r="AE39" t="s">
        <v>46</v>
      </c>
      <c r="AI39">
        <v>8</v>
      </c>
      <c r="AJ39">
        <v>21</v>
      </c>
    </row>
    <row r="40" spans="1:36" x14ac:dyDescent="0.25">
      <c r="A40" t="s">
        <v>265</v>
      </c>
      <c r="B40">
        <v>40</v>
      </c>
      <c r="C40" t="s">
        <v>53</v>
      </c>
      <c r="D40">
        <v>1</v>
      </c>
      <c r="E40">
        <v>1</v>
      </c>
      <c r="F40">
        <v>1</v>
      </c>
      <c r="G40" t="s">
        <v>111</v>
      </c>
      <c r="H40" t="s">
        <v>113</v>
      </c>
      <c r="K40" t="s">
        <v>33</v>
      </c>
      <c r="L40">
        <v>3</v>
      </c>
      <c r="N40">
        <v>1</v>
      </c>
      <c r="O40" t="s">
        <v>46</v>
      </c>
      <c r="S40" t="s">
        <v>43</v>
      </c>
      <c r="T40">
        <v>2</v>
      </c>
      <c r="V40">
        <v>1</v>
      </c>
      <c r="W40" t="s">
        <v>135</v>
      </c>
      <c r="AA40" t="s">
        <v>63</v>
      </c>
      <c r="AB40">
        <v>2</v>
      </c>
      <c r="AD40">
        <v>1</v>
      </c>
      <c r="AE40" t="s">
        <v>103</v>
      </c>
      <c r="AI40">
        <v>5</v>
      </c>
      <c r="AJ40">
        <v>19</v>
      </c>
    </row>
    <row r="41" spans="1:36" x14ac:dyDescent="0.25">
      <c r="A41" t="s">
        <v>266</v>
      </c>
      <c r="B41">
        <v>41</v>
      </c>
      <c r="C41" t="s">
        <v>53</v>
      </c>
      <c r="D41">
        <v>3</v>
      </c>
      <c r="E41">
        <v>1</v>
      </c>
      <c r="F41">
        <v>1</v>
      </c>
      <c r="G41" t="s">
        <v>111</v>
      </c>
      <c r="K41" t="s">
        <v>33</v>
      </c>
      <c r="L41">
        <v>3</v>
      </c>
      <c r="N41">
        <v>3</v>
      </c>
      <c r="O41" t="s">
        <v>65</v>
      </c>
      <c r="P41" t="s">
        <v>66</v>
      </c>
      <c r="S41" t="s">
        <v>43</v>
      </c>
      <c r="T41">
        <v>3</v>
      </c>
      <c r="V41">
        <v>3</v>
      </c>
      <c r="W41" t="s">
        <v>135</v>
      </c>
      <c r="X41" t="s">
        <v>99</v>
      </c>
      <c r="AA41" t="s">
        <v>38</v>
      </c>
      <c r="AB41">
        <v>1</v>
      </c>
      <c r="AC41">
        <v>1</v>
      </c>
      <c r="AD41">
        <v>1</v>
      </c>
      <c r="AE41" t="s">
        <v>152</v>
      </c>
      <c r="AI41">
        <v>12</v>
      </c>
      <c r="AJ41">
        <v>32</v>
      </c>
    </row>
    <row r="42" spans="1:36" x14ac:dyDescent="0.25">
      <c r="A42" t="s">
        <v>267</v>
      </c>
      <c r="B42">
        <v>42</v>
      </c>
      <c r="C42" t="s">
        <v>45</v>
      </c>
      <c r="D42">
        <v>3</v>
      </c>
      <c r="F42">
        <v>1</v>
      </c>
      <c r="G42" t="s">
        <v>47</v>
      </c>
      <c r="K42" t="s">
        <v>63</v>
      </c>
      <c r="L42">
        <v>1</v>
      </c>
      <c r="N42">
        <v>1</v>
      </c>
      <c r="O42" t="s">
        <v>103</v>
      </c>
      <c r="P42" t="s">
        <v>95</v>
      </c>
      <c r="S42" t="s">
        <v>53</v>
      </c>
      <c r="T42">
        <v>1</v>
      </c>
      <c r="U42">
        <v>2</v>
      </c>
      <c r="V42">
        <v>1</v>
      </c>
      <c r="W42" t="s">
        <v>111</v>
      </c>
      <c r="AA42" t="s">
        <v>33</v>
      </c>
      <c r="AB42">
        <v>1</v>
      </c>
      <c r="AD42">
        <v>1</v>
      </c>
      <c r="AE42" t="s">
        <v>46</v>
      </c>
      <c r="AF42" t="s">
        <v>66</v>
      </c>
      <c r="AI42">
        <v>5</v>
      </c>
      <c r="AJ42">
        <v>25</v>
      </c>
    </row>
    <row r="43" spans="1:36" x14ac:dyDescent="0.25">
      <c r="A43" t="s">
        <v>268</v>
      </c>
      <c r="B43">
        <v>43</v>
      </c>
      <c r="C43" t="s">
        <v>45</v>
      </c>
      <c r="D43">
        <v>3</v>
      </c>
      <c r="F43">
        <v>2</v>
      </c>
      <c r="G43" t="s">
        <v>47</v>
      </c>
      <c r="H43" t="s">
        <v>141</v>
      </c>
      <c r="K43" t="s">
        <v>38</v>
      </c>
      <c r="L43">
        <v>1</v>
      </c>
      <c r="M43">
        <v>1</v>
      </c>
      <c r="N43">
        <v>1</v>
      </c>
      <c r="O43" t="s">
        <v>152</v>
      </c>
      <c r="S43" t="s">
        <v>53</v>
      </c>
      <c r="T43">
        <v>2</v>
      </c>
      <c r="U43">
        <v>1</v>
      </c>
      <c r="V43">
        <v>1</v>
      </c>
      <c r="W43" t="s">
        <v>111</v>
      </c>
      <c r="X43" t="s">
        <v>55</v>
      </c>
      <c r="AA43" t="s">
        <v>33</v>
      </c>
      <c r="AB43">
        <v>1</v>
      </c>
      <c r="AD43">
        <v>1</v>
      </c>
      <c r="AE43" t="s">
        <v>46</v>
      </c>
      <c r="AF43" t="s">
        <v>130</v>
      </c>
      <c r="AI43">
        <v>7</v>
      </c>
      <c r="AJ43">
        <v>26</v>
      </c>
    </row>
    <row r="44" spans="1:36" x14ac:dyDescent="0.25">
      <c r="A44" t="s">
        <v>269</v>
      </c>
      <c r="B44">
        <v>44</v>
      </c>
      <c r="C44" t="s">
        <v>63</v>
      </c>
      <c r="D44">
        <v>1</v>
      </c>
      <c r="F44">
        <v>1</v>
      </c>
      <c r="G44" t="s">
        <v>103</v>
      </c>
      <c r="H44" t="s">
        <v>95</v>
      </c>
      <c r="K44" t="s">
        <v>38</v>
      </c>
      <c r="L44">
        <v>1</v>
      </c>
      <c r="M44">
        <v>1</v>
      </c>
      <c r="N44">
        <v>1</v>
      </c>
      <c r="O44" t="s">
        <v>152</v>
      </c>
      <c r="P44" t="s">
        <v>40</v>
      </c>
      <c r="S44" t="s">
        <v>53</v>
      </c>
      <c r="T44">
        <v>1</v>
      </c>
      <c r="U44">
        <v>1</v>
      </c>
      <c r="V44">
        <v>1</v>
      </c>
      <c r="W44" t="s">
        <v>111</v>
      </c>
      <c r="AA44" t="s">
        <v>33</v>
      </c>
      <c r="AB44">
        <v>2</v>
      </c>
      <c r="AD44">
        <v>2</v>
      </c>
      <c r="AE44" t="s">
        <v>46</v>
      </c>
      <c r="AF44" t="s">
        <v>35</v>
      </c>
      <c r="AI44">
        <v>5</v>
      </c>
      <c r="AJ44">
        <v>21</v>
      </c>
    </row>
    <row r="45" spans="1:36" x14ac:dyDescent="0.25">
      <c r="A45" t="s">
        <v>270</v>
      </c>
      <c r="B45">
        <v>45</v>
      </c>
      <c r="C45" t="s">
        <v>56</v>
      </c>
      <c r="D45">
        <v>1</v>
      </c>
      <c r="F45">
        <v>1</v>
      </c>
      <c r="G45" t="s">
        <v>57</v>
      </c>
      <c r="K45" t="s">
        <v>48</v>
      </c>
      <c r="L45">
        <v>3</v>
      </c>
      <c r="N45">
        <v>1</v>
      </c>
      <c r="O45" t="s">
        <v>89</v>
      </c>
      <c r="S45" t="s">
        <v>53</v>
      </c>
      <c r="T45">
        <v>3</v>
      </c>
      <c r="U45">
        <v>1</v>
      </c>
      <c r="V45">
        <v>1</v>
      </c>
      <c r="W45" t="s">
        <v>54</v>
      </c>
      <c r="X45" t="s">
        <v>83</v>
      </c>
      <c r="Y45" t="s">
        <v>114</v>
      </c>
      <c r="AA45" t="s">
        <v>43</v>
      </c>
      <c r="AB45">
        <v>1</v>
      </c>
      <c r="AD45">
        <v>1</v>
      </c>
      <c r="AE45" t="s">
        <v>135</v>
      </c>
      <c r="AF45" t="s">
        <v>74</v>
      </c>
      <c r="AI45">
        <v>7</v>
      </c>
      <c r="AJ45">
        <v>30</v>
      </c>
    </row>
    <row r="46" spans="1:36" x14ac:dyDescent="0.25">
      <c r="A46" t="s">
        <v>271</v>
      </c>
      <c r="B46">
        <v>46</v>
      </c>
      <c r="C46" t="s">
        <v>53</v>
      </c>
      <c r="D46">
        <v>1</v>
      </c>
      <c r="E46">
        <v>1</v>
      </c>
      <c r="F46">
        <v>1</v>
      </c>
      <c r="G46" t="s">
        <v>111</v>
      </c>
      <c r="H46" t="s">
        <v>55</v>
      </c>
      <c r="K46" t="s">
        <v>43</v>
      </c>
      <c r="L46">
        <v>3</v>
      </c>
      <c r="N46">
        <v>3</v>
      </c>
      <c r="O46" t="s">
        <v>135</v>
      </c>
      <c r="P46" t="s">
        <v>136</v>
      </c>
      <c r="Q46" t="s">
        <v>75</v>
      </c>
      <c r="R46" t="s">
        <v>138</v>
      </c>
      <c r="S46" t="s">
        <v>56</v>
      </c>
      <c r="T46">
        <v>2</v>
      </c>
      <c r="V46">
        <v>2</v>
      </c>
      <c r="W46" t="s">
        <v>68</v>
      </c>
      <c r="X46" t="s">
        <v>69</v>
      </c>
      <c r="AA46" t="s">
        <v>33</v>
      </c>
      <c r="AB46">
        <v>2</v>
      </c>
      <c r="AD46">
        <v>2</v>
      </c>
      <c r="AE46" t="s">
        <v>46</v>
      </c>
      <c r="AI46">
        <v>13</v>
      </c>
      <c r="AJ46">
        <v>64</v>
      </c>
    </row>
    <row r="47" spans="1:36" x14ac:dyDescent="0.25">
      <c r="A47" t="s">
        <v>272</v>
      </c>
      <c r="B47">
        <v>47</v>
      </c>
      <c r="C47" t="s">
        <v>53</v>
      </c>
      <c r="D47">
        <v>2</v>
      </c>
      <c r="E47">
        <v>3</v>
      </c>
      <c r="F47">
        <v>2</v>
      </c>
      <c r="G47" t="s">
        <v>54</v>
      </c>
      <c r="H47" t="s">
        <v>55</v>
      </c>
      <c r="K47" t="s">
        <v>43</v>
      </c>
      <c r="L47">
        <v>2</v>
      </c>
      <c r="N47">
        <v>1</v>
      </c>
      <c r="O47" t="s">
        <v>135</v>
      </c>
      <c r="P47" t="s">
        <v>136</v>
      </c>
      <c r="S47" t="s">
        <v>56</v>
      </c>
      <c r="T47">
        <v>2</v>
      </c>
      <c r="V47">
        <v>1</v>
      </c>
      <c r="W47" t="s">
        <v>57</v>
      </c>
      <c r="X47" t="s">
        <v>122</v>
      </c>
      <c r="Y47" t="s">
        <v>85</v>
      </c>
      <c r="AA47" t="s">
        <v>45</v>
      </c>
      <c r="AB47">
        <v>2</v>
      </c>
      <c r="AD47">
        <v>1</v>
      </c>
      <c r="AE47" t="s">
        <v>47</v>
      </c>
      <c r="AI47">
        <v>11</v>
      </c>
      <c r="AJ47">
        <v>30</v>
      </c>
    </row>
    <row r="48" spans="1:36" x14ac:dyDescent="0.25">
      <c r="A48" t="s">
        <v>273</v>
      </c>
      <c r="B48">
        <v>48</v>
      </c>
      <c r="C48" t="s">
        <v>53</v>
      </c>
      <c r="D48">
        <v>3</v>
      </c>
      <c r="E48">
        <v>1</v>
      </c>
      <c r="F48">
        <v>1</v>
      </c>
      <c r="G48" t="s">
        <v>54</v>
      </c>
      <c r="K48" t="s">
        <v>43</v>
      </c>
      <c r="L48">
        <v>2</v>
      </c>
      <c r="N48">
        <v>1</v>
      </c>
      <c r="O48" t="s">
        <v>135</v>
      </c>
      <c r="P48" t="s">
        <v>99</v>
      </c>
      <c r="S48" t="s">
        <v>56</v>
      </c>
      <c r="T48">
        <v>1</v>
      </c>
      <c r="V48">
        <v>1</v>
      </c>
      <c r="W48" t="s">
        <v>57</v>
      </c>
      <c r="X48" t="s">
        <v>122</v>
      </c>
      <c r="AA48" t="s">
        <v>63</v>
      </c>
      <c r="AB48">
        <v>2</v>
      </c>
      <c r="AD48">
        <v>1</v>
      </c>
      <c r="AE48" t="s">
        <v>103</v>
      </c>
      <c r="AI48">
        <v>6</v>
      </c>
      <c r="AJ48">
        <v>35</v>
      </c>
    </row>
    <row r="49" spans="1:36" x14ac:dyDescent="0.25">
      <c r="A49" t="s">
        <v>274</v>
      </c>
      <c r="B49">
        <v>49</v>
      </c>
      <c r="C49" t="s">
        <v>53</v>
      </c>
      <c r="D49">
        <v>2</v>
      </c>
      <c r="E49">
        <v>1</v>
      </c>
      <c r="F49">
        <v>1</v>
      </c>
      <c r="G49" t="s">
        <v>111</v>
      </c>
      <c r="H49" t="s">
        <v>55</v>
      </c>
      <c r="K49" t="s">
        <v>43</v>
      </c>
      <c r="L49">
        <v>2</v>
      </c>
      <c r="N49">
        <v>3</v>
      </c>
      <c r="O49" t="s">
        <v>135</v>
      </c>
      <c r="P49" t="s">
        <v>74</v>
      </c>
      <c r="Q49" t="s">
        <v>100</v>
      </c>
      <c r="R49" t="s">
        <v>139</v>
      </c>
      <c r="S49" t="s">
        <v>56</v>
      </c>
      <c r="T49">
        <v>3</v>
      </c>
      <c r="V49">
        <v>1</v>
      </c>
      <c r="W49" t="s">
        <v>57</v>
      </c>
      <c r="AA49" t="s">
        <v>38</v>
      </c>
      <c r="AB49">
        <v>1</v>
      </c>
      <c r="AC49">
        <v>1</v>
      </c>
      <c r="AD49">
        <v>1</v>
      </c>
      <c r="AE49" t="s">
        <v>152</v>
      </c>
      <c r="AF49" t="s">
        <v>70</v>
      </c>
      <c r="AG49" t="s">
        <v>153</v>
      </c>
      <c r="AI49">
        <v>12</v>
      </c>
      <c r="AJ49">
        <v>44</v>
      </c>
    </row>
    <row r="50" spans="1:36" x14ac:dyDescent="0.25">
      <c r="A50" t="s">
        <v>275</v>
      </c>
      <c r="B50">
        <v>50</v>
      </c>
      <c r="C50" t="s">
        <v>48</v>
      </c>
      <c r="D50">
        <v>1</v>
      </c>
      <c r="F50">
        <v>1</v>
      </c>
      <c r="G50" t="s">
        <v>89</v>
      </c>
      <c r="H50" t="s">
        <v>50</v>
      </c>
      <c r="K50" t="s">
        <v>33</v>
      </c>
      <c r="L50">
        <v>3</v>
      </c>
      <c r="N50">
        <v>3</v>
      </c>
      <c r="O50" t="s">
        <v>46</v>
      </c>
      <c r="P50" t="s">
        <v>66</v>
      </c>
      <c r="S50" t="s">
        <v>53</v>
      </c>
      <c r="T50">
        <v>1</v>
      </c>
      <c r="U50">
        <v>1</v>
      </c>
      <c r="V50">
        <v>1</v>
      </c>
      <c r="W50" t="s">
        <v>111</v>
      </c>
      <c r="X50" t="s">
        <v>113</v>
      </c>
      <c r="AA50" t="s">
        <v>43</v>
      </c>
      <c r="AB50">
        <v>3</v>
      </c>
      <c r="AD50">
        <v>2</v>
      </c>
      <c r="AE50" t="s">
        <v>135</v>
      </c>
      <c r="AF50" t="s">
        <v>136</v>
      </c>
      <c r="AI50">
        <v>11</v>
      </c>
      <c r="AJ50">
        <v>32</v>
      </c>
    </row>
    <row r="51" spans="1:36" x14ac:dyDescent="0.25">
      <c r="A51" t="s">
        <v>276</v>
      </c>
      <c r="B51">
        <v>51</v>
      </c>
      <c r="C51" t="s">
        <v>53</v>
      </c>
      <c r="D51">
        <v>1</v>
      </c>
      <c r="E51">
        <v>1</v>
      </c>
      <c r="F51">
        <v>1</v>
      </c>
      <c r="G51" t="s">
        <v>111</v>
      </c>
      <c r="K51" t="s">
        <v>43</v>
      </c>
      <c r="L51">
        <v>2</v>
      </c>
      <c r="N51">
        <v>1</v>
      </c>
      <c r="O51" t="s">
        <v>135</v>
      </c>
      <c r="P51" t="s">
        <v>74</v>
      </c>
      <c r="Q51" t="s">
        <v>75</v>
      </c>
      <c r="S51" t="s">
        <v>48</v>
      </c>
      <c r="T51">
        <v>3</v>
      </c>
      <c r="V51">
        <v>1</v>
      </c>
      <c r="W51" t="s">
        <v>89</v>
      </c>
      <c r="AA51" t="s">
        <v>45</v>
      </c>
      <c r="AB51">
        <v>2</v>
      </c>
      <c r="AD51">
        <v>1</v>
      </c>
      <c r="AE51" t="s">
        <v>47</v>
      </c>
      <c r="AI51">
        <v>6</v>
      </c>
      <c r="AJ51">
        <v>23</v>
      </c>
    </row>
    <row r="52" spans="1:36" x14ac:dyDescent="0.25">
      <c r="A52" t="s">
        <v>277</v>
      </c>
      <c r="B52">
        <v>52</v>
      </c>
      <c r="C52" t="s">
        <v>53</v>
      </c>
      <c r="D52">
        <v>2</v>
      </c>
      <c r="E52">
        <v>1</v>
      </c>
      <c r="F52">
        <v>1</v>
      </c>
      <c r="G52" t="s">
        <v>54</v>
      </c>
      <c r="K52" t="s">
        <v>43</v>
      </c>
      <c r="L52">
        <v>2</v>
      </c>
      <c r="N52">
        <v>1</v>
      </c>
      <c r="O52" t="s">
        <v>135</v>
      </c>
      <c r="P52" t="s">
        <v>74</v>
      </c>
      <c r="S52" t="s">
        <v>48</v>
      </c>
      <c r="T52">
        <v>1</v>
      </c>
      <c r="V52">
        <v>1</v>
      </c>
      <c r="W52" t="s">
        <v>89</v>
      </c>
      <c r="AA52" t="s">
        <v>63</v>
      </c>
      <c r="AB52">
        <v>1</v>
      </c>
      <c r="AD52">
        <v>1</v>
      </c>
      <c r="AE52" t="s">
        <v>103</v>
      </c>
      <c r="AF52" t="s">
        <v>95</v>
      </c>
      <c r="AI52">
        <v>4</v>
      </c>
      <c r="AJ52">
        <v>26</v>
      </c>
    </row>
    <row r="53" spans="1:36" x14ac:dyDescent="0.25">
      <c r="A53" t="s">
        <v>278</v>
      </c>
      <c r="B53">
        <v>53</v>
      </c>
      <c r="C53" t="s">
        <v>53</v>
      </c>
      <c r="D53">
        <v>2</v>
      </c>
      <c r="E53">
        <v>1</v>
      </c>
      <c r="F53">
        <v>1</v>
      </c>
      <c r="G53" t="s">
        <v>54</v>
      </c>
      <c r="H53" t="s">
        <v>113</v>
      </c>
      <c r="K53" t="s">
        <v>43</v>
      </c>
      <c r="L53">
        <v>2</v>
      </c>
      <c r="N53">
        <v>1</v>
      </c>
      <c r="O53" t="s">
        <v>135</v>
      </c>
      <c r="P53" t="s">
        <v>74</v>
      </c>
      <c r="S53" t="s">
        <v>48</v>
      </c>
      <c r="T53">
        <v>3</v>
      </c>
      <c r="V53">
        <v>2</v>
      </c>
      <c r="W53" t="s">
        <v>49</v>
      </c>
      <c r="AA53" t="s">
        <v>38</v>
      </c>
      <c r="AB53">
        <v>1</v>
      </c>
      <c r="AC53">
        <v>1</v>
      </c>
      <c r="AD53">
        <v>1</v>
      </c>
      <c r="AE53" t="s">
        <v>152</v>
      </c>
      <c r="AF53" t="s">
        <v>70</v>
      </c>
      <c r="AI53">
        <v>8</v>
      </c>
      <c r="AJ53">
        <v>33</v>
      </c>
    </row>
    <row r="54" spans="1:36" x14ac:dyDescent="0.25">
      <c r="A54" t="s">
        <v>279</v>
      </c>
      <c r="B54">
        <v>54</v>
      </c>
      <c r="C54" t="s">
        <v>33</v>
      </c>
      <c r="D54">
        <v>2</v>
      </c>
      <c r="F54">
        <v>1</v>
      </c>
      <c r="G54" t="s">
        <v>46</v>
      </c>
      <c r="K54" t="s">
        <v>45</v>
      </c>
      <c r="L54">
        <v>3</v>
      </c>
      <c r="N54">
        <v>2</v>
      </c>
      <c r="O54" t="s">
        <v>47</v>
      </c>
      <c r="S54" t="s">
        <v>53</v>
      </c>
      <c r="T54">
        <v>1</v>
      </c>
      <c r="U54">
        <v>1</v>
      </c>
      <c r="V54">
        <v>1</v>
      </c>
      <c r="W54" t="s">
        <v>111</v>
      </c>
      <c r="AA54" t="s">
        <v>43</v>
      </c>
      <c r="AB54">
        <v>2</v>
      </c>
      <c r="AD54">
        <v>3</v>
      </c>
      <c r="AE54" t="s">
        <v>135</v>
      </c>
      <c r="AF54" t="s">
        <v>136</v>
      </c>
      <c r="AI54">
        <v>8</v>
      </c>
      <c r="AJ54">
        <v>26</v>
      </c>
    </row>
    <row r="55" spans="1:36" x14ac:dyDescent="0.25">
      <c r="A55" t="s">
        <v>280</v>
      </c>
      <c r="B55">
        <v>55</v>
      </c>
      <c r="C55" t="s">
        <v>33</v>
      </c>
      <c r="D55">
        <v>2</v>
      </c>
      <c r="F55">
        <v>3</v>
      </c>
      <c r="G55" t="s">
        <v>46</v>
      </c>
      <c r="K55" t="s">
        <v>63</v>
      </c>
      <c r="L55">
        <v>1</v>
      </c>
      <c r="N55">
        <v>1</v>
      </c>
      <c r="O55" t="s">
        <v>103</v>
      </c>
      <c r="S55" t="s">
        <v>53</v>
      </c>
      <c r="T55">
        <v>1</v>
      </c>
      <c r="U55">
        <v>1</v>
      </c>
      <c r="V55">
        <v>1</v>
      </c>
      <c r="W55" t="s">
        <v>54</v>
      </c>
      <c r="AA55" t="s">
        <v>43</v>
      </c>
      <c r="AB55">
        <v>3</v>
      </c>
      <c r="AD55">
        <v>2</v>
      </c>
      <c r="AE55" t="s">
        <v>135</v>
      </c>
      <c r="AF55" t="s">
        <v>99</v>
      </c>
      <c r="AI55">
        <v>7</v>
      </c>
      <c r="AJ55">
        <v>25</v>
      </c>
    </row>
    <row r="56" spans="1:36" x14ac:dyDescent="0.25">
      <c r="A56" t="s">
        <v>281</v>
      </c>
      <c r="B56">
        <v>56</v>
      </c>
      <c r="C56" t="s">
        <v>33</v>
      </c>
      <c r="D56">
        <v>1</v>
      </c>
      <c r="F56">
        <v>2</v>
      </c>
      <c r="G56" t="s">
        <v>46</v>
      </c>
      <c r="K56" t="s">
        <v>38</v>
      </c>
      <c r="L56">
        <v>1</v>
      </c>
      <c r="M56">
        <v>1</v>
      </c>
      <c r="N56">
        <v>1</v>
      </c>
      <c r="O56" t="s">
        <v>152</v>
      </c>
      <c r="P56" t="s">
        <v>70</v>
      </c>
      <c r="S56" t="s">
        <v>53</v>
      </c>
      <c r="T56">
        <v>1</v>
      </c>
      <c r="U56">
        <v>1</v>
      </c>
      <c r="V56">
        <v>2</v>
      </c>
      <c r="W56" t="s">
        <v>111</v>
      </c>
      <c r="AA56" t="s">
        <v>43</v>
      </c>
      <c r="AB56">
        <v>1</v>
      </c>
      <c r="AD56">
        <v>1</v>
      </c>
      <c r="AE56" t="s">
        <v>135</v>
      </c>
      <c r="AF56" t="s">
        <v>136</v>
      </c>
      <c r="AI56">
        <v>4</v>
      </c>
      <c r="AJ56">
        <v>30</v>
      </c>
    </row>
    <row r="57" spans="1:36" x14ac:dyDescent="0.25">
      <c r="A57" t="s">
        <v>282</v>
      </c>
      <c r="B57">
        <v>57</v>
      </c>
      <c r="C57" t="s">
        <v>45</v>
      </c>
      <c r="D57">
        <v>3</v>
      </c>
      <c r="F57">
        <v>1</v>
      </c>
      <c r="G57" t="s">
        <v>86</v>
      </c>
      <c r="K57" t="s">
        <v>63</v>
      </c>
      <c r="L57">
        <v>1</v>
      </c>
      <c r="N57">
        <v>1</v>
      </c>
      <c r="O57" t="s">
        <v>103</v>
      </c>
      <c r="S57" t="s">
        <v>53</v>
      </c>
      <c r="T57">
        <v>1</v>
      </c>
      <c r="U57">
        <v>1</v>
      </c>
      <c r="V57">
        <v>1</v>
      </c>
      <c r="W57" t="s">
        <v>111</v>
      </c>
      <c r="AA57" t="s">
        <v>43</v>
      </c>
      <c r="AB57">
        <v>1</v>
      </c>
      <c r="AD57">
        <v>1</v>
      </c>
      <c r="AE57" t="s">
        <v>135</v>
      </c>
      <c r="AF57" t="s">
        <v>74</v>
      </c>
      <c r="AG57" t="s">
        <v>137</v>
      </c>
      <c r="AI57">
        <v>4</v>
      </c>
      <c r="AJ57">
        <v>27</v>
      </c>
    </row>
    <row r="58" spans="1:36" x14ac:dyDescent="0.25">
      <c r="A58" t="s">
        <v>283</v>
      </c>
      <c r="B58">
        <v>58</v>
      </c>
      <c r="C58" t="s">
        <v>45</v>
      </c>
      <c r="D58">
        <v>3</v>
      </c>
      <c r="F58">
        <v>3</v>
      </c>
      <c r="G58" t="s">
        <v>47</v>
      </c>
      <c r="H58" t="s">
        <v>76</v>
      </c>
      <c r="I58" t="s">
        <v>93</v>
      </c>
      <c r="K58" t="s">
        <v>38</v>
      </c>
      <c r="L58">
        <v>1</v>
      </c>
      <c r="M58">
        <v>1</v>
      </c>
      <c r="N58">
        <v>1</v>
      </c>
      <c r="O58" t="s">
        <v>152</v>
      </c>
      <c r="P58" t="s">
        <v>70</v>
      </c>
      <c r="S58" t="s">
        <v>53</v>
      </c>
      <c r="T58">
        <v>1</v>
      </c>
      <c r="U58">
        <v>1</v>
      </c>
      <c r="V58">
        <v>1</v>
      </c>
      <c r="W58" t="s">
        <v>111</v>
      </c>
      <c r="AA58" t="s">
        <v>43</v>
      </c>
      <c r="AB58">
        <v>3</v>
      </c>
      <c r="AD58">
        <v>3</v>
      </c>
      <c r="AE58" t="s">
        <v>135</v>
      </c>
      <c r="AF58" t="s">
        <v>74</v>
      </c>
      <c r="AG58" t="s">
        <v>100</v>
      </c>
      <c r="AI58">
        <v>13</v>
      </c>
      <c r="AJ58">
        <v>33</v>
      </c>
    </row>
    <row r="59" spans="1:36" x14ac:dyDescent="0.25">
      <c r="A59" t="s">
        <v>284</v>
      </c>
      <c r="B59">
        <v>59</v>
      </c>
      <c r="C59" t="s">
        <v>53</v>
      </c>
      <c r="D59">
        <v>2</v>
      </c>
      <c r="E59">
        <v>1</v>
      </c>
      <c r="F59">
        <v>1</v>
      </c>
      <c r="G59" t="s">
        <v>54</v>
      </c>
      <c r="H59" t="s">
        <v>55</v>
      </c>
      <c r="K59" t="s">
        <v>43</v>
      </c>
      <c r="L59">
        <v>2</v>
      </c>
      <c r="N59">
        <v>1</v>
      </c>
      <c r="O59" t="s">
        <v>135</v>
      </c>
      <c r="P59" t="s">
        <v>74</v>
      </c>
      <c r="Q59" t="s">
        <v>137</v>
      </c>
      <c r="S59" t="s">
        <v>63</v>
      </c>
      <c r="T59">
        <v>1</v>
      </c>
      <c r="V59">
        <v>1</v>
      </c>
      <c r="W59" t="s">
        <v>103</v>
      </c>
      <c r="AA59" t="s">
        <v>38</v>
      </c>
      <c r="AB59">
        <v>2</v>
      </c>
      <c r="AC59">
        <v>1</v>
      </c>
      <c r="AD59">
        <v>2</v>
      </c>
      <c r="AE59" t="s">
        <v>152</v>
      </c>
      <c r="AF59" t="s">
        <v>70</v>
      </c>
      <c r="AG59" t="s">
        <v>41</v>
      </c>
      <c r="AH59" t="s">
        <v>42</v>
      </c>
      <c r="AI59">
        <v>10</v>
      </c>
      <c r="AJ59">
        <v>30</v>
      </c>
    </row>
    <row r="60" spans="1:36" x14ac:dyDescent="0.25">
      <c r="A60" t="s">
        <v>285</v>
      </c>
      <c r="B60">
        <v>60</v>
      </c>
      <c r="C60" t="s">
        <v>56</v>
      </c>
      <c r="D60">
        <v>2</v>
      </c>
      <c r="F60">
        <v>1</v>
      </c>
      <c r="G60" t="s">
        <v>57</v>
      </c>
      <c r="H60" t="s">
        <v>122</v>
      </c>
      <c r="K60" t="s">
        <v>48</v>
      </c>
      <c r="L60">
        <v>1</v>
      </c>
      <c r="N60">
        <v>1</v>
      </c>
      <c r="O60" t="s">
        <v>89</v>
      </c>
      <c r="S60" t="s">
        <v>53</v>
      </c>
      <c r="T60">
        <v>2</v>
      </c>
      <c r="U60">
        <v>1</v>
      </c>
      <c r="V60">
        <v>1</v>
      </c>
      <c r="W60" t="s">
        <v>54</v>
      </c>
      <c r="AA60" t="s">
        <v>45</v>
      </c>
      <c r="AB60">
        <v>2</v>
      </c>
      <c r="AD60">
        <v>1</v>
      </c>
      <c r="AE60" t="s">
        <v>47</v>
      </c>
      <c r="AI60">
        <v>4</v>
      </c>
      <c r="AJ60">
        <v>28</v>
      </c>
    </row>
    <row r="61" spans="1:36" x14ac:dyDescent="0.25">
      <c r="A61" t="s">
        <v>286</v>
      </c>
      <c r="B61">
        <v>61</v>
      </c>
      <c r="C61" t="s">
        <v>53</v>
      </c>
      <c r="D61">
        <v>1</v>
      </c>
      <c r="E61">
        <v>1</v>
      </c>
      <c r="F61">
        <v>1</v>
      </c>
      <c r="G61" t="s">
        <v>111</v>
      </c>
      <c r="K61" t="s">
        <v>45</v>
      </c>
      <c r="L61">
        <v>3</v>
      </c>
      <c r="N61">
        <v>1</v>
      </c>
      <c r="O61" t="s">
        <v>47</v>
      </c>
      <c r="S61" t="s">
        <v>56</v>
      </c>
      <c r="T61">
        <v>1</v>
      </c>
      <c r="V61">
        <v>1</v>
      </c>
      <c r="W61" t="s">
        <v>57</v>
      </c>
      <c r="AA61" t="s">
        <v>33</v>
      </c>
      <c r="AB61">
        <v>1</v>
      </c>
      <c r="AD61">
        <v>2</v>
      </c>
      <c r="AE61" t="s">
        <v>46</v>
      </c>
      <c r="AI61">
        <v>3</v>
      </c>
      <c r="AJ61">
        <v>29</v>
      </c>
    </row>
    <row r="62" spans="1:36" x14ac:dyDescent="0.25">
      <c r="A62" t="s">
        <v>287</v>
      </c>
      <c r="B62">
        <v>62</v>
      </c>
      <c r="C62" t="s">
        <v>56</v>
      </c>
      <c r="D62">
        <v>1</v>
      </c>
      <c r="F62">
        <v>1</v>
      </c>
      <c r="G62" t="s">
        <v>57</v>
      </c>
      <c r="K62" t="s">
        <v>43</v>
      </c>
      <c r="L62">
        <v>2</v>
      </c>
      <c r="N62">
        <v>2</v>
      </c>
      <c r="O62" t="s">
        <v>135</v>
      </c>
      <c r="P62" t="s">
        <v>99</v>
      </c>
      <c r="Q62" t="s">
        <v>75</v>
      </c>
      <c r="S62" t="s">
        <v>53</v>
      </c>
      <c r="T62">
        <v>2</v>
      </c>
      <c r="U62">
        <v>1</v>
      </c>
      <c r="V62">
        <v>1</v>
      </c>
      <c r="W62" t="s">
        <v>54</v>
      </c>
      <c r="X62" t="s">
        <v>83</v>
      </c>
      <c r="Y62" t="s">
        <v>97</v>
      </c>
      <c r="AA62" t="s">
        <v>45</v>
      </c>
      <c r="AB62">
        <v>2</v>
      </c>
      <c r="AD62">
        <v>1</v>
      </c>
      <c r="AE62" t="s">
        <v>47</v>
      </c>
      <c r="AI62">
        <v>8</v>
      </c>
      <c r="AJ62">
        <v>29</v>
      </c>
    </row>
    <row r="63" spans="1:36" x14ac:dyDescent="0.25">
      <c r="A63" t="s">
        <v>288</v>
      </c>
      <c r="B63">
        <v>63</v>
      </c>
      <c r="C63" t="s">
        <v>53</v>
      </c>
      <c r="D63">
        <v>2</v>
      </c>
      <c r="E63">
        <v>1</v>
      </c>
      <c r="F63">
        <v>1</v>
      </c>
      <c r="G63" t="s">
        <v>54</v>
      </c>
      <c r="K63" t="s">
        <v>45</v>
      </c>
      <c r="L63">
        <v>2</v>
      </c>
      <c r="N63">
        <v>1</v>
      </c>
      <c r="O63" t="s">
        <v>47</v>
      </c>
      <c r="S63" t="s">
        <v>56</v>
      </c>
      <c r="T63">
        <v>2</v>
      </c>
      <c r="V63">
        <v>1</v>
      </c>
      <c r="W63" t="s">
        <v>57</v>
      </c>
      <c r="X63" t="s">
        <v>122</v>
      </c>
      <c r="AA63" t="s">
        <v>63</v>
      </c>
      <c r="AB63">
        <v>1</v>
      </c>
      <c r="AD63">
        <v>1</v>
      </c>
      <c r="AE63" t="s">
        <v>72</v>
      </c>
      <c r="AI63">
        <v>4</v>
      </c>
      <c r="AJ63">
        <v>19</v>
      </c>
    </row>
    <row r="64" spans="1:36" x14ac:dyDescent="0.25">
      <c r="A64" t="s">
        <v>289</v>
      </c>
      <c r="B64">
        <v>64</v>
      </c>
      <c r="C64" t="s">
        <v>53</v>
      </c>
      <c r="D64">
        <v>3</v>
      </c>
      <c r="E64">
        <v>3</v>
      </c>
      <c r="F64">
        <v>3</v>
      </c>
      <c r="G64" t="s">
        <v>54</v>
      </c>
      <c r="H64" t="s">
        <v>83</v>
      </c>
      <c r="I64" t="s">
        <v>97</v>
      </c>
      <c r="K64" t="s">
        <v>45</v>
      </c>
      <c r="L64">
        <v>2</v>
      </c>
      <c r="N64">
        <v>1</v>
      </c>
      <c r="O64" t="s">
        <v>47</v>
      </c>
      <c r="S64" t="s">
        <v>56</v>
      </c>
      <c r="T64">
        <v>3</v>
      </c>
      <c r="V64">
        <v>2</v>
      </c>
      <c r="W64" t="s">
        <v>57</v>
      </c>
      <c r="X64" t="s">
        <v>122</v>
      </c>
      <c r="Y64" t="s">
        <v>85</v>
      </c>
      <c r="Z64" t="s">
        <v>124</v>
      </c>
      <c r="AA64" t="s">
        <v>38</v>
      </c>
      <c r="AB64">
        <v>2</v>
      </c>
      <c r="AC64">
        <v>1</v>
      </c>
      <c r="AD64">
        <v>1</v>
      </c>
      <c r="AE64" t="s">
        <v>152</v>
      </c>
      <c r="AI64">
        <v>16</v>
      </c>
      <c r="AJ64">
        <v>51</v>
      </c>
    </row>
    <row r="65" spans="1:36" x14ac:dyDescent="0.25">
      <c r="A65" t="s">
        <v>290</v>
      </c>
      <c r="B65">
        <v>65</v>
      </c>
      <c r="C65" t="s">
        <v>53</v>
      </c>
      <c r="D65">
        <v>1</v>
      </c>
      <c r="E65">
        <v>1</v>
      </c>
      <c r="F65">
        <v>1</v>
      </c>
      <c r="G65" t="s">
        <v>111</v>
      </c>
      <c r="K65" t="s">
        <v>45</v>
      </c>
      <c r="L65">
        <v>3</v>
      </c>
      <c r="N65">
        <v>1</v>
      </c>
      <c r="O65" t="s">
        <v>47</v>
      </c>
      <c r="S65" t="s">
        <v>48</v>
      </c>
      <c r="T65">
        <v>2</v>
      </c>
      <c r="V65">
        <v>1</v>
      </c>
      <c r="W65" t="s">
        <v>89</v>
      </c>
      <c r="AA65" t="s">
        <v>33</v>
      </c>
      <c r="AB65">
        <v>1</v>
      </c>
      <c r="AD65">
        <v>1</v>
      </c>
      <c r="AE65" t="s">
        <v>46</v>
      </c>
      <c r="AI65">
        <v>3</v>
      </c>
      <c r="AJ65">
        <v>20</v>
      </c>
    </row>
    <row r="66" spans="1:36" x14ac:dyDescent="0.25">
      <c r="A66" t="s">
        <v>291</v>
      </c>
      <c r="B66">
        <v>66</v>
      </c>
      <c r="C66" t="s">
        <v>53</v>
      </c>
      <c r="D66">
        <v>1</v>
      </c>
      <c r="E66">
        <v>1</v>
      </c>
      <c r="F66">
        <v>1</v>
      </c>
      <c r="G66" t="s">
        <v>54</v>
      </c>
      <c r="H66" t="s">
        <v>83</v>
      </c>
      <c r="K66" t="s">
        <v>45</v>
      </c>
      <c r="L66">
        <v>3</v>
      </c>
      <c r="N66">
        <v>2</v>
      </c>
      <c r="O66" t="s">
        <v>47</v>
      </c>
      <c r="S66" t="s">
        <v>48</v>
      </c>
      <c r="T66">
        <v>1</v>
      </c>
      <c r="V66">
        <v>1</v>
      </c>
      <c r="W66" t="s">
        <v>89</v>
      </c>
      <c r="AA66" t="s">
        <v>43</v>
      </c>
      <c r="AB66">
        <v>2</v>
      </c>
      <c r="AD66">
        <v>2</v>
      </c>
      <c r="AE66" t="s">
        <v>135</v>
      </c>
      <c r="AF66" t="s">
        <v>74</v>
      </c>
      <c r="AI66">
        <v>7</v>
      </c>
      <c r="AJ66">
        <v>20</v>
      </c>
    </row>
    <row r="67" spans="1:36" x14ac:dyDescent="0.25">
      <c r="A67" t="s">
        <v>292</v>
      </c>
      <c r="B67">
        <v>67</v>
      </c>
      <c r="C67" t="s">
        <v>53</v>
      </c>
      <c r="D67">
        <v>2</v>
      </c>
      <c r="E67">
        <v>1</v>
      </c>
      <c r="F67">
        <v>1</v>
      </c>
      <c r="G67" t="s">
        <v>111</v>
      </c>
      <c r="H67" t="s">
        <v>83</v>
      </c>
      <c r="K67" t="s">
        <v>45</v>
      </c>
      <c r="L67">
        <v>3</v>
      </c>
      <c r="N67">
        <v>2</v>
      </c>
      <c r="O67" t="s">
        <v>47</v>
      </c>
      <c r="P67" t="s">
        <v>76</v>
      </c>
      <c r="Q67" t="s">
        <v>102</v>
      </c>
      <c r="R67" t="s">
        <v>143</v>
      </c>
      <c r="S67" t="s">
        <v>48</v>
      </c>
      <c r="T67">
        <v>1</v>
      </c>
      <c r="V67">
        <v>1</v>
      </c>
      <c r="W67" t="s">
        <v>89</v>
      </c>
      <c r="AA67" t="s">
        <v>63</v>
      </c>
      <c r="AB67">
        <v>2</v>
      </c>
      <c r="AD67">
        <v>1</v>
      </c>
      <c r="AE67" t="s">
        <v>103</v>
      </c>
      <c r="AI67">
        <v>9</v>
      </c>
      <c r="AJ67">
        <v>38</v>
      </c>
    </row>
    <row r="68" spans="1:36" x14ac:dyDescent="0.25">
      <c r="A68" t="s">
        <v>293</v>
      </c>
      <c r="B68">
        <v>68</v>
      </c>
      <c r="C68" t="s">
        <v>48</v>
      </c>
      <c r="D68">
        <v>2</v>
      </c>
      <c r="F68">
        <v>1</v>
      </c>
      <c r="G68" t="s">
        <v>89</v>
      </c>
      <c r="H68" t="s">
        <v>50</v>
      </c>
      <c r="K68" t="s">
        <v>38</v>
      </c>
      <c r="L68">
        <v>3</v>
      </c>
      <c r="M68">
        <v>1</v>
      </c>
      <c r="N68">
        <v>1</v>
      </c>
      <c r="O68" t="s">
        <v>152</v>
      </c>
      <c r="P68" t="s">
        <v>70</v>
      </c>
      <c r="S68" t="s">
        <v>53</v>
      </c>
      <c r="T68">
        <v>1</v>
      </c>
      <c r="U68">
        <v>2</v>
      </c>
      <c r="V68">
        <v>1</v>
      </c>
      <c r="W68" t="s">
        <v>111</v>
      </c>
      <c r="AA68" t="s">
        <v>45</v>
      </c>
      <c r="AB68">
        <v>2</v>
      </c>
      <c r="AD68">
        <v>1</v>
      </c>
      <c r="AE68" t="s">
        <v>47</v>
      </c>
      <c r="AI68">
        <v>7</v>
      </c>
      <c r="AJ68">
        <v>18</v>
      </c>
    </row>
    <row r="69" spans="1:36" x14ac:dyDescent="0.25">
      <c r="A69" t="s">
        <v>294</v>
      </c>
      <c r="B69">
        <v>69</v>
      </c>
      <c r="C69" t="s">
        <v>53</v>
      </c>
      <c r="D69">
        <v>1</v>
      </c>
      <c r="E69">
        <v>1</v>
      </c>
      <c r="F69">
        <v>1</v>
      </c>
      <c r="G69" t="s">
        <v>111</v>
      </c>
      <c r="H69" t="s">
        <v>113</v>
      </c>
      <c r="K69" t="s">
        <v>45</v>
      </c>
      <c r="L69">
        <v>3</v>
      </c>
      <c r="N69">
        <v>1</v>
      </c>
      <c r="O69" t="s">
        <v>47</v>
      </c>
      <c r="S69" t="s">
        <v>33</v>
      </c>
      <c r="T69">
        <v>3</v>
      </c>
      <c r="V69">
        <v>3</v>
      </c>
      <c r="W69" t="s">
        <v>46</v>
      </c>
      <c r="AA69" t="s">
        <v>43</v>
      </c>
      <c r="AB69">
        <v>1</v>
      </c>
      <c r="AD69">
        <v>1</v>
      </c>
      <c r="AE69" t="s">
        <v>135</v>
      </c>
      <c r="AI69">
        <v>7</v>
      </c>
      <c r="AJ69">
        <v>22</v>
      </c>
    </row>
    <row r="70" spans="1:36" x14ac:dyDescent="0.25">
      <c r="A70" t="s">
        <v>295</v>
      </c>
      <c r="B70">
        <v>70</v>
      </c>
      <c r="C70" t="s">
        <v>53</v>
      </c>
      <c r="D70">
        <v>1</v>
      </c>
      <c r="E70">
        <v>1</v>
      </c>
      <c r="F70">
        <v>1</v>
      </c>
      <c r="G70" t="s">
        <v>111</v>
      </c>
      <c r="H70" t="s">
        <v>83</v>
      </c>
      <c r="K70" t="s">
        <v>45</v>
      </c>
      <c r="L70">
        <v>3</v>
      </c>
      <c r="N70">
        <v>1</v>
      </c>
      <c r="O70" t="s">
        <v>47</v>
      </c>
      <c r="S70" t="s">
        <v>33</v>
      </c>
      <c r="T70">
        <v>2</v>
      </c>
      <c r="V70">
        <v>1</v>
      </c>
      <c r="W70" t="s">
        <v>46</v>
      </c>
      <c r="AA70" t="s">
        <v>63</v>
      </c>
      <c r="AB70">
        <v>2</v>
      </c>
      <c r="AD70">
        <v>1</v>
      </c>
      <c r="AE70" t="s">
        <v>103</v>
      </c>
      <c r="AI70">
        <v>5</v>
      </c>
      <c r="AJ70">
        <v>22</v>
      </c>
    </row>
    <row r="71" spans="1:36" x14ac:dyDescent="0.25">
      <c r="A71" t="s">
        <v>296</v>
      </c>
      <c r="B71">
        <v>71</v>
      </c>
      <c r="C71" t="s">
        <v>53</v>
      </c>
      <c r="D71">
        <v>1</v>
      </c>
      <c r="E71">
        <v>1</v>
      </c>
      <c r="F71">
        <v>1</v>
      </c>
      <c r="G71" t="s">
        <v>111</v>
      </c>
      <c r="H71" t="s">
        <v>113</v>
      </c>
      <c r="K71" t="s">
        <v>45</v>
      </c>
      <c r="L71">
        <v>3</v>
      </c>
      <c r="N71">
        <v>1</v>
      </c>
      <c r="O71" t="s">
        <v>47</v>
      </c>
      <c r="S71" t="s">
        <v>33</v>
      </c>
      <c r="T71">
        <v>1</v>
      </c>
      <c r="V71">
        <v>2</v>
      </c>
      <c r="W71" t="s">
        <v>46</v>
      </c>
      <c r="AA71" t="s">
        <v>38</v>
      </c>
      <c r="AB71">
        <v>2</v>
      </c>
      <c r="AC71">
        <v>1</v>
      </c>
      <c r="AD71">
        <v>2</v>
      </c>
      <c r="AE71" t="s">
        <v>152</v>
      </c>
      <c r="AI71">
        <v>6</v>
      </c>
      <c r="AJ71">
        <v>32</v>
      </c>
    </row>
    <row r="72" spans="1:36" x14ac:dyDescent="0.25">
      <c r="A72" t="s">
        <v>297</v>
      </c>
      <c r="B72">
        <v>72</v>
      </c>
      <c r="C72" t="s">
        <v>53</v>
      </c>
      <c r="D72">
        <v>3</v>
      </c>
      <c r="E72">
        <v>1</v>
      </c>
      <c r="F72">
        <v>1</v>
      </c>
      <c r="G72" t="s">
        <v>54</v>
      </c>
      <c r="K72" t="s">
        <v>45</v>
      </c>
      <c r="L72">
        <v>2</v>
      </c>
      <c r="N72">
        <v>1</v>
      </c>
      <c r="O72" t="s">
        <v>86</v>
      </c>
      <c r="S72" t="s">
        <v>43</v>
      </c>
      <c r="T72">
        <v>2</v>
      </c>
      <c r="V72">
        <v>1</v>
      </c>
      <c r="W72" t="s">
        <v>135</v>
      </c>
      <c r="X72" t="s">
        <v>136</v>
      </c>
      <c r="AA72" t="s">
        <v>63</v>
      </c>
      <c r="AB72">
        <v>2</v>
      </c>
      <c r="AD72">
        <v>1</v>
      </c>
      <c r="AE72" t="s">
        <v>103</v>
      </c>
      <c r="AF72" t="s">
        <v>91</v>
      </c>
      <c r="AI72">
        <v>7</v>
      </c>
      <c r="AJ72">
        <v>24</v>
      </c>
    </row>
    <row r="73" spans="1:36" x14ac:dyDescent="0.25">
      <c r="A73" t="s">
        <v>298</v>
      </c>
      <c r="B73">
        <v>73</v>
      </c>
      <c r="C73" t="s">
        <v>43</v>
      </c>
      <c r="D73">
        <v>1</v>
      </c>
      <c r="F73">
        <v>1</v>
      </c>
      <c r="G73" t="s">
        <v>135</v>
      </c>
      <c r="H73" t="s">
        <v>74</v>
      </c>
      <c r="I73" t="s">
        <v>75</v>
      </c>
      <c r="K73" t="s">
        <v>38</v>
      </c>
      <c r="L73">
        <v>2</v>
      </c>
      <c r="M73">
        <v>1</v>
      </c>
      <c r="N73">
        <v>1</v>
      </c>
      <c r="O73" t="s">
        <v>152</v>
      </c>
      <c r="P73" t="s">
        <v>70</v>
      </c>
      <c r="S73" t="s">
        <v>53</v>
      </c>
      <c r="T73">
        <v>3</v>
      </c>
      <c r="U73">
        <v>1</v>
      </c>
      <c r="V73">
        <v>1</v>
      </c>
      <c r="W73" t="s">
        <v>54</v>
      </c>
      <c r="AA73" t="s">
        <v>45</v>
      </c>
      <c r="AB73">
        <v>1</v>
      </c>
      <c r="AD73">
        <v>1</v>
      </c>
      <c r="AE73" t="s">
        <v>86</v>
      </c>
      <c r="AI73">
        <v>6</v>
      </c>
      <c r="AJ73">
        <v>19</v>
      </c>
    </row>
    <row r="74" spans="1:36" x14ac:dyDescent="0.25">
      <c r="A74" t="s">
        <v>299</v>
      </c>
      <c r="B74">
        <v>74</v>
      </c>
      <c r="C74" t="s">
        <v>63</v>
      </c>
      <c r="D74">
        <v>2</v>
      </c>
      <c r="F74">
        <v>1</v>
      </c>
      <c r="G74" t="s">
        <v>103</v>
      </c>
      <c r="H74" t="s">
        <v>95</v>
      </c>
      <c r="K74" t="s">
        <v>38</v>
      </c>
      <c r="L74">
        <v>1</v>
      </c>
      <c r="M74">
        <v>1</v>
      </c>
      <c r="N74">
        <v>2</v>
      </c>
      <c r="O74" t="s">
        <v>152</v>
      </c>
      <c r="P74" t="s">
        <v>70</v>
      </c>
      <c r="S74" t="s">
        <v>53</v>
      </c>
      <c r="T74">
        <v>2</v>
      </c>
      <c r="U74">
        <v>1</v>
      </c>
      <c r="V74">
        <v>1</v>
      </c>
      <c r="W74" t="s">
        <v>54</v>
      </c>
      <c r="AA74" t="s">
        <v>45</v>
      </c>
      <c r="AB74">
        <v>3</v>
      </c>
      <c r="AD74">
        <v>1</v>
      </c>
      <c r="AE74" t="s">
        <v>47</v>
      </c>
      <c r="AI74">
        <v>7</v>
      </c>
      <c r="AJ74">
        <v>24</v>
      </c>
    </row>
    <row r="75" spans="1:36" x14ac:dyDescent="0.25">
      <c r="A75" t="s">
        <v>300</v>
      </c>
      <c r="B75">
        <v>75</v>
      </c>
      <c r="C75" t="s">
        <v>53</v>
      </c>
      <c r="D75">
        <v>2</v>
      </c>
      <c r="E75">
        <v>1</v>
      </c>
      <c r="F75">
        <v>1</v>
      </c>
      <c r="G75" t="s">
        <v>54</v>
      </c>
      <c r="K75" t="s">
        <v>63</v>
      </c>
      <c r="L75">
        <v>1</v>
      </c>
      <c r="N75">
        <v>1</v>
      </c>
      <c r="O75" t="s">
        <v>72</v>
      </c>
      <c r="P75" t="s">
        <v>91</v>
      </c>
      <c r="S75" t="s">
        <v>56</v>
      </c>
      <c r="T75">
        <v>1</v>
      </c>
      <c r="V75">
        <v>1</v>
      </c>
      <c r="W75" t="s">
        <v>57</v>
      </c>
      <c r="AA75" t="s">
        <v>48</v>
      </c>
      <c r="AB75">
        <v>2</v>
      </c>
      <c r="AD75">
        <v>1</v>
      </c>
      <c r="AE75" t="s">
        <v>49</v>
      </c>
      <c r="AI75">
        <v>3</v>
      </c>
      <c r="AJ75">
        <v>27</v>
      </c>
    </row>
    <row r="76" spans="1:36" x14ac:dyDescent="0.25">
      <c r="A76" t="s">
        <v>301</v>
      </c>
      <c r="B76">
        <v>76</v>
      </c>
      <c r="C76" t="s">
        <v>56</v>
      </c>
      <c r="D76">
        <v>1</v>
      </c>
      <c r="F76">
        <v>1</v>
      </c>
      <c r="G76" t="s">
        <v>57</v>
      </c>
      <c r="K76" t="s">
        <v>33</v>
      </c>
      <c r="L76">
        <v>1</v>
      </c>
      <c r="N76">
        <v>2</v>
      </c>
      <c r="O76" t="s">
        <v>46</v>
      </c>
      <c r="S76" t="s">
        <v>53</v>
      </c>
      <c r="T76">
        <v>2</v>
      </c>
      <c r="U76">
        <v>1</v>
      </c>
      <c r="V76">
        <v>1</v>
      </c>
      <c r="W76" t="s">
        <v>54</v>
      </c>
      <c r="AA76" t="s">
        <v>63</v>
      </c>
      <c r="AB76">
        <v>1</v>
      </c>
      <c r="AD76">
        <v>1</v>
      </c>
      <c r="AE76" t="s">
        <v>72</v>
      </c>
      <c r="AI76">
        <v>2</v>
      </c>
      <c r="AJ76">
        <v>26</v>
      </c>
    </row>
    <row r="77" spans="1:36" x14ac:dyDescent="0.25">
      <c r="A77" t="s">
        <v>302</v>
      </c>
      <c r="B77">
        <v>77</v>
      </c>
      <c r="C77" t="s">
        <v>56</v>
      </c>
      <c r="D77">
        <v>1</v>
      </c>
      <c r="F77">
        <v>1</v>
      </c>
      <c r="G77" t="s">
        <v>57</v>
      </c>
      <c r="K77" t="s">
        <v>43</v>
      </c>
      <c r="L77">
        <v>2</v>
      </c>
      <c r="N77">
        <v>1</v>
      </c>
      <c r="O77" t="s">
        <v>135</v>
      </c>
      <c r="P77" t="s">
        <v>74</v>
      </c>
      <c r="S77" t="s">
        <v>53</v>
      </c>
      <c r="T77">
        <v>2</v>
      </c>
      <c r="U77">
        <v>1</v>
      </c>
      <c r="V77">
        <v>1</v>
      </c>
      <c r="W77" t="s">
        <v>111</v>
      </c>
      <c r="AA77" t="s">
        <v>63</v>
      </c>
      <c r="AB77">
        <v>1</v>
      </c>
      <c r="AD77">
        <v>1</v>
      </c>
      <c r="AE77" t="s">
        <v>103</v>
      </c>
      <c r="AI77">
        <v>3</v>
      </c>
      <c r="AJ77">
        <v>26</v>
      </c>
    </row>
    <row r="78" spans="1:36" x14ac:dyDescent="0.25">
      <c r="A78" t="s">
        <v>303</v>
      </c>
      <c r="B78">
        <v>78</v>
      </c>
      <c r="C78" t="s">
        <v>53</v>
      </c>
      <c r="D78">
        <v>2</v>
      </c>
      <c r="E78">
        <v>1</v>
      </c>
      <c r="F78">
        <v>1</v>
      </c>
      <c r="G78" t="s">
        <v>54</v>
      </c>
      <c r="K78" t="s">
        <v>63</v>
      </c>
      <c r="L78">
        <v>3</v>
      </c>
      <c r="N78">
        <v>3</v>
      </c>
      <c r="O78" t="s">
        <v>72</v>
      </c>
      <c r="P78" t="s">
        <v>91</v>
      </c>
      <c r="Q78" t="s">
        <v>147</v>
      </c>
      <c r="R78" t="s">
        <v>151</v>
      </c>
      <c r="S78" t="s">
        <v>56</v>
      </c>
      <c r="T78">
        <v>1</v>
      </c>
      <c r="V78">
        <v>1</v>
      </c>
      <c r="W78" t="s">
        <v>57</v>
      </c>
      <c r="AA78" t="s">
        <v>45</v>
      </c>
      <c r="AB78">
        <v>3</v>
      </c>
      <c r="AD78">
        <v>3</v>
      </c>
      <c r="AE78" t="s">
        <v>47</v>
      </c>
      <c r="AF78" t="s">
        <v>76</v>
      </c>
      <c r="AG78" t="s">
        <v>93</v>
      </c>
      <c r="AH78" t="s">
        <v>144</v>
      </c>
      <c r="AI78">
        <v>15</v>
      </c>
      <c r="AJ78">
        <v>84</v>
      </c>
    </row>
    <row r="79" spans="1:36" x14ac:dyDescent="0.25">
      <c r="A79" t="s">
        <v>304</v>
      </c>
      <c r="B79">
        <v>79</v>
      </c>
      <c r="C79" t="s">
        <v>56</v>
      </c>
      <c r="D79">
        <v>2</v>
      </c>
      <c r="F79">
        <v>1</v>
      </c>
      <c r="G79" t="s">
        <v>57</v>
      </c>
      <c r="H79" t="s">
        <v>122</v>
      </c>
      <c r="K79" t="s">
        <v>38</v>
      </c>
      <c r="L79">
        <v>1</v>
      </c>
      <c r="M79">
        <v>1</v>
      </c>
      <c r="N79">
        <v>1</v>
      </c>
      <c r="O79" t="s">
        <v>152</v>
      </c>
      <c r="P79" t="s">
        <v>70</v>
      </c>
      <c r="S79" t="s">
        <v>53</v>
      </c>
      <c r="T79">
        <v>2</v>
      </c>
      <c r="U79">
        <v>1</v>
      </c>
      <c r="V79">
        <v>1</v>
      </c>
      <c r="W79" t="s">
        <v>54</v>
      </c>
      <c r="AA79" t="s">
        <v>63</v>
      </c>
      <c r="AB79">
        <v>1</v>
      </c>
      <c r="AD79">
        <v>1</v>
      </c>
      <c r="AE79" t="s">
        <v>103</v>
      </c>
      <c r="AI79">
        <v>4</v>
      </c>
      <c r="AJ79">
        <v>23</v>
      </c>
    </row>
    <row r="80" spans="1:36" x14ac:dyDescent="0.25">
      <c r="A80" t="s">
        <v>305</v>
      </c>
      <c r="B80">
        <v>80</v>
      </c>
      <c r="C80" t="s">
        <v>53</v>
      </c>
      <c r="D80">
        <v>2</v>
      </c>
      <c r="E80">
        <v>1</v>
      </c>
      <c r="F80">
        <v>1</v>
      </c>
      <c r="G80" t="s">
        <v>111</v>
      </c>
      <c r="K80" t="s">
        <v>63</v>
      </c>
      <c r="L80">
        <v>1</v>
      </c>
      <c r="N80">
        <v>1</v>
      </c>
      <c r="O80" t="s">
        <v>72</v>
      </c>
      <c r="S80" t="s">
        <v>48</v>
      </c>
      <c r="T80">
        <v>1</v>
      </c>
      <c r="V80">
        <v>1</v>
      </c>
      <c r="W80" t="s">
        <v>49</v>
      </c>
      <c r="AA80" t="s">
        <v>33</v>
      </c>
      <c r="AB80">
        <v>1</v>
      </c>
      <c r="AD80">
        <v>1</v>
      </c>
      <c r="AE80" t="s">
        <v>46</v>
      </c>
      <c r="AI80">
        <v>1</v>
      </c>
      <c r="AJ80">
        <v>24</v>
      </c>
    </row>
    <row r="81" spans="1:36" x14ac:dyDescent="0.25">
      <c r="A81" t="s">
        <v>306</v>
      </c>
      <c r="B81">
        <v>81</v>
      </c>
      <c r="C81" t="s">
        <v>53</v>
      </c>
      <c r="D81">
        <v>1</v>
      </c>
      <c r="E81">
        <v>1</v>
      </c>
      <c r="F81">
        <v>1</v>
      </c>
      <c r="G81" t="s">
        <v>111</v>
      </c>
      <c r="K81" t="s">
        <v>63</v>
      </c>
      <c r="L81">
        <v>3</v>
      </c>
      <c r="N81">
        <v>3</v>
      </c>
      <c r="O81" t="s">
        <v>72</v>
      </c>
      <c r="P81" t="s">
        <v>146</v>
      </c>
      <c r="Q81" t="s">
        <v>104</v>
      </c>
      <c r="R81" t="s">
        <v>151</v>
      </c>
      <c r="S81" t="s">
        <v>48</v>
      </c>
      <c r="T81">
        <v>1</v>
      </c>
      <c r="V81">
        <v>1</v>
      </c>
      <c r="W81" t="s">
        <v>49</v>
      </c>
      <c r="AA81" t="s">
        <v>43</v>
      </c>
      <c r="AB81">
        <v>3</v>
      </c>
      <c r="AD81">
        <v>3</v>
      </c>
      <c r="AE81" t="s">
        <v>135</v>
      </c>
      <c r="AF81" t="s">
        <v>74</v>
      </c>
      <c r="AG81" t="s">
        <v>75</v>
      </c>
      <c r="AH81" t="s">
        <v>139</v>
      </c>
      <c r="AI81">
        <v>14</v>
      </c>
      <c r="AJ81">
        <v>36</v>
      </c>
    </row>
    <row r="82" spans="1:36" x14ac:dyDescent="0.25">
      <c r="A82" t="s">
        <v>307</v>
      </c>
      <c r="B82">
        <v>82</v>
      </c>
      <c r="C82" t="s">
        <v>53</v>
      </c>
      <c r="D82">
        <v>3</v>
      </c>
      <c r="E82">
        <v>1</v>
      </c>
      <c r="F82">
        <v>1</v>
      </c>
      <c r="G82" t="s">
        <v>54</v>
      </c>
      <c r="K82" t="s">
        <v>63</v>
      </c>
      <c r="L82">
        <v>1</v>
      </c>
      <c r="N82">
        <v>1</v>
      </c>
      <c r="O82" t="s">
        <v>72</v>
      </c>
      <c r="S82" t="s">
        <v>48</v>
      </c>
      <c r="T82">
        <v>3</v>
      </c>
      <c r="V82">
        <v>1</v>
      </c>
      <c r="W82" t="s">
        <v>49</v>
      </c>
      <c r="AA82" t="s">
        <v>45</v>
      </c>
      <c r="AB82">
        <v>2</v>
      </c>
      <c r="AD82">
        <v>1</v>
      </c>
      <c r="AE82" t="s">
        <v>47</v>
      </c>
      <c r="AI82">
        <v>5</v>
      </c>
      <c r="AJ82">
        <v>30</v>
      </c>
    </row>
    <row r="83" spans="1:36" x14ac:dyDescent="0.25">
      <c r="A83" t="s">
        <v>308</v>
      </c>
      <c r="B83">
        <v>83</v>
      </c>
      <c r="C83" t="s">
        <v>53</v>
      </c>
      <c r="D83">
        <v>1</v>
      </c>
      <c r="E83">
        <v>1</v>
      </c>
      <c r="F83">
        <v>1</v>
      </c>
      <c r="G83" t="s">
        <v>111</v>
      </c>
      <c r="K83" t="s">
        <v>63</v>
      </c>
      <c r="L83">
        <v>3</v>
      </c>
      <c r="N83">
        <v>2</v>
      </c>
      <c r="O83" t="s">
        <v>72</v>
      </c>
      <c r="P83" t="s">
        <v>95</v>
      </c>
      <c r="Q83" t="s">
        <v>147</v>
      </c>
      <c r="R83" t="s">
        <v>151</v>
      </c>
      <c r="S83" t="s">
        <v>48</v>
      </c>
      <c r="T83">
        <v>3</v>
      </c>
      <c r="V83">
        <v>1</v>
      </c>
      <c r="W83" t="s">
        <v>49</v>
      </c>
      <c r="AA83" t="s">
        <v>38</v>
      </c>
      <c r="AB83">
        <v>1</v>
      </c>
      <c r="AC83">
        <v>1</v>
      </c>
      <c r="AD83">
        <v>1</v>
      </c>
      <c r="AE83" t="s">
        <v>152</v>
      </c>
      <c r="AI83">
        <v>8</v>
      </c>
      <c r="AJ83">
        <v>41</v>
      </c>
    </row>
    <row r="84" spans="1:36" x14ac:dyDescent="0.25">
      <c r="A84" t="s">
        <v>309</v>
      </c>
      <c r="B84">
        <v>84</v>
      </c>
      <c r="C84" t="s">
        <v>33</v>
      </c>
      <c r="D84">
        <v>2</v>
      </c>
      <c r="F84">
        <v>1</v>
      </c>
      <c r="G84" t="s">
        <v>46</v>
      </c>
      <c r="H84" t="s">
        <v>66</v>
      </c>
      <c r="K84" t="s">
        <v>43</v>
      </c>
      <c r="L84">
        <v>2</v>
      </c>
      <c r="N84">
        <v>1</v>
      </c>
      <c r="O84" t="s">
        <v>135</v>
      </c>
      <c r="P84" t="s">
        <v>74</v>
      </c>
      <c r="Q84" t="s">
        <v>100</v>
      </c>
      <c r="S84" t="s">
        <v>53</v>
      </c>
      <c r="T84">
        <v>1</v>
      </c>
      <c r="U84">
        <v>1</v>
      </c>
      <c r="V84">
        <v>1</v>
      </c>
      <c r="W84" t="s">
        <v>111</v>
      </c>
      <c r="X84" t="s">
        <v>113</v>
      </c>
      <c r="AA84" t="s">
        <v>63</v>
      </c>
      <c r="AB84">
        <v>2</v>
      </c>
      <c r="AD84">
        <v>1</v>
      </c>
      <c r="AE84" t="s">
        <v>72</v>
      </c>
      <c r="AF84" t="s">
        <v>91</v>
      </c>
      <c r="AI84">
        <v>8</v>
      </c>
      <c r="AJ84">
        <v>27</v>
      </c>
    </row>
    <row r="85" spans="1:36" x14ac:dyDescent="0.25">
      <c r="A85" t="s">
        <v>310</v>
      </c>
      <c r="B85">
        <v>85</v>
      </c>
      <c r="C85" t="s">
        <v>33</v>
      </c>
      <c r="D85">
        <v>2</v>
      </c>
      <c r="F85">
        <v>1</v>
      </c>
      <c r="G85" t="s">
        <v>46</v>
      </c>
      <c r="K85" t="s">
        <v>45</v>
      </c>
      <c r="L85">
        <v>2</v>
      </c>
      <c r="N85">
        <v>1</v>
      </c>
      <c r="O85" t="s">
        <v>47</v>
      </c>
      <c r="S85" t="s">
        <v>53</v>
      </c>
      <c r="T85">
        <v>1</v>
      </c>
      <c r="U85">
        <v>1</v>
      </c>
      <c r="V85">
        <v>1</v>
      </c>
      <c r="W85" t="s">
        <v>111</v>
      </c>
      <c r="X85" t="s">
        <v>55</v>
      </c>
      <c r="AA85" t="s">
        <v>63</v>
      </c>
      <c r="AB85">
        <v>1</v>
      </c>
      <c r="AD85">
        <v>1</v>
      </c>
      <c r="AE85" t="s">
        <v>72</v>
      </c>
      <c r="AI85">
        <v>3</v>
      </c>
      <c r="AJ85">
        <v>25</v>
      </c>
    </row>
    <row r="86" spans="1:36" x14ac:dyDescent="0.25">
      <c r="A86" t="s">
        <v>311</v>
      </c>
      <c r="B86">
        <v>86</v>
      </c>
      <c r="C86" t="s">
        <v>33</v>
      </c>
      <c r="D86">
        <v>1</v>
      </c>
      <c r="F86">
        <v>1</v>
      </c>
      <c r="G86" t="s">
        <v>46</v>
      </c>
      <c r="K86" t="s">
        <v>38</v>
      </c>
      <c r="L86">
        <v>2</v>
      </c>
      <c r="M86">
        <v>1</v>
      </c>
      <c r="N86">
        <v>1</v>
      </c>
      <c r="O86" t="s">
        <v>152</v>
      </c>
      <c r="S86" t="s">
        <v>53</v>
      </c>
      <c r="T86">
        <v>1</v>
      </c>
      <c r="U86">
        <v>1</v>
      </c>
      <c r="V86">
        <v>1</v>
      </c>
      <c r="W86" t="s">
        <v>111</v>
      </c>
      <c r="AA86" t="s">
        <v>63</v>
      </c>
      <c r="AB86">
        <v>1</v>
      </c>
      <c r="AD86">
        <v>1</v>
      </c>
      <c r="AE86" t="s">
        <v>72</v>
      </c>
      <c r="AI86">
        <v>1</v>
      </c>
      <c r="AJ86">
        <v>24</v>
      </c>
    </row>
    <row r="87" spans="1:36" x14ac:dyDescent="0.25">
      <c r="A87" t="s">
        <v>312</v>
      </c>
      <c r="B87">
        <v>87</v>
      </c>
      <c r="C87" t="s">
        <v>43</v>
      </c>
      <c r="D87">
        <v>2</v>
      </c>
      <c r="F87">
        <v>1</v>
      </c>
      <c r="G87" t="s">
        <v>135</v>
      </c>
      <c r="K87" t="s">
        <v>45</v>
      </c>
      <c r="L87">
        <v>3</v>
      </c>
      <c r="N87">
        <v>1</v>
      </c>
      <c r="O87" t="s">
        <v>47</v>
      </c>
      <c r="S87" t="s">
        <v>53</v>
      </c>
      <c r="T87">
        <v>1</v>
      </c>
      <c r="U87">
        <v>1</v>
      </c>
      <c r="V87">
        <v>1</v>
      </c>
      <c r="W87" t="s">
        <v>111</v>
      </c>
      <c r="AA87" t="s">
        <v>63</v>
      </c>
      <c r="AB87">
        <v>1</v>
      </c>
      <c r="AD87">
        <v>1</v>
      </c>
      <c r="AE87" t="s">
        <v>72</v>
      </c>
      <c r="AF87" t="s">
        <v>146</v>
      </c>
      <c r="AI87">
        <v>4</v>
      </c>
      <c r="AJ87">
        <v>26</v>
      </c>
    </row>
    <row r="88" spans="1:36" x14ac:dyDescent="0.25">
      <c r="A88" t="s">
        <v>313</v>
      </c>
      <c r="B88">
        <v>88</v>
      </c>
      <c r="C88" t="s">
        <v>43</v>
      </c>
      <c r="D88">
        <v>2</v>
      </c>
      <c r="F88">
        <v>1</v>
      </c>
      <c r="G88" t="s">
        <v>135</v>
      </c>
      <c r="H88" t="s">
        <v>74</v>
      </c>
      <c r="K88" t="s">
        <v>38</v>
      </c>
      <c r="L88">
        <v>1</v>
      </c>
      <c r="M88">
        <v>1</v>
      </c>
      <c r="N88">
        <v>2</v>
      </c>
      <c r="O88" t="s">
        <v>152</v>
      </c>
      <c r="P88" t="s">
        <v>70</v>
      </c>
      <c r="S88" t="s">
        <v>53</v>
      </c>
      <c r="T88">
        <v>2</v>
      </c>
      <c r="U88">
        <v>1</v>
      </c>
      <c r="V88">
        <v>1</v>
      </c>
      <c r="W88" t="s">
        <v>111</v>
      </c>
      <c r="AA88" t="s">
        <v>63</v>
      </c>
      <c r="AB88">
        <v>1</v>
      </c>
      <c r="AD88">
        <v>1</v>
      </c>
      <c r="AE88" t="s">
        <v>72</v>
      </c>
      <c r="AF88" t="s">
        <v>146</v>
      </c>
      <c r="AI88">
        <v>6</v>
      </c>
      <c r="AJ88">
        <v>34</v>
      </c>
    </row>
    <row r="89" spans="1:36" x14ac:dyDescent="0.25">
      <c r="A89" t="s">
        <v>314</v>
      </c>
      <c r="B89">
        <v>89</v>
      </c>
      <c r="C89" t="s">
        <v>45</v>
      </c>
      <c r="D89">
        <v>3</v>
      </c>
      <c r="F89">
        <v>2</v>
      </c>
      <c r="G89" t="s">
        <v>47</v>
      </c>
      <c r="K89" t="s">
        <v>38</v>
      </c>
      <c r="L89">
        <v>2</v>
      </c>
      <c r="M89">
        <v>1</v>
      </c>
      <c r="N89">
        <v>1</v>
      </c>
      <c r="O89" t="s">
        <v>152</v>
      </c>
      <c r="P89" t="s">
        <v>70</v>
      </c>
      <c r="S89" t="s">
        <v>53</v>
      </c>
      <c r="T89">
        <v>1</v>
      </c>
      <c r="U89">
        <v>1</v>
      </c>
      <c r="V89">
        <v>1</v>
      </c>
      <c r="W89" t="s">
        <v>111</v>
      </c>
      <c r="AA89" t="s">
        <v>63</v>
      </c>
      <c r="AB89">
        <v>2</v>
      </c>
      <c r="AD89">
        <v>1</v>
      </c>
      <c r="AE89" t="s">
        <v>72</v>
      </c>
      <c r="AF89" t="s">
        <v>91</v>
      </c>
      <c r="AI89">
        <v>7</v>
      </c>
      <c r="AJ89">
        <v>27</v>
      </c>
    </row>
    <row r="90" spans="1:36" x14ac:dyDescent="0.25">
      <c r="A90" t="s">
        <v>315</v>
      </c>
      <c r="B90">
        <v>90</v>
      </c>
      <c r="C90" t="s">
        <v>56</v>
      </c>
      <c r="D90">
        <v>1</v>
      </c>
      <c r="F90">
        <v>1</v>
      </c>
      <c r="G90" t="s">
        <v>57</v>
      </c>
      <c r="H90" t="s">
        <v>122</v>
      </c>
      <c r="K90" t="s">
        <v>48</v>
      </c>
      <c r="L90">
        <v>2</v>
      </c>
      <c r="N90">
        <v>1</v>
      </c>
      <c r="O90" t="s">
        <v>49</v>
      </c>
      <c r="P90" t="s">
        <v>71</v>
      </c>
      <c r="Q90" t="s">
        <v>51</v>
      </c>
      <c r="R90" t="s">
        <v>128</v>
      </c>
      <c r="S90" t="s">
        <v>53</v>
      </c>
      <c r="T90">
        <v>1</v>
      </c>
      <c r="U90">
        <v>1</v>
      </c>
      <c r="V90">
        <v>1</v>
      </c>
      <c r="W90" t="s">
        <v>54</v>
      </c>
      <c r="AA90" t="s">
        <v>38</v>
      </c>
      <c r="AB90">
        <v>2</v>
      </c>
      <c r="AC90">
        <v>1</v>
      </c>
      <c r="AD90">
        <v>2</v>
      </c>
      <c r="AE90" t="s">
        <v>152</v>
      </c>
      <c r="AF90" t="s">
        <v>40</v>
      </c>
      <c r="AG90" t="s">
        <v>154</v>
      </c>
      <c r="AI90">
        <v>9</v>
      </c>
      <c r="AJ90">
        <v>32</v>
      </c>
    </row>
    <row r="91" spans="1:36" x14ac:dyDescent="0.25">
      <c r="A91" t="s">
        <v>316</v>
      </c>
      <c r="B91">
        <v>91</v>
      </c>
      <c r="C91" t="s">
        <v>56</v>
      </c>
      <c r="D91">
        <v>1</v>
      </c>
      <c r="F91">
        <v>1</v>
      </c>
      <c r="G91" t="s">
        <v>57</v>
      </c>
      <c r="H91" t="s">
        <v>69</v>
      </c>
      <c r="K91" t="s">
        <v>33</v>
      </c>
      <c r="L91">
        <v>1</v>
      </c>
      <c r="N91">
        <v>3</v>
      </c>
      <c r="O91" t="s">
        <v>46</v>
      </c>
      <c r="S91" t="s">
        <v>53</v>
      </c>
      <c r="T91">
        <v>1</v>
      </c>
      <c r="U91">
        <v>1</v>
      </c>
      <c r="V91">
        <v>2</v>
      </c>
      <c r="W91" t="s">
        <v>111</v>
      </c>
      <c r="X91" t="s">
        <v>55</v>
      </c>
      <c r="AA91" t="s">
        <v>38</v>
      </c>
      <c r="AB91">
        <v>1</v>
      </c>
      <c r="AC91">
        <v>1</v>
      </c>
      <c r="AD91">
        <v>1</v>
      </c>
      <c r="AE91" t="s">
        <v>67</v>
      </c>
      <c r="AI91">
        <v>5</v>
      </c>
      <c r="AJ91">
        <v>22</v>
      </c>
    </row>
    <row r="92" spans="1:36" x14ac:dyDescent="0.25">
      <c r="A92" t="s">
        <v>317</v>
      </c>
      <c r="B92">
        <v>92</v>
      </c>
      <c r="C92" t="s">
        <v>56</v>
      </c>
      <c r="D92">
        <v>1</v>
      </c>
      <c r="F92">
        <v>1</v>
      </c>
      <c r="G92" t="s">
        <v>57</v>
      </c>
      <c r="K92" t="s">
        <v>43</v>
      </c>
      <c r="L92">
        <v>2</v>
      </c>
      <c r="N92">
        <v>1</v>
      </c>
      <c r="O92" t="s">
        <v>135</v>
      </c>
      <c r="P92" t="s">
        <v>74</v>
      </c>
      <c r="S92" t="s">
        <v>53</v>
      </c>
      <c r="T92">
        <v>2</v>
      </c>
      <c r="U92">
        <v>1</v>
      </c>
      <c r="V92">
        <v>1</v>
      </c>
      <c r="W92" t="s">
        <v>111</v>
      </c>
      <c r="AA92" t="s">
        <v>38</v>
      </c>
      <c r="AB92">
        <v>1</v>
      </c>
      <c r="AC92">
        <v>1</v>
      </c>
      <c r="AD92">
        <v>2</v>
      </c>
      <c r="AE92" t="s">
        <v>152</v>
      </c>
      <c r="AI92">
        <v>4</v>
      </c>
      <c r="AJ92">
        <v>25</v>
      </c>
    </row>
    <row r="93" spans="1:36" x14ac:dyDescent="0.25">
      <c r="A93" t="s">
        <v>318</v>
      </c>
      <c r="B93">
        <v>93</v>
      </c>
      <c r="C93" t="s">
        <v>53</v>
      </c>
      <c r="D93">
        <v>2</v>
      </c>
      <c r="E93">
        <v>1</v>
      </c>
      <c r="F93">
        <v>1</v>
      </c>
      <c r="G93" t="s">
        <v>54</v>
      </c>
      <c r="K93" t="s">
        <v>38</v>
      </c>
      <c r="L93">
        <v>1</v>
      </c>
      <c r="M93">
        <v>1</v>
      </c>
      <c r="N93">
        <v>3</v>
      </c>
      <c r="O93" t="s">
        <v>67</v>
      </c>
      <c r="S93" t="s">
        <v>56</v>
      </c>
      <c r="T93">
        <v>1</v>
      </c>
      <c r="V93">
        <v>1</v>
      </c>
      <c r="W93" t="s">
        <v>57</v>
      </c>
      <c r="X93" t="s">
        <v>122</v>
      </c>
      <c r="AA93" t="s">
        <v>45</v>
      </c>
      <c r="AB93">
        <v>1</v>
      </c>
      <c r="AD93">
        <v>1</v>
      </c>
      <c r="AE93" t="s">
        <v>86</v>
      </c>
      <c r="AI93">
        <v>4</v>
      </c>
      <c r="AJ93">
        <v>19</v>
      </c>
    </row>
    <row r="94" spans="1:36" x14ac:dyDescent="0.25">
      <c r="A94" t="s">
        <v>319</v>
      </c>
      <c r="B94">
        <v>94</v>
      </c>
      <c r="C94" t="s">
        <v>53</v>
      </c>
      <c r="D94">
        <v>1</v>
      </c>
      <c r="E94">
        <v>1</v>
      </c>
      <c r="F94">
        <v>1</v>
      </c>
      <c r="G94" t="s">
        <v>54</v>
      </c>
      <c r="K94" t="s">
        <v>38</v>
      </c>
      <c r="L94">
        <v>3</v>
      </c>
      <c r="M94">
        <v>1</v>
      </c>
      <c r="N94">
        <v>2</v>
      </c>
      <c r="O94" t="s">
        <v>67</v>
      </c>
      <c r="S94" t="s">
        <v>56</v>
      </c>
      <c r="T94">
        <v>1</v>
      </c>
      <c r="V94">
        <v>1</v>
      </c>
      <c r="W94" t="s">
        <v>57</v>
      </c>
      <c r="X94" t="s">
        <v>122</v>
      </c>
      <c r="Y94" t="s">
        <v>85</v>
      </c>
      <c r="AA94" t="s">
        <v>63</v>
      </c>
      <c r="AB94">
        <v>1</v>
      </c>
      <c r="AD94">
        <v>1</v>
      </c>
      <c r="AE94" t="s">
        <v>103</v>
      </c>
      <c r="AF94" t="s">
        <v>95</v>
      </c>
      <c r="AI94">
        <v>6</v>
      </c>
      <c r="AJ94">
        <v>22</v>
      </c>
    </row>
    <row r="95" spans="1:36" x14ac:dyDescent="0.25">
      <c r="A95" t="s">
        <v>320</v>
      </c>
      <c r="B95">
        <v>95</v>
      </c>
      <c r="C95" t="s">
        <v>48</v>
      </c>
      <c r="D95">
        <v>1</v>
      </c>
      <c r="F95">
        <v>1</v>
      </c>
      <c r="G95" t="s">
        <v>49</v>
      </c>
      <c r="K95" t="s">
        <v>33</v>
      </c>
      <c r="L95">
        <v>1</v>
      </c>
      <c r="N95">
        <v>2</v>
      </c>
      <c r="O95" t="s">
        <v>46</v>
      </c>
      <c r="P95" t="s">
        <v>35</v>
      </c>
      <c r="S95" t="s">
        <v>53</v>
      </c>
      <c r="T95">
        <v>2</v>
      </c>
      <c r="U95">
        <v>1</v>
      </c>
      <c r="V95">
        <v>1</v>
      </c>
      <c r="W95" t="s">
        <v>111</v>
      </c>
      <c r="AA95" t="s">
        <v>38</v>
      </c>
      <c r="AB95">
        <v>1</v>
      </c>
      <c r="AC95">
        <v>1</v>
      </c>
      <c r="AD95">
        <v>1</v>
      </c>
      <c r="AE95" t="s">
        <v>67</v>
      </c>
      <c r="AI95">
        <v>3</v>
      </c>
      <c r="AJ95">
        <v>20</v>
      </c>
    </row>
    <row r="96" spans="1:36" x14ac:dyDescent="0.25">
      <c r="A96" t="s">
        <v>321</v>
      </c>
      <c r="B96">
        <v>96</v>
      </c>
      <c r="C96" t="s">
        <v>48</v>
      </c>
      <c r="D96">
        <v>1</v>
      </c>
      <c r="F96">
        <v>1</v>
      </c>
      <c r="G96" t="s">
        <v>49</v>
      </c>
      <c r="K96" t="s">
        <v>43</v>
      </c>
      <c r="L96">
        <v>3</v>
      </c>
      <c r="N96">
        <v>2</v>
      </c>
      <c r="O96" t="s">
        <v>135</v>
      </c>
      <c r="P96" t="s">
        <v>74</v>
      </c>
      <c r="S96" t="s">
        <v>53</v>
      </c>
      <c r="T96">
        <v>2</v>
      </c>
      <c r="U96">
        <v>1</v>
      </c>
      <c r="V96">
        <v>1</v>
      </c>
      <c r="W96" t="s">
        <v>54</v>
      </c>
      <c r="X96" t="s">
        <v>83</v>
      </c>
      <c r="AA96" t="s">
        <v>38</v>
      </c>
      <c r="AB96">
        <v>1</v>
      </c>
      <c r="AC96">
        <v>2</v>
      </c>
      <c r="AD96">
        <v>2</v>
      </c>
      <c r="AE96" t="s">
        <v>67</v>
      </c>
      <c r="AI96">
        <v>8</v>
      </c>
      <c r="AJ96">
        <v>27</v>
      </c>
    </row>
    <row r="97" spans="1:36" x14ac:dyDescent="0.25">
      <c r="A97" t="s">
        <v>322</v>
      </c>
      <c r="B97">
        <v>97</v>
      </c>
      <c r="C97" t="s">
        <v>48</v>
      </c>
      <c r="D97">
        <v>2</v>
      </c>
      <c r="F97">
        <v>1</v>
      </c>
      <c r="G97" t="s">
        <v>49</v>
      </c>
      <c r="K97" t="s">
        <v>45</v>
      </c>
      <c r="L97">
        <v>3</v>
      </c>
      <c r="N97">
        <v>1</v>
      </c>
      <c r="O97" t="s">
        <v>47</v>
      </c>
      <c r="P97" t="s">
        <v>76</v>
      </c>
      <c r="S97" t="s">
        <v>53</v>
      </c>
      <c r="T97">
        <v>2</v>
      </c>
      <c r="U97">
        <v>3</v>
      </c>
      <c r="V97">
        <v>1</v>
      </c>
      <c r="W97" t="s">
        <v>111</v>
      </c>
      <c r="AA97" t="s">
        <v>38</v>
      </c>
      <c r="AB97">
        <v>1</v>
      </c>
      <c r="AC97">
        <v>1</v>
      </c>
      <c r="AD97">
        <v>1</v>
      </c>
      <c r="AE97" t="s">
        <v>67</v>
      </c>
      <c r="AI97">
        <v>7</v>
      </c>
      <c r="AJ97">
        <v>28</v>
      </c>
    </row>
    <row r="98" spans="1:36" x14ac:dyDescent="0.25">
      <c r="A98" t="s">
        <v>323</v>
      </c>
      <c r="B98">
        <v>98</v>
      </c>
      <c r="C98" t="s">
        <v>48</v>
      </c>
      <c r="D98">
        <v>2</v>
      </c>
      <c r="F98">
        <v>1</v>
      </c>
      <c r="G98" t="s">
        <v>49</v>
      </c>
      <c r="K98" t="s">
        <v>63</v>
      </c>
      <c r="L98">
        <v>1</v>
      </c>
      <c r="N98">
        <v>1</v>
      </c>
      <c r="O98" t="s">
        <v>103</v>
      </c>
      <c r="P98" t="s">
        <v>95</v>
      </c>
      <c r="S98" t="s">
        <v>53</v>
      </c>
      <c r="T98">
        <v>2</v>
      </c>
      <c r="U98">
        <v>1</v>
      </c>
      <c r="V98">
        <v>1</v>
      </c>
      <c r="W98" t="s">
        <v>54</v>
      </c>
      <c r="X98" t="s">
        <v>55</v>
      </c>
      <c r="AA98" t="s">
        <v>38</v>
      </c>
      <c r="AB98">
        <v>1</v>
      </c>
      <c r="AC98">
        <v>1</v>
      </c>
      <c r="AD98">
        <v>1</v>
      </c>
      <c r="AE98" t="s">
        <v>152</v>
      </c>
      <c r="AI98">
        <v>4</v>
      </c>
      <c r="AJ98">
        <v>27</v>
      </c>
    </row>
    <row r="99" spans="1:36" x14ac:dyDescent="0.25">
      <c r="A99" t="s">
        <v>324</v>
      </c>
      <c r="B99">
        <v>99</v>
      </c>
      <c r="C99" t="s">
        <v>33</v>
      </c>
      <c r="D99">
        <v>2</v>
      </c>
      <c r="F99">
        <v>1</v>
      </c>
      <c r="G99" t="s">
        <v>46</v>
      </c>
      <c r="K99" t="s">
        <v>43</v>
      </c>
      <c r="L99">
        <v>2</v>
      </c>
      <c r="N99">
        <v>1</v>
      </c>
      <c r="O99" t="s">
        <v>135</v>
      </c>
      <c r="P99" t="s">
        <v>74</v>
      </c>
      <c r="Q99" t="s">
        <v>137</v>
      </c>
      <c r="R99" t="s">
        <v>138</v>
      </c>
      <c r="S99" t="s">
        <v>53</v>
      </c>
      <c r="T99">
        <v>2</v>
      </c>
      <c r="U99">
        <v>1</v>
      </c>
      <c r="V99">
        <v>1</v>
      </c>
      <c r="W99" t="s">
        <v>111</v>
      </c>
      <c r="AA99" t="s">
        <v>38</v>
      </c>
      <c r="AB99">
        <v>1</v>
      </c>
      <c r="AC99">
        <v>1</v>
      </c>
      <c r="AD99">
        <v>2</v>
      </c>
      <c r="AE99" t="s">
        <v>67</v>
      </c>
      <c r="AI99">
        <v>7</v>
      </c>
      <c r="AJ99">
        <v>45</v>
      </c>
    </row>
    <row r="100" spans="1:36" x14ac:dyDescent="0.25">
      <c r="A100" t="s">
        <v>325</v>
      </c>
      <c r="B100">
        <v>100</v>
      </c>
      <c r="C100" t="s">
        <v>53</v>
      </c>
      <c r="D100">
        <v>1</v>
      </c>
      <c r="E100">
        <v>1</v>
      </c>
      <c r="F100">
        <v>1</v>
      </c>
      <c r="G100" t="s">
        <v>111</v>
      </c>
      <c r="K100" t="s">
        <v>38</v>
      </c>
      <c r="L100">
        <v>1</v>
      </c>
      <c r="M100">
        <v>1</v>
      </c>
      <c r="N100">
        <v>3</v>
      </c>
      <c r="O100" t="s">
        <v>67</v>
      </c>
      <c r="S100" t="s">
        <v>33</v>
      </c>
      <c r="T100">
        <v>1</v>
      </c>
      <c r="V100">
        <v>2</v>
      </c>
      <c r="W100" t="s">
        <v>46</v>
      </c>
      <c r="AA100" t="s">
        <v>45</v>
      </c>
      <c r="AB100">
        <v>2</v>
      </c>
      <c r="AD100">
        <v>1</v>
      </c>
      <c r="AE100" t="s">
        <v>47</v>
      </c>
      <c r="AI100">
        <v>4</v>
      </c>
      <c r="AJ100">
        <v>24</v>
      </c>
    </row>
    <row r="101" spans="1:36" x14ac:dyDescent="0.25">
      <c r="A101" t="s">
        <v>326</v>
      </c>
      <c r="B101">
        <v>101</v>
      </c>
      <c r="C101" t="s">
        <v>33</v>
      </c>
      <c r="D101">
        <v>1</v>
      </c>
      <c r="F101">
        <v>2</v>
      </c>
      <c r="G101" t="s">
        <v>46</v>
      </c>
      <c r="H101" t="s">
        <v>66</v>
      </c>
      <c r="K101" t="s">
        <v>63</v>
      </c>
      <c r="L101">
        <v>1</v>
      </c>
      <c r="N101">
        <v>1</v>
      </c>
      <c r="O101" t="s">
        <v>103</v>
      </c>
      <c r="S101" t="s">
        <v>53</v>
      </c>
      <c r="T101">
        <v>1</v>
      </c>
      <c r="U101">
        <v>1</v>
      </c>
      <c r="V101">
        <v>1</v>
      </c>
      <c r="W101" t="s">
        <v>54</v>
      </c>
      <c r="X101" t="s">
        <v>113</v>
      </c>
      <c r="AA101" t="s">
        <v>38</v>
      </c>
      <c r="AB101">
        <v>3</v>
      </c>
      <c r="AC101">
        <v>1</v>
      </c>
      <c r="AD101">
        <v>1</v>
      </c>
      <c r="AE101" t="s">
        <v>67</v>
      </c>
      <c r="AI101">
        <v>5</v>
      </c>
      <c r="AJ101">
        <v>32</v>
      </c>
    </row>
    <row r="102" spans="1:36" x14ac:dyDescent="0.25">
      <c r="A102" t="s">
        <v>327</v>
      </c>
      <c r="B102">
        <v>102</v>
      </c>
      <c r="C102" t="s">
        <v>43</v>
      </c>
      <c r="D102">
        <v>1</v>
      </c>
      <c r="F102">
        <v>1</v>
      </c>
      <c r="G102" t="s">
        <v>135</v>
      </c>
      <c r="H102" t="s">
        <v>99</v>
      </c>
      <c r="I102" t="s">
        <v>75</v>
      </c>
      <c r="K102" t="s">
        <v>45</v>
      </c>
      <c r="L102">
        <v>3</v>
      </c>
      <c r="N102">
        <v>2</v>
      </c>
      <c r="O102" t="s">
        <v>47</v>
      </c>
      <c r="S102" t="s">
        <v>53</v>
      </c>
      <c r="T102">
        <v>1</v>
      </c>
      <c r="U102">
        <v>3</v>
      </c>
      <c r="V102">
        <v>3</v>
      </c>
      <c r="W102" t="s">
        <v>111</v>
      </c>
      <c r="AA102" t="s">
        <v>38</v>
      </c>
      <c r="AB102">
        <v>1</v>
      </c>
      <c r="AC102">
        <v>1</v>
      </c>
      <c r="AD102">
        <v>1</v>
      </c>
      <c r="AE102" t="s">
        <v>67</v>
      </c>
      <c r="AF102" t="s">
        <v>70</v>
      </c>
      <c r="AI102">
        <v>10</v>
      </c>
      <c r="AJ102">
        <v>27</v>
      </c>
    </row>
    <row r="103" spans="1:36" x14ac:dyDescent="0.25">
      <c r="A103" t="s">
        <v>328</v>
      </c>
      <c r="B103">
        <v>103</v>
      </c>
      <c r="C103" t="s">
        <v>43</v>
      </c>
      <c r="D103">
        <v>2</v>
      </c>
      <c r="F103">
        <v>1</v>
      </c>
      <c r="G103" t="s">
        <v>135</v>
      </c>
      <c r="H103" t="s">
        <v>74</v>
      </c>
      <c r="K103" t="s">
        <v>63</v>
      </c>
      <c r="L103">
        <v>1</v>
      </c>
      <c r="N103">
        <v>1</v>
      </c>
      <c r="O103" t="s">
        <v>103</v>
      </c>
      <c r="P103" t="s">
        <v>95</v>
      </c>
      <c r="S103" t="s">
        <v>53</v>
      </c>
      <c r="T103">
        <v>2</v>
      </c>
      <c r="U103">
        <v>1</v>
      </c>
      <c r="V103">
        <v>2</v>
      </c>
      <c r="W103" t="s">
        <v>54</v>
      </c>
      <c r="X103" t="s">
        <v>83</v>
      </c>
      <c r="Y103" t="s">
        <v>97</v>
      </c>
      <c r="AA103" t="s">
        <v>38</v>
      </c>
      <c r="AB103">
        <v>1</v>
      </c>
      <c r="AC103">
        <v>1</v>
      </c>
      <c r="AD103">
        <v>1</v>
      </c>
      <c r="AE103" t="s">
        <v>67</v>
      </c>
      <c r="AI103">
        <v>7</v>
      </c>
      <c r="AJ103">
        <v>23</v>
      </c>
    </row>
    <row r="104" spans="1:36" x14ac:dyDescent="0.25">
      <c r="A104" t="s">
        <v>329</v>
      </c>
      <c r="B104">
        <v>104</v>
      </c>
      <c r="C104" t="s">
        <v>45</v>
      </c>
      <c r="D104">
        <v>3</v>
      </c>
      <c r="F104">
        <v>1</v>
      </c>
      <c r="G104" t="s">
        <v>86</v>
      </c>
      <c r="K104" t="s">
        <v>63</v>
      </c>
      <c r="L104">
        <v>1</v>
      </c>
      <c r="N104">
        <v>1</v>
      </c>
      <c r="O104" t="s">
        <v>103</v>
      </c>
      <c r="P104" t="s">
        <v>95</v>
      </c>
      <c r="S104" t="s">
        <v>53</v>
      </c>
      <c r="T104">
        <v>2</v>
      </c>
      <c r="U104">
        <v>1</v>
      </c>
      <c r="V104">
        <v>1</v>
      </c>
      <c r="W104" t="s">
        <v>54</v>
      </c>
      <c r="AA104" t="s">
        <v>38</v>
      </c>
      <c r="AB104">
        <v>1</v>
      </c>
      <c r="AC104">
        <v>1</v>
      </c>
      <c r="AD104">
        <v>1</v>
      </c>
      <c r="AE104" t="s">
        <v>152</v>
      </c>
      <c r="AI104">
        <v>5</v>
      </c>
      <c r="AJ104">
        <v>25</v>
      </c>
    </row>
    <row r="105" spans="1:36" x14ac:dyDescent="0.25">
      <c r="A105" t="s">
        <v>330</v>
      </c>
      <c r="B105">
        <v>105</v>
      </c>
      <c r="C105" t="s">
        <v>33</v>
      </c>
      <c r="D105">
        <v>1</v>
      </c>
      <c r="F105">
        <v>2</v>
      </c>
      <c r="G105" t="s">
        <v>46</v>
      </c>
      <c r="K105" t="s">
        <v>43</v>
      </c>
      <c r="L105">
        <v>1</v>
      </c>
      <c r="N105">
        <v>2</v>
      </c>
      <c r="O105" t="s">
        <v>135</v>
      </c>
      <c r="P105" t="s">
        <v>74</v>
      </c>
      <c r="Q105" t="s">
        <v>137</v>
      </c>
      <c r="S105" t="s">
        <v>56</v>
      </c>
      <c r="T105">
        <v>3</v>
      </c>
      <c r="V105">
        <v>1</v>
      </c>
      <c r="W105" t="s">
        <v>68</v>
      </c>
      <c r="X105" t="s">
        <v>122</v>
      </c>
      <c r="Y105" t="s">
        <v>87</v>
      </c>
      <c r="AA105" t="s">
        <v>48</v>
      </c>
      <c r="AB105">
        <v>1</v>
      </c>
      <c r="AD105">
        <v>1</v>
      </c>
      <c r="AE105" t="s">
        <v>89</v>
      </c>
      <c r="AF105" t="s">
        <v>84</v>
      </c>
      <c r="AI105">
        <v>9</v>
      </c>
      <c r="AJ105">
        <v>48</v>
      </c>
    </row>
    <row r="106" spans="1:36" x14ac:dyDescent="0.25">
      <c r="A106" t="s">
        <v>331</v>
      </c>
      <c r="B106">
        <v>106</v>
      </c>
      <c r="C106" t="s">
        <v>33</v>
      </c>
      <c r="D106">
        <v>1</v>
      </c>
      <c r="F106">
        <v>2</v>
      </c>
      <c r="G106" t="s">
        <v>46</v>
      </c>
      <c r="K106" t="s">
        <v>45</v>
      </c>
      <c r="L106">
        <v>3</v>
      </c>
      <c r="N106">
        <v>2</v>
      </c>
      <c r="O106" t="s">
        <v>47</v>
      </c>
      <c r="S106" t="s">
        <v>56</v>
      </c>
      <c r="T106">
        <v>2</v>
      </c>
      <c r="V106">
        <v>1</v>
      </c>
      <c r="W106" t="s">
        <v>68</v>
      </c>
      <c r="AA106" t="s">
        <v>48</v>
      </c>
      <c r="AB106">
        <v>3</v>
      </c>
      <c r="AD106">
        <v>2</v>
      </c>
      <c r="AE106" t="s">
        <v>89</v>
      </c>
      <c r="AI106">
        <v>8</v>
      </c>
      <c r="AJ106">
        <v>26</v>
      </c>
    </row>
    <row r="107" spans="1:36" x14ac:dyDescent="0.25">
      <c r="A107" t="s">
        <v>332</v>
      </c>
      <c r="B107">
        <v>107</v>
      </c>
      <c r="C107" t="s">
        <v>33</v>
      </c>
      <c r="D107">
        <v>1</v>
      </c>
      <c r="F107">
        <v>2</v>
      </c>
      <c r="G107" t="s">
        <v>46</v>
      </c>
      <c r="K107" t="s">
        <v>63</v>
      </c>
      <c r="L107">
        <v>1</v>
      </c>
      <c r="N107">
        <v>1</v>
      </c>
      <c r="O107" t="s">
        <v>103</v>
      </c>
      <c r="S107" t="s">
        <v>56</v>
      </c>
      <c r="T107">
        <v>1</v>
      </c>
      <c r="V107">
        <v>1</v>
      </c>
      <c r="W107" t="s">
        <v>57</v>
      </c>
      <c r="AA107" t="s">
        <v>48</v>
      </c>
      <c r="AB107">
        <v>2</v>
      </c>
      <c r="AD107">
        <v>1</v>
      </c>
      <c r="AE107" t="s">
        <v>89</v>
      </c>
      <c r="AI107">
        <v>2</v>
      </c>
      <c r="AJ107">
        <v>23</v>
      </c>
    </row>
    <row r="108" spans="1:36" x14ac:dyDescent="0.25">
      <c r="A108" t="s">
        <v>333</v>
      </c>
      <c r="B108">
        <v>108</v>
      </c>
      <c r="C108" t="s">
        <v>33</v>
      </c>
      <c r="D108">
        <v>1</v>
      </c>
      <c r="F108">
        <v>2</v>
      </c>
      <c r="G108" t="s">
        <v>46</v>
      </c>
      <c r="K108" t="s">
        <v>38</v>
      </c>
      <c r="L108">
        <v>1</v>
      </c>
      <c r="M108">
        <v>1</v>
      </c>
      <c r="N108">
        <v>2</v>
      </c>
      <c r="O108" t="s">
        <v>152</v>
      </c>
      <c r="S108" t="s">
        <v>56</v>
      </c>
      <c r="T108">
        <v>1</v>
      </c>
      <c r="V108">
        <v>2</v>
      </c>
      <c r="W108" t="s">
        <v>68</v>
      </c>
      <c r="AA108" t="s">
        <v>48</v>
      </c>
      <c r="AB108">
        <v>1</v>
      </c>
      <c r="AD108">
        <v>1</v>
      </c>
      <c r="AE108" t="s">
        <v>89</v>
      </c>
      <c r="AF108" t="s">
        <v>50</v>
      </c>
      <c r="AI108">
        <v>4</v>
      </c>
      <c r="AJ108">
        <v>24</v>
      </c>
    </row>
    <row r="109" spans="1:36" x14ac:dyDescent="0.25">
      <c r="A109" t="s">
        <v>334</v>
      </c>
      <c r="B109">
        <v>109</v>
      </c>
      <c r="C109" t="s">
        <v>43</v>
      </c>
      <c r="D109">
        <v>1</v>
      </c>
      <c r="F109">
        <v>1</v>
      </c>
      <c r="G109" t="s">
        <v>135</v>
      </c>
      <c r="H109" t="s">
        <v>74</v>
      </c>
      <c r="K109" t="s">
        <v>45</v>
      </c>
      <c r="L109">
        <v>3</v>
      </c>
      <c r="N109">
        <v>1</v>
      </c>
      <c r="O109" t="s">
        <v>47</v>
      </c>
      <c r="S109" t="s">
        <v>56</v>
      </c>
      <c r="T109">
        <v>1</v>
      </c>
      <c r="V109">
        <v>1</v>
      </c>
      <c r="W109" t="s">
        <v>68</v>
      </c>
      <c r="AA109" t="s">
        <v>48</v>
      </c>
      <c r="AB109">
        <v>1</v>
      </c>
      <c r="AD109">
        <v>2</v>
      </c>
      <c r="AE109" t="s">
        <v>89</v>
      </c>
      <c r="AF109" t="s">
        <v>84</v>
      </c>
      <c r="AG109" t="s">
        <v>90</v>
      </c>
      <c r="AI109">
        <v>6</v>
      </c>
      <c r="AJ109">
        <v>36</v>
      </c>
    </row>
    <row r="110" spans="1:36" x14ac:dyDescent="0.25">
      <c r="A110" t="s">
        <v>335</v>
      </c>
      <c r="B110">
        <v>110</v>
      </c>
      <c r="C110" t="s">
        <v>43</v>
      </c>
      <c r="D110">
        <v>2</v>
      </c>
      <c r="F110">
        <v>1</v>
      </c>
      <c r="G110" t="s">
        <v>135</v>
      </c>
      <c r="H110" t="s">
        <v>74</v>
      </c>
      <c r="I110" t="s">
        <v>75</v>
      </c>
      <c r="K110" t="s">
        <v>63</v>
      </c>
      <c r="L110">
        <v>1</v>
      </c>
      <c r="N110">
        <v>2</v>
      </c>
      <c r="O110" t="s">
        <v>103</v>
      </c>
      <c r="S110" t="s">
        <v>56</v>
      </c>
      <c r="T110">
        <v>2</v>
      </c>
      <c r="V110">
        <v>2</v>
      </c>
      <c r="W110" t="s">
        <v>68</v>
      </c>
      <c r="X110" t="s">
        <v>122</v>
      </c>
      <c r="AA110" t="s">
        <v>48</v>
      </c>
      <c r="AB110">
        <v>1</v>
      </c>
      <c r="AD110">
        <v>1</v>
      </c>
      <c r="AE110" t="s">
        <v>89</v>
      </c>
      <c r="AI110">
        <v>7</v>
      </c>
      <c r="AJ110">
        <v>31</v>
      </c>
    </row>
    <row r="111" spans="1:36" x14ac:dyDescent="0.25">
      <c r="A111" t="s">
        <v>336</v>
      </c>
      <c r="B111">
        <v>111</v>
      </c>
      <c r="C111" t="s">
        <v>43</v>
      </c>
      <c r="D111">
        <v>3</v>
      </c>
      <c r="F111">
        <v>2</v>
      </c>
      <c r="G111" t="s">
        <v>135</v>
      </c>
      <c r="H111" t="s">
        <v>74</v>
      </c>
      <c r="K111" t="s">
        <v>38</v>
      </c>
      <c r="L111">
        <v>1</v>
      </c>
      <c r="M111">
        <v>1</v>
      </c>
      <c r="N111">
        <v>2</v>
      </c>
      <c r="O111" t="s">
        <v>152</v>
      </c>
      <c r="P111" t="s">
        <v>70</v>
      </c>
      <c r="S111" t="s">
        <v>56</v>
      </c>
      <c r="T111">
        <v>3</v>
      </c>
      <c r="V111">
        <v>3</v>
      </c>
      <c r="W111" t="s">
        <v>68</v>
      </c>
      <c r="AA111" t="s">
        <v>48</v>
      </c>
      <c r="AB111">
        <v>2</v>
      </c>
      <c r="AD111">
        <v>1</v>
      </c>
      <c r="AE111" t="s">
        <v>89</v>
      </c>
      <c r="AI111">
        <v>11</v>
      </c>
      <c r="AJ111">
        <v>41</v>
      </c>
    </row>
    <row r="112" spans="1:36" x14ac:dyDescent="0.25">
      <c r="A112" t="s">
        <v>337</v>
      </c>
      <c r="B112">
        <v>112</v>
      </c>
      <c r="C112" t="s">
        <v>56</v>
      </c>
      <c r="D112">
        <v>1</v>
      </c>
      <c r="F112">
        <v>1</v>
      </c>
      <c r="G112" t="s">
        <v>57</v>
      </c>
      <c r="H112" t="s">
        <v>122</v>
      </c>
      <c r="I112" t="s">
        <v>85</v>
      </c>
      <c r="K112" t="s">
        <v>48</v>
      </c>
      <c r="L112">
        <v>2</v>
      </c>
      <c r="N112">
        <v>1</v>
      </c>
      <c r="O112" t="s">
        <v>89</v>
      </c>
      <c r="S112" t="s">
        <v>45</v>
      </c>
      <c r="T112">
        <v>3</v>
      </c>
      <c r="V112">
        <v>1</v>
      </c>
      <c r="W112" t="s">
        <v>47</v>
      </c>
      <c r="AA112" t="s">
        <v>63</v>
      </c>
      <c r="AB112">
        <v>1</v>
      </c>
      <c r="AD112">
        <v>1</v>
      </c>
      <c r="AE112" t="s">
        <v>103</v>
      </c>
      <c r="AF112" t="s">
        <v>95</v>
      </c>
      <c r="AI112">
        <v>6</v>
      </c>
      <c r="AJ112">
        <v>27</v>
      </c>
    </row>
    <row r="113" spans="1:36" x14ac:dyDescent="0.25">
      <c r="A113" t="s">
        <v>338</v>
      </c>
      <c r="B113">
        <v>113</v>
      </c>
      <c r="C113" t="s">
        <v>56</v>
      </c>
      <c r="D113">
        <v>1</v>
      </c>
      <c r="F113">
        <v>1</v>
      </c>
      <c r="G113" t="s">
        <v>68</v>
      </c>
      <c r="K113" t="s">
        <v>48</v>
      </c>
      <c r="L113">
        <v>2</v>
      </c>
      <c r="N113">
        <v>1</v>
      </c>
      <c r="O113" t="s">
        <v>89</v>
      </c>
      <c r="P113" t="s">
        <v>84</v>
      </c>
      <c r="Q113" t="s">
        <v>90</v>
      </c>
      <c r="R113" t="s">
        <v>128</v>
      </c>
      <c r="S113" t="s">
        <v>45</v>
      </c>
      <c r="T113">
        <v>3</v>
      </c>
      <c r="V113">
        <v>1</v>
      </c>
      <c r="W113" t="s">
        <v>47</v>
      </c>
      <c r="AA113" t="s">
        <v>38</v>
      </c>
      <c r="AB113">
        <v>1</v>
      </c>
      <c r="AC113">
        <v>1</v>
      </c>
      <c r="AD113">
        <v>1</v>
      </c>
      <c r="AE113" t="s">
        <v>152</v>
      </c>
      <c r="AI113">
        <v>6</v>
      </c>
      <c r="AJ113">
        <v>24</v>
      </c>
    </row>
    <row r="114" spans="1:36" x14ac:dyDescent="0.25">
      <c r="A114" t="s">
        <v>339</v>
      </c>
      <c r="B114">
        <v>114</v>
      </c>
      <c r="C114" t="s">
        <v>56</v>
      </c>
      <c r="D114">
        <v>1</v>
      </c>
      <c r="F114">
        <v>1</v>
      </c>
      <c r="G114" t="s">
        <v>57</v>
      </c>
      <c r="K114" t="s">
        <v>48</v>
      </c>
      <c r="L114">
        <v>1</v>
      </c>
      <c r="N114">
        <v>1</v>
      </c>
      <c r="O114" t="s">
        <v>49</v>
      </c>
      <c r="P114" t="s">
        <v>71</v>
      </c>
      <c r="Q114" t="s">
        <v>51</v>
      </c>
      <c r="S114" t="s">
        <v>63</v>
      </c>
      <c r="T114">
        <v>2</v>
      </c>
      <c r="V114">
        <v>1</v>
      </c>
      <c r="W114" t="s">
        <v>103</v>
      </c>
      <c r="AA114" t="s">
        <v>38</v>
      </c>
      <c r="AB114">
        <v>1</v>
      </c>
      <c r="AC114">
        <v>2</v>
      </c>
      <c r="AD114">
        <v>1</v>
      </c>
      <c r="AE114" t="s">
        <v>152</v>
      </c>
      <c r="AI114">
        <v>4</v>
      </c>
      <c r="AJ114">
        <v>24</v>
      </c>
    </row>
    <row r="115" spans="1:36" x14ac:dyDescent="0.25">
      <c r="A115" t="s">
        <v>340</v>
      </c>
      <c r="B115">
        <v>115</v>
      </c>
      <c r="C115" t="s">
        <v>48</v>
      </c>
      <c r="D115">
        <v>2</v>
      </c>
      <c r="F115">
        <v>1</v>
      </c>
      <c r="G115" t="s">
        <v>89</v>
      </c>
      <c r="H115" t="s">
        <v>50</v>
      </c>
      <c r="K115" t="s">
        <v>43</v>
      </c>
      <c r="L115">
        <v>3</v>
      </c>
      <c r="N115">
        <v>1</v>
      </c>
      <c r="O115" t="s">
        <v>135</v>
      </c>
      <c r="S115" t="s">
        <v>56</v>
      </c>
      <c r="T115">
        <v>1</v>
      </c>
      <c r="V115">
        <v>1</v>
      </c>
      <c r="W115" t="s">
        <v>68</v>
      </c>
      <c r="X115" t="s">
        <v>121</v>
      </c>
      <c r="Y115" t="s">
        <v>123</v>
      </c>
      <c r="AA115" t="s">
        <v>33</v>
      </c>
      <c r="AB115">
        <v>1</v>
      </c>
      <c r="AD115">
        <v>1</v>
      </c>
      <c r="AE115" t="s">
        <v>46</v>
      </c>
      <c r="AI115">
        <v>6</v>
      </c>
      <c r="AJ115">
        <v>22</v>
      </c>
    </row>
    <row r="116" spans="1:36" x14ac:dyDescent="0.25">
      <c r="A116" t="s">
        <v>341</v>
      </c>
      <c r="B116">
        <v>116</v>
      </c>
      <c r="C116" t="s">
        <v>56</v>
      </c>
      <c r="D116">
        <v>2</v>
      </c>
      <c r="F116">
        <v>1</v>
      </c>
      <c r="G116" t="s">
        <v>68</v>
      </c>
      <c r="K116" t="s">
        <v>33</v>
      </c>
      <c r="L116">
        <v>1</v>
      </c>
      <c r="N116">
        <v>2</v>
      </c>
      <c r="O116" t="s">
        <v>46</v>
      </c>
      <c r="S116" t="s">
        <v>48</v>
      </c>
      <c r="T116">
        <v>1</v>
      </c>
      <c r="V116">
        <v>1</v>
      </c>
      <c r="W116" t="s">
        <v>89</v>
      </c>
      <c r="AA116" t="s">
        <v>45</v>
      </c>
      <c r="AB116">
        <v>2</v>
      </c>
      <c r="AD116">
        <v>1</v>
      </c>
      <c r="AE116" t="s">
        <v>47</v>
      </c>
      <c r="AI116">
        <v>3</v>
      </c>
      <c r="AJ116">
        <v>28</v>
      </c>
    </row>
    <row r="117" spans="1:36" x14ac:dyDescent="0.25">
      <c r="A117" t="s">
        <v>342</v>
      </c>
      <c r="B117">
        <v>117</v>
      </c>
      <c r="C117" t="s">
        <v>56</v>
      </c>
      <c r="D117">
        <v>1</v>
      </c>
      <c r="F117">
        <v>1</v>
      </c>
      <c r="G117" t="s">
        <v>57</v>
      </c>
      <c r="H117" t="s">
        <v>122</v>
      </c>
      <c r="K117" t="s">
        <v>33</v>
      </c>
      <c r="L117">
        <v>2</v>
      </c>
      <c r="N117">
        <v>2</v>
      </c>
      <c r="O117" t="s">
        <v>46</v>
      </c>
      <c r="S117" t="s">
        <v>48</v>
      </c>
      <c r="T117">
        <v>3</v>
      </c>
      <c r="V117">
        <v>1</v>
      </c>
      <c r="W117" t="s">
        <v>89</v>
      </c>
      <c r="AA117" t="s">
        <v>63</v>
      </c>
      <c r="AB117">
        <v>1</v>
      </c>
      <c r="AD117">
        <v>1</v>
      </c>
      <c r="AE117" t="s">
        <v>103</v>
      </c>
      <c r="AI117">
        <v>5</v>
      </c>
      <c r="AJ117">
        <v>19</v>
      </c>
    </row>
    <row r="118" spans="1:36" x14ac:dyDescent="0.25">
      <c r="A118" t="s">
        <v>343</v>
      </c>
      <c r="B118">
        <v>118</v>
      </c>
      <c r="C118" t="s">
        <v>48</v>
      </c>
      <c r="D118">
        <v>2</v>
      </c>
      <c r="F118">
        <v>1</v>
      </c>
      <c r="G118" t="s">
        <v>89</v>
      </c>
      <c r="H118" t="s">
        <v>71</v>
      </c>
      <c r="I118" t="s">
        <v>51</v>
      </c>
      <c r="K118" t="s">
        <v>38</v>
      </c>
      <c r="L118">
        <v>1</v>
      </c>
      <c r="M118">
        <v>1</v>
      </c>
      <c r="N118">
        <v>2</v>
      </c>
      <c r="O118" t="s">
        <v>152</v>
      </c>
      <c r="S118" t="s">
        <v>56</v>
      </c>
      <c r="T118">
        <v>1</v>
      </c>
      <c r="V118">
        <v>3</v>
      </c>
      <c r="W118" t="s">
        <v>68</v>
      </c>
      <c r="AA118" t="s">
        <v>33</v>
      </c>
      <c r="AB118">
        <v>1</v>
      </c>
      <c r="AD118">
        <v>3</v>
      </c>
      <c r="AE118" t="s">
        <v>46</v>
      </c>
      <c r="AI118">
        <v>8</v>
      </c>
      <c r="AJ118">
        <v>32</v>
      </c>
    </row>
    <row r="119" spans="1:36" x14ac:dyDescent="0.25">
      <c r="A119" t="s">
        <v>344</v>
      </c>
      <c r="B119">
        <v>119</v>
      </c>
      <c r="C119" t="s">
        <v>43</v>
      </c>
      <c r="D119">
        <v>2</v>
      </c>
      <c r="F119">
        <v>1</v>
      </c>
      <c r="G119" t="s">
        <v>135</v>
      </c>
      <c r="H119" t="s">
        <v>74</v>
      </c>
      <c r="K119" t="s">
        <v>45</v>
      </c>
      <c r="L119">
        <v>2</v>
      </c>
      <c r="N119">
        <v>1</v>
      </c>
      <c r="O119" t="s">
        <v>47</v>
      </c>
      <c r="S119" t="s">
        <v>56</v>
      </c>
      <c r="T119">
        <v>1</v>
      </c>
      <c r="V119">
        <v>1</v>
      </c>
      <c r="W119" t="s">
        <v>68</v>
      </c>
      <c r="AA119" t="s">
        <v>33</v>
      </c>
      <c r="AB119">
        <v>1</v>
      </c>
      <c r="AD119">
        <v>2</v>
      </c>
      <c r="AE119" t="s">
        <v>46</v>
      </c>
      <c r="AI119">
        <v>5</v>
      </c>
      <c r="AJ119">
        <v>21</v>
      </c>
    </row>
    <row r="120" spans="1:36" x14ac:dyDescent="0.25">
      <c r="A120" t="s">
        <v>345</v>
      </c>
      <c r="B120">
        <v>120</v>
      </c>
      <c r="C120" t="s">
        <v>43</v>
      </c>
      <c r="D120">
        <v>3</v>
      </c>
      <c r="F120">
        <v>1</v>
      </c>
      <c r="G120" t="s">
        <v>135</v>
      </c>
      <c r="H120" t="s">
        <v>136</v>
      </c>
      <c r="I120" t="s">
        <v>75</v>
      </c>
      <c r="K120" t="s">
        <v>63</v>
      </c>
      <c r="L120">
        <v>1</v>
      </c>
      <c r="N120">
        <v>1</v>
      </c>
      <c r="O120" t="s">
        <v>103</v>
      </c>
      <c r="S120" t="s">
        <v>56</v>
      </c>
      <c r="T120">
        <v>2</v>
      </c>
      <c r="V120">
        <v>1</v>
      </c>
      <c r="W120" t="s">
        <v>68</v>
      </c>
      <c r="AA120" t="s">
        <v>33</v>
      </c>
      <c r="AB120">
        <v>3</v>
      </c>
      <c r="AD120">
        <v>2</v>
      </c>
      <c r="AE120" t="s">
        <v>46</v>
      </c>
      <c r="AI120">
        <v>8</v>
      </c>
      <c r="AJ120">
        <v>31</v>
      </c>
    </row>
    <row r="121" spans="1:36" x14ac:dyDescent="0.25">
      <c r="A121" t="s">
        <v>346</v>
      </c>
      <c r="B121">
        <v>121</v>
      </c>
      <c r="C121" t="s">
        <v>43</v>
      </c>
      <c r="D121">
        <v>3</v>
      </c>
      <c r="F121">
        <v>3</v>
      </c>
      <c r="G121" t="s">
        <v>135</v>
      </c>
      <c r="H121" t="s">
        <v>136</v>
      </c>
      <c r="I121" t="s">
        <v>100</v>
      </c>
      <c r="K121" t="s">
        <v>38</v>
      </c>
      <c r="L121">
        <v>1</v>
      </c>
      <c r="M121">
        <v>1</v>
      </c>
      <c r="N121">
        <v>1</v>
      </c>
      <c r="O121" t="s">
        <v>152</v>
      </c>
      <c r="P121" t="s">
        <v>70</v>
      </c>
      <c r="S121" t="s">
        <v>56</v>
      </c>
      <c r="T121">
        <v>1</v>
      </c>
      <c r="V121">
        <v>1</v>
      </c>
      <c r="W121" t="s">
        <v>68</v>
      </c>
      <c r="AA121" t="s">
        <v>33</v>
      </c>
      <c r="AB121">
        <v>3</v>
      </c>
      <c r="AD121">
        <v>2</v>
      </c>
      <c r="AE121" t="s">
        <v>65</v>
      </c>
      <c r="AF121" t="s">
        <v>130</v>
      </c>
      <c r="AI121">
        <v>11</v>
      </c>
      <c r="AJ121">
        <v>29</v>
      </c>
    </row>
    <row r="122" spans="1:36" x14ac:dyDescent="0.25">
      <c r="A122" t="s">
        <v>347</v>
      </c>
      <c r="B122">
        <v>122</v>
      </c>
      <c r="C122" t="s">
        <v>56</v>
      </c>
      <c r="D122">
        <v>1</v>
      </c>
      <c r="F122">
        <v>1</v>
      </c>
      <c r="G122" t="s">
        <v>68</v>
      </c>
      <c r="H122" t="s">
        <v>122</v>
      </c>
      <c r="K122" t="s">
        <v>33</v>
      </c>
      <c r="L122">
        <v>3</v>
      </c>
      <c r="N122">
        <v>1</v>
      </c>
      <c r="O122" t="s">
        <v>46</v>
      </c>
      <c r="S122" t="s">
        <v>45</v>
      </c>
      <c r="T122">
        <v>2</v>
      </c>
      <c r="V122">
        <v>1</v>
      </c>
      <c r="W122" t="s">
        <v>47</v>
      </c>
      <c r="AA122" t="s">
        <v>63</v>
      </c>
      <c r="AB122">
        <v>1</v>
      </c>
      <c r="AD122">
        <v>1</v>
      </c>
      <c r="AE122" t="s">
        <v>103</v>
      </c>
      <c r="AI122">
        <v>4</v>
      </c>
      <c r="AJ122">
        <v>23</v>
      </c>
    </row>
    <row r="123" spans="1:36" x14ac:dyDescent="0.25">
      <c r="A123" t="s">
        <v>348</v>
      </c>
      <c r="B123">
        <v>123</v>
      </c>
      <c r="C123" t="s">
        <v>45</v>
      </c>
      <c r="D123">
        <v>3</v>
      </c>
      <c r="F123">
        <v>1</v>
      </c>
      <c r="G123" t="s">
        <v>47</v>
      </c>
      <c r="K123" t="s">
        <v>38</v>
      </c>
      <c r="L123">
        <v>1</v>
      </c>
      <c r="M123">
        <v>1</v>
      </c>
      <c r="N123">
        <v>1</v>
      </c>
      <c r="O123" t="s">
        <v>67</v>
      </c>
      <c r="S123" t="s">
        <v>56</v>
      </c>
      <c r="T123">
        <v>1</v>
      </c>
      <c r="V123">
        <v>2</v>
      </c>
      <c r="W123" t="s">
        <v>68</v>
      </c>
      <c r="AA123" t="s">
        <v>33</v>
      </c>
      <c r="AB123">
        <v>2</v>
      </c>
      <c r="AD123">
        <v>2</v>
      </c>
      <c r="AE123" t="s">
        <v>46</v>
      </c>
      <c r="AI123">
        <v>5</v>
      </c>
      <c r="AJ123">
        <v>28</v>
      </c>
    </row>
    <row r="124" spans="1:36" x14ac:dyDescent="0.25">
      <c r="A124" t="s">
        <v>349</v>
      </c>
      <c r="B124">
        <v>124</v>
      </c>
      <c r="C124" t="s">
        <v>63</v>
      </c>
      <c r="D124">
        <v>1</v>
      </c>
      <c r="F124">
        <v>1</v>
      </c>
      <c r="G124" t="s">
        <v>103</v>
      </c>
      <c r="H124" t="s">
        <v>91</v>
      </c>
      <c r="K124" t="s">
        <v>38</v>
      </c>
      <c r="L124">
        <v>1</v>
      </c>
      <c r="M124">
        <v>1</v>
      </c>
      <c r="N124">
        <v>2</v>
      </c>
      <c r="O124" t="s">
        <v>67</v>
      </c>
      <c r="S124" t="s">
        <v>56</v>
      </c>
      <c r="T124">
        <v>1</v>
      </c>
      <c r="V124">
        <v>1</v>
      </c>
      <c r="W124" t="s">
        <v>57</v>
      </c>
      <c r="X124" t="s">
        <v>122</v>
      </c>
      <c r="AA124" t="s">
        <v>33</v>
      </c>
      <c r="AB124">
        <v>1</v>
      </c>
      <c r="AD124">
        <v>2</v>
      </c>
      <c r="AE124" t="s">
        <v>46</v>
      </c>
      <c r="AI124">
        <v>4</v>
      </c>
      <c r="AJ124">
        <v>27</v>
      </c>
    </row>
    <row r="125" spans="1:36" x14ac:dyDescent="0.25">
      <c r="A125" t="s">
        <v>350</v>
      </c>
      <c r="B125">
        <v>125</v>
      </c>
      <c r="C125" t="s">
        <v>56</v>
      </c>
      <c r="D125">
        <v>1</v>
      </c>
      <c r="F125">
        <v>1</v>
      </c>
      <c r="G125" t="s">
        <v>68</v>
      </c>
      <c r="K125" t="s">
        <v>43</v>
      </c>
      <c r="L125">
        <v>2</v>
      </c>
      <c r="N125">
        <v>3</v>
      </c>
      <c r="O125" t="s">
        <v>135</v>
      </c>
      <c r="P125" t="s">
        <v>74</v>
      </c>
      <c r="Q125" t="s">
        <v>75</v>
      </c>
      <c r="S125" t="s">
        <v>48</v>
      </c>
      <c r="T125">
        <v>3</v>
      </c>
      <c r="V125">
        <v>1</v>
      </c>
      <c r="W125" t="s">
        <v>89</v>
      </c>
      <c r="AA125" t="s">
        <v>33</v>
      </c>
      <c r="AB125">
        <v>1</v>
      </c>
      <c r="AD125">
        <v>1</v>
      </c>
      <c r="AE125" t="s">
        <v>46</v>
      </c>
      <c r="AI125">
        <v>7</v>
      </c>
      <c r="AJ125">
        <v>23</v>
      </c>
    </row>
    <row r="126" spans="1:36" x14ac:dyDescent="0.25">
      <c r="A126" t="s">
        <v>351</v>
      </c>
      <c r="B126">
        <v>126</v>
      </c>
      <c r="C126" t="s">
        <v>48</v>
      </c>
      <c r="D126">
        <v>1</v>
      </c>
      <c r="F126">
        <v>2</v>
      </c>
      <c r="G126" t="s">
        <v>89</v>
      </c>
      <c r="H126" t="s">
        <v>50</v>
      </c>
      <c r="I126" t="s">
        <v>51</v>
      </c>
      <c r="J126" t="s">
        <v>128</v>
      </c>
      <c r="K126" t="s">
        <v>45</v>
      </c>
      <c r="L126">
        <v>2</v>
      </c>
      <c r="N126">
        <v>1</v>
      </c>
      <c r="O126" t="s">
        <v>86</v>
      </c>
      <c r="S126" t="s">
        <v>56</v>
      </c>
      <c r="T126">
        <v>1</v>
      </c>
      <c r="V126">
        <v>1</v>
      </c>
      <c r="W126" t="s">
        <v>68</v>
      </c>
      <c r="AA126" t="s">
        <v>43</v>
      </c>
      <c r="AB126">
        <v>2</v>
      </c>
      <c r="AD126">
        <v>1</v>
      </c>
      <c r="AE126" t="s">
        <v>135</v>
      </c>
      <c r="AF126" t="s">
        <v>74</v>
      </c>
      <c r="AI126">
        <v>7</v>
      </c>
      <c r="AJ126">
        <v>26</v>
      </c>
    </row>
    <row r="127" spans="1:36" x14ac:dyDescent="0.25">
      <c r="A127" t="s">
        <v>352</v>
      </c>
      <c r="B127">
        <v>127</v>
      </c>
      <c r="C127" t="s">
        <v>56</v>
      </c>
      <c r="D127">
        <v>3</v>
      </c>
      <c r="F127">
        <v>1</v>
      </c>
      <c r="G127" t="s">
        <v>57</v>
      </c>
      <c r="H127" t="s">
        <v>122</v>
      </c>
      <c r="I127" t="s">
        <v>85</v>
      </c>
      <c r="J127" t="s">
        <v>125</v>
      </c>
      <c r="K127" t="s">
        <v>43</v>
      </c>
      <c r="L127">
        <v>2</v>
      </c>
      <c r="N127">
        <v>1</v>
      </c>
      <c r="O127" t="s">
        <v>135</v>
      </c>
      <c r="P127" t="s">
        <v>74</v>
      </c>
      <c r="S127" t="s">
        <v>48</v>
      </c>
      <c r="T127">
        <v>2</v>
      </c>
      <c r="V127">
        <v>1</v>
      </c>
      <c r="W127" t="s">
        <v>89</v>
      </c>
      <c r="AA127" t="s">
        <v>63</v>
      </c>
      <c r="AB127">
        <v>1</v>
      </c>
      <c r="AD127">
        <v>2</v>
      </c>
      <c r="AE127" t="s">
        <v>103</v>
      </c>
      <c r="AF127" t="s">
        <v>146</v>
      </c>
      <c r="AI127">
        <v>10</v>
      </c>
      <c r="AJ127">
        <v>37</v>
      </c>
    </row>
    <row r="128" spans="1:36" x14ac:dyDescent="0.25">
      <c r="A128" t="s">
        <v>353</v>
      </c>
      <c r="B128">
        <v>128</v>
      </c>
      <c r="C128" t="s">
        <v>48</v>
      </c>
      <c r="D128">
        <v>3</v>
      </c>
      <c r="F128">
        <v>1</v>
      </c>
      <c r="G128" t="s">
        <v>89</v>
      </c>
      <c r="H128" t="s">
        <v>71</v>
      </c>
      <c r="I128" t="s">
        <v>90</v>
      </c>
      <c r="J128" t="s">
        <v>128</v>
      </c>
      <c r="K128" t="s">
        <v>38</v>
      </c>
      <c r="L128">
        <v>1</v>
      </c>
      <c r="M128">
        <v>1</v>
      </c>
      <c r="N128">
        <v>2</v>
      </c>
      <c r="O128" t="s">
        <v>67</v>
      </c>
      <c r="S128" t="s">
        <v>56</v>
      </c>
      <c r="T128">
        <v>1</v>
      </c>
      <c r="V128">
        <v>1</v>
      </c>
      <c r="W128" t="s">
        <v>68</v>
      </c>
      <c r="AA128" t="s">
        <v>43</v>
      </c>
      <c r="AB128">
        <v>3</v>
      </c>
      <c r="AD128">
        <v>3</v>
      </c>
      <c r="AE128" t="s">
        <v>135</v>
      </c>
      <c r="AF128" t="s">
        <v>74</v>
      </c>
      <c r="AI128">
        <v>11</v>
      </c>
      <c r="AJ128">
        <v>32</v>
      </c>
    </row>
    <row r="129" spans="1:36" x14ac:dyDescent="0.25">
      <c r="A129" t="s">
        <v>354</v>
      </c>
      <c r="B129">
        <v>129</v>
      </c>
      <c r="C129" t="s">
        <v>56</v>
      </c>
      <c r="D129">
        <v>1</v>
      </c>
      <c r="F129">
        <v>1</v>
      </c>
      <c r="G129" t="s">
        <v>68</v>
      </c>
      <c r="K129" t="s">
        <v>43</v>
      </c>
      <c r="L129">
        <v>1</v>
      </c>
      <c r="N129">
        <v>3</v>
      </c>
      <c r="O129" t="s">
        <v>135</v>
      </c>
      <c r="P129" t="s">
        <v>136</v>
      </c>
      <c r="S129" t="s">
        <v>33</v>
      </c>
      <c r="T129">
        <v>2</v>
      </c>
      <c r="V129">
        <v>1</v>
      </c>
      <c r="W129" t="s">
        <v>46</v>
      </c>
      <c r="AA129" t="s">
        <v>45</v>
      </c>
      <c r="AB129">
        <v>1</v>
      </c>
      <c r="AD129">
        <v>1</v>
      </c>
      <c r="AE129" t="s">
        <v>47</v>
      </c>
      <c r="AI129">
        <v>4</v>
      </c>
      <c r="AJ129">
        <v>30</v>
      </c>
    </row>
    <row r="130" spans="1:36" x14ac:dyDescent="0.25">
      <c r="A130" t="s">
        <v>355</v>
      </c>
      <c r="B130">
        <v>130</v>
      </c>
      <c r="C130" t="s">
        <v>33</v>
      </c>
      <c r="D130">
        <v>3</v>
      </c>
      <c r="F130">
        <v>1</v>
      </c>
      <c r="G130" t="s">
        <v>46</v>
      </c>
      <c r="K130" t="s">
        <v>63</v>
      </c>
      <c r="L130">
        <v>3</v>
      </c>
      <c r="N130">
        <v>1</v>
      </c>
      <c r="O130" t="s">
        <v>103</v>
      </c>
      <c r="P130" t="s">
        <v>146</v>
      </c>
      <c r="Q130" t="s">
        <v>104</v>
      </c>
      <c r="S130" t="s">
        <v>56</v>
      </c>
      <c r="T130">
        <v>3</v>
      </c>
      <c r="V130">
        <v>1</v>
      </c>
      <c r="W130" t="s">
        <v>68</v>
      </c>
      <c r="X130" t="s">
        <v>69</v>
      </c>
      <c r="AA130" t="s">
        <v>43</v>
      </c>
      <c r="AB130">
        <v>3</v>
      </c>
      <c r="AD130">
        <v>3</v>
      </c>
      <c r="AE130" t="s">
        <v>135</v>
      </c>
      <c r="AF130" t="s">
        <v>136</v>
      </c>
      <c r="AI130">
        <v>14</v>
      </c>
      <c r="AJ130">
        <v>41</v>
      </c>
    </row>
    <row r="131" spans="1:36" x14ac:dyDescent="0.25">
      <c r="A131" t="s">
        <v>356</v>
      </c>
      <c r="B131">
        <v>131</v>
      </c>
      <c r="C131" t="s">
        <v>33</v>
      </c>
      <c r="D131">
        <v>2</v>
      </c>
      <c r="F131">
        <v>3</v>
      </c>
      <c r="G131" t="s">
        <v>46</v>
      </c>
      <c r="K131" t="s">
        <v>38</v>
      </c>
      <c r="L131">
        <v>1</v>
      </c>
      <c r="M131">
        <v>1</v>
      </c>
      <c r="N131">
        <v>1</v>
      </c>
      <c r="O131" t="s">
        <v>67</v>
      </c>
      <c r="P131" t="s">
        <v>70</v>
      </c>
      <c r="S131" t="s">
        <v>56</v>
      </c>
      <c r="T131">
        <v>1</v>
      </c>
      <c r="V131">
        <v>1</v>
      </c>
      <c r="W131" t="s">
        <v>68</v>
      </c>
      <c r="AA131" t="s">
        <v>43</v>
      </c>
      <c r="AB131">
        <v>1</v>
      </c>
      <c r="AD131">
        <v>1</v>
      </c>
      <c r="AE131" t="s">
        <v>135</v>
      </c>
      <c r="AF131" t="s">
        <v>136</v>
      </c>
      <c r="AI131">
        <v>5</v>
      </c>
      <c r="AJ131">
        <v>31</v>
      </c>
    </row>
    <row r="132" spans="1:36" x14ac:dyDescent="0.25">
      <c r="A132" t="s">
        <v>357</v>
      </c>
      <c r="B132">
        <v>132</v>
      </c>
      <c r="C132" t="s">
        <v>45</v>
      </c>
      <c r="D132">
        <v>2</v>
      </c>
      <c r="F132">
        <v>1</v>
      </c>
      <c r="G132" t="s">
        <v>47</v>
      </c>
      <c r="K132" t="s">
        <v>63</v>
      </c>
      <c r="L132">
        <v>1</v>
      </c>
      <c r="N132">
        <v>1</v>
      </c>
      <c r="O132" t="s">
        <v>103</v>
      </c>
      <c r="S132" t="s">
        <v>56</v>
      </c>
      <c r="T132">
        <v>1</v>
      </c>
      <c r="V132">
        <v>1</v>
      </c>
      <c r="W132" t="s">
        <v>68</v>
      </c>
      <c r="AA132" t="s">
        <v>43</v>
      </c>
      <c r="AB132">
        <v>1</v>
      </c>
      <c r="AD132">
        <v>1</v>
      </c>
      <c r="AE132" t="s">
        <v>135</v>
      </c>
      <c r="AI132">
        <v>1</v>
      </c>
      <c r="AJ132">
        <v>27</v>
      </c>
    </row>
    <row r="133" spans="1:36" x14ac:dyDescent="0.25">
      <c r="A133" t="s">
        <v>358</v>
      </c>
      <c r="B133">
        <v>133</v>
      </c>
      <c r="C133" t="s">
        <v>45</v>
      </c>
      <c r="D133">
        <v>3</v>
      </c>
      <c r="F133">
        <v>3</v>
      </c>
      <c r="G133" t="s">
        <v>47</v>
      </c>
      <c r="H133" t="s">
        <v>76</v>
      </c>
      <c r="I133" t="s">
        <v>142</v>
      </c>
      <c r="K133" t="s">
        <v>38</v>
      </c>
      <c r="L133">
        <v>1</v>
      </c>
      <c r="M133">
        <v>1</v>
      </c>
      <c r="N133">
        <v>1</v>
      </c>
      <c r="O133" t="s">
        <v>152</v>
      </c>
      <c r="S133" t="s">
        <v>56</v>
      </c>
      <c r="T133">
        <v>2</v>
      </c>
      <c r="V133">
        <v>2</v>
      </c>
      <c r="W133" t="s">
        <v>68</v>
      </c>
      <c r="AA133" t="s">
        <v>43</v>
      </c>
      <c r="AB133">
        <v>2</v>
      </c>
      <c r="AD133">
        <v>1</v>
      </c>
      <c r="AE133" t="s">
        <v>135</v>
      </c>
      <c r="AF133" t="s">
        <v>74</v>
      </c>
      <c r="AI133">
        <v>10</v>
      </c>
      <c r="AJ133">
        <v>33</v>
      </c>
    </row>
    <row r="134" spans="1:36" x14ac:dyDescent="0.25">
      <c r="A134" t="s">
        <v>359</v>
      </c>
      <c r="B134">
        <v>134</v>
      </c>
      <c r="C134" t="s">
        <v>56</v>
      </c>
      <c r="D134">
        <v>1</v>
      </c>
      <c r="F134">
        <v>1</v>
      </c>
      <c r="G134" t="s">
        <v>68</v>
      </c>
      <c r="K134" t="s">
        <v>43</v>
      </c>
      <c r="L134">
        <v>2</v>
      </c>
      <c r="N134">
        <v>2</v>
      </c>
      <c r="O134" t="s">
        <v>135</v>
      </c>
      <c r="P134" t="s">
        <v>99</v>
      </c>
      <c r="Q134" t="s">
        <v>137</v>
      </c>
      <c r="S134" t="s">
        <v>63</v>
      </c>
      <c r="T134">
        <v>1</v>
      </c>
      <c r="V134">
        <v>1</v>
      </c>
      <c r="W134" t="s">
        <v>103</v>
      </c>
      <c r="X134" t="s">
        <v>95</v>
      </c>
      <c r="Y134" t="s">
        <v>104</v>
      </c>
      <c r="AA134" t="s">
        <v>38</v>
      </c>
      <c r="AB134">
        <v>3</v>
      </c>
      <c r="AC134">
        <v>1</v>
      </c>
      <c r="AD134">
        <v>1</v>
      </c>
      <c r="AE134" t="s">
        <v>67</v>
      </c>
      <c r="AI134">
        <v>8</v>
      </c>
      <c r="AJ134">
        <v>20</v>
      </c>
    </row>
    <row r="135" spans="1:36" x14ac:dyDescent="0.25">
      <c r="A135" t="s">
        <v>360</v>
      </c>
      <c r="B135">
        <v>135</v>
      </c>
      <c r="C135" t="s">
        <v>48</v>
      </c>
      <c r="D135">
        <v>1</v>
      </c>
      <c r="F135">
        <v>1</v>
      </c>
      <c r="G135" t="s">
        <v>89</v>
      </c>
      <c r="K135" t="s">
        <v>33</v>
      </c>
      <c r="L135">
        <v>2</v>
      </c>
      <c r="N135">
        <v>2</v>
      </c>
      <c r="O135" t="s">
        <v>46</v>
      </c>
      <c r="S135" t="s">
        <v>56</v>
      </c>
      <c r="T135">
        <v>1</v>
      </c>
      <c r="V135">
        <v>1</v>
      </c>
      <c r="W135" t="s">
        <v>57</v>
      </c>
      <c r="AA135" t="s">
        <v>45</v>
      </c>
      <c r="AB135">
        <v>3</v>
      </c>
      <c r="AD135">
        <v>1</v>
      </c>
      <c r="AE135" t="s">
        <v>47</v>
      </c>
      <c r="AI135">
        <v>4</v>
      </c>
      <c r="AJ135">
        <v>22</v>
      </c>
    </row>
    <row r="136" spans="1:36" x14ac:dyDescent="0.25">
      <c r="A136" t="s">
        <v>361</v>
      </c>
      <c r="B136">
        <v>136</v>
      </c>
      <c r="C136" t="s">
        <v>48</v>
      </c>
      <c r="D136">
        <v>2</v>
      </c>
      <c r="F136">
        <v>1</v>
      </c>
      <c r="G136" t="s">
        <v>89</v>
      </c>
      <c r="K136" t="s">
        <v>43</v>
      </c>
      <c r="L136">
        <v>2</v>
      </c>
      <c r="N136">
        <v>1</v>
      </c>
      <c r="O136" t="s">
        <v>135</v>
      </c>
      <c r="P136" t="s">
        <v>74</v>
      </c>
      <c r="S136" t="s">
        <v>56</v>
      </c>
      <c r="T136">
        <v>2</v>
      </c>
      <c r="V136">
        <v>1</v>
      </c>
      <c r="W136" t="s">
        <v>68</v>
      </c>
      <c r="X136" t="s">
        <v>122</v>
      </c>
      <c r="AA136" t="s">
        <v>45</v>
      </c>
      <c r="AB136">
        <v>2</v>
      </c>
      <c r="AD136">
        <v>1</v>
      </c>
      <c r="AE136" t="s">
        <v>47</v>
      </c>
      <c r="AI136">
        <v>6</v>
      </c>
      <c r="AJ136">
        <v>27</v>
      </c>
    </row>
    <row r="137" spans="1:36" x14ac:dyDescent="0.25">
      <c r="A137" t="s">
        <v>362</v>
      </c>
      <c r="B137">
        <v>137</v>
      </c>
      <c r="C137" t="s">
        <v>56</v>
      </c>
      <c r="D137">
        <v>1</v>
      </c>
      <c r="F137">
        <v>1</v>
      </c>
      <c r="G137" t="s">
        <v>57</v>
      </c>
      <c r="H137" t="s">
        <v>122</v>
      </c>
      <c r="K137" t="s">
        <v>45</v>
      </c>
      <c r="L137">
        <v>3</v>
      </c>
      <c r="N137">
        <v>1</v>
      </c>
      <c r="O137" t="s">
        <v>47</v>
      </c>
      <c r="S137" t="s">
        <v>48</v>
      </c>
      <c r="T137">
        <v>1</v>
      </c>
      <c r="V137">
        <v>1</v>
      </c>
      <c r="W137" t="s">
        <v>89</v>
      </c>
      <c r="AA137" t="s">
        <v>63</v>
      </c>
      <c r="AB137">
        <v>2</v>
      </c>
      <c r="AD137">
        <v>1</v>
      </c>
      <c r="AE137" t="s">
        <v>103</v>
      </c>
      <c r="AF137" t="s">
        <v>95</v>
      </c>
      <c r="AI137">
        <v>5</v>
      </c>
      <c r="AJ137">
        <v>24</v>
      </c>
    </row>
    <row r="138" spans="1:36" x14ac:dyDescent="0.25">
      <c r="A138" t="s">
        <v>363</v>
      </c>
      <c r="B138">
        <v>138</v>
      </c>
      <c r="C138" t="s">
        <v>48</v>
      </c>
      <c r="D138">
        <v>2</v>
      </c>
      <c r="F138">
        <v>1</v>
      </c>
      <c r="G138" t="s">
        <v>89</v>
      </c>
      <c r="H138" t="s">
        <v>50</v>
      </c>
      <c r="K138" t="s">
        <v>38</v>
      </c>
      <c r="L138">
        <v>1</v>
      </c>
      <c r="M138">
        <v>1</v>
      </c>
      <c r="N138">
        <v>2</v>
      </c>
      <c r="O138" t="s">
        <v>67</v>
      </c>
      <c r="S138" t="s">
        <v>56</v>
      </c>
      <c r="T138">
        <v>2</v>
      </c>
      <c r="V138">
        <v>1</v>
      </c>
      <c r="W138" t="s">
        <v>57</v>
      </c>
      <c r="X138" t="s">
        <v>122</v>
      </c>
      <c r="AA138" t="s">
        <v>45</v>
      </c>
      <c r="AB138">
        <v>1</v>
      </c>
      <c r="AD138">
        <v>1</v>
      </c>
      <c r="AE138" t="s">
        <v>47</v>
      </c>
      <c r="AI138">
        <v>5</v>
      </c>
      <c r="AJ138">
        <v>20</v>
      </c>
    </row>
    <row r="139" spans="1:36" x14ac:dyDescent="0.25">
      <c r="A139" t="s">
        <v>364</v>
      </c>
      <c r="B139">
        <v>139</v>
      </c>
      <c r="C139" t="s">
        <v>33</v>
      </c>
      <c r="D139">
        <v>1</v>
      </c>
      <c r="F139">
        <v>3</v>
      </c>
      <c r="G139" t="s">
        <v>46</v>
      </c>
      <c r="K139" t="s">
        <v>43</v>
      </c>
      <c r="L139">
        <v>2</v>
      </c>
      <c r="N139">
        <v>1</v>
      </c>
      <c r="O139" t="s">
        <v>135</v>
      </c>
      <c r="P139" t="s">
        <v>74</v>
      </c>
      <c r="S139" t="s">
        <v>56</v>
      </c>
      <c r="T139">
        <v>1</v>
      </c>
      <c r="V139">
        <v>1</v>
      </c>
      <c r="W139" t="s">
        <v>68</v>
      </c>
      <c r="AA139" t="s">
        <v>45</v>
      </c>
      <c r="AB139">
        <v>3</v>
      </c>
      <c r="AD139">
        <v>1</v>
      </c>
      <c r="AE139" t="s">
        <v>86</v>
      </c>
      <c r="AF139" t="s">
        <v>76</v>
      </c>
      <c r="AI139">
        <v>7</v>
      </c>
      <c r="AJ139">
        <v>24</v>
      </c>
    </row>
    <row r="140" spans="1:36" x14ac:dyDescent="0.25">
      <c r="A140" t="s">
        <v>365</v>
      </c>
      <c r="B140">
        <v>140</v>
      </c>
      <c r="C140" t="s">
        <v>33</v>
      </c>
      <c r="D140">
        <v>1</v>
      </c>
      <c r="F140">
        <v>2</v>
      </c>
      <c r="G140" t="s">
        <v>46</v>
      </c>
      <c r="K140" t="s">
        <v>63</v>
      </c>
      <c r="L140">
        <v>2</v>
      </c>
      <c r="N140">
        <v>1</v>
      </c>
      <c r="O140" t="s">
        <v>103</v>
      </c>
      <c r="P140" t="s">
        <v>91</v>
      </c>
      <c r="S140" t="s">
        <v>56</v>
      </c>
      <c r="T140">
        <v>2</v>
      </c>
      <c r="V140">
        <v>1</v>
      </c>
      <c r="W140" t="s">
        <v>68</v>
      </c>
      <c r="X140" t="s">
        <v>122</v>
      </c>
      <c r="Y140" t="s">
        <v>85</v>
      </c>
      <c r="AA140" t="s">
        <v>45</v>
      </c>
      <c r="AB140">
        <v>3</v>
      </c>
      <c r="AD140">
        <v>1</v>
      </c>
      <c r="AE140" t="s">
        <v>47</v>
      </c>
      <c r="AI140">
        <v>8</v>
      </c>
      <c r="AJ140">
        <v>25</v>
      </c>
    </row>
    <row r="141" spans="1:36" x14ac:dyDescent="0.25">
      <c r="A141" s="36" t="s">
        <v>366</v>
      </c>
      <c r="B141">
        <v>141</v>
      </c>
      <c r="C141" t="s">
        <v>33</v>
      </c>
      <c r="D141">
        <v>1</v>
      </c>
      <c r="F141">
        <v>1</v>
      </c>
      <c r="G141" t="s">
        <v>46</v>
      </c>
      <c r="K141" t="s">
        <v>38</v>
      </c>
      <c r="L141">
        <v>1</v>
      </c>
      <c r="M141">
        <v>1</v>
      </c>
      <c r="N141">
        <v>2</v>
      </c>
      <c r="O141" t="s">
        <v>67</v>
      </c>
      <c r="S141" t="s">
        <v>56</v>
      </c>
      <c r="T141">
        <v>1</v>
      </c>
      <c r="V141">
        <v>1</v>
      </c>
      <c r="W141" t="s">
        <v>68</v>
      </c>
      <c r="AA141" t="s">
        <v>45</v>
      </c>
      <c r="AB141">
        <v>1</v>
      </c>
      <c r="AD141">
        <v>1</v>
      </c>
      <c r="AE141" t="s">
        <v>86</v>
      </c>
      <c r="AI141">
        <v>1</v>
      </c>
      <c r="AJ141">
        <v>19</v>
      </c>
    </row>
    <row r="142" spans="1:36" x14ac:dyDescent="0.25">
      <c r="A142" t="s">
        <v>367</v>
      </c>
      <c r="B142">
        <v>142</v>
      </c>
      <c r="C142" t="s">
        <v>56</v>
      </c>
      <c r="D142">
        <v>1</v>
      </c>
      <c r="F142">
        <v>1</v>
      </c>
      <c r="G142" t="s">
        <v>68</v>
      </c>
      <c r="K142" t="s">
        <v>45</v>
      </c>
      <c r="L142">
        <v>2</v>
      </c>
      <c r="N142">
        <v>1</v>
      </c>
      <c r="O142" t="s">
        <v>47</v>
      </c>
      <c r="S142" t="s">
        <v>43</v>
      </c>
      <c r="T142">
        <v>2</v>
      </c>
      <c r="V142">
        <v>1</v>
      </c>
      <c r="W142" t="s">
        <v>135</v>
      </c>
      <c r="AA142" t="s">
        <v>63</v>
      </c>
      <c r="AB142">
        <v>1</v>
      </c>
      <c r="AD142">
        <v>1</v>
      </c>
      <c r="AE142" t="s">
        <v>103</v>
      </c>
      <c r="AF142" t="s">
        <v>95</v>
      </c>
      <c r="AI142">
        <v>3</v>
      </c>
      <c r="AJ142">
        <v>18</v>
      </c>
    </row>
    <row r="143" spans="1:36" x14ac:dyDescent="0.25">
      <c r="A143" t="s">
        <v>368</v>
      </c>
      <c r="B143">
        <v>143</v>
      </c>
      <c r="C143" t="s">
        <v>43</v>
      </c>
      <c r="D143">
        <v>2</v>
      </c>
      <c r="F143">
        <v>3</v>
      </c>
      <c r="G143" t="s">
        <v>135</v>
      </c>
      <c r="H143" t="s">
        <v>74</v>
      </c>
      <c r="I143" t="s">
        <v>100</v>
      </c>
      <c r="K143" t="s">
        <v>38</v>
      </c>
      <c r="L143">
        <v>1</v>
      </c>
      <c r="M143">
        <v>1</v>
      </c>
      <c r="N143">
        <v>2</v>
      </c>
      <c r="O143" t="s">
        <v>67</v>
      </c>
      <c r="P143" t="s">
        <v>70</v>
      </c>
      <c r="S143" t="s">
        <v>56</v>
      </c>
      <c r="T143">
        <v>1</v>
      </c>
      <c r="V143">
        <v>1</v>
      </c>
      <c r="W143" t="s">
        <v>68</v>
      </c>
      <c r="AA143" t="s">
        <v>45</v>
      </c>
      <c r="AB143">
        <v>3</v>
      </c>
      <c r="AD143">
        <v>3</v>
      </c>
      <c r="AE143" t="s">
        <v>86</v>
      </c>
      <c r="AF143" t="s">
        <v>141</v>
      </c>
      <c r="AG143" t="s">
        <v>93</v>
      </c>
      <c r="AI143">
        <v>13</v>
      </c>
      <c r="AJ143">
        <v>29</v>
      </c>
    </row>
    <row r="144" spans="1:36" x14ac:dyDescent="0.25">
      <c r="A144" t="s">
        <v>369</v>
      </c>
      <c r="B144">
        <v>144</v>
      </c>
      <c r="C144" t="s">
        <v>56</v>
      </c>
      <c r="D144">
        <v>2</v>
      </c>
      <c r="F144">
        <v>1</v>
      </c>
      <c r="G144" t="s">
        <v>57</v>
      </c>
      <c r="K144" t="s">
        <v>45</v>
      </c>
      <c r="L144">
        <v>2</v>
      </c>
      <c r="N144">
        <v>1</v>
      </c>
      <c r="O144" t="s">
        <v>47</v>
      </c>
      <c r="S144" t="s">
        <v>63</v>
      </c>
      <c r="T144">
        <v>2</v>
      </c>
      <c r="V144">
        <v>1</v>
      </c>
      <c r="W144" t="s">
        <v>72</v>
      </c>
      <c r="X144" t="s">
        <v>91</v>
      </c>
      <c r="AA144" t="s">
        <v>38</v>
      </c>
      <c r="AB144">
        <v>1</v>
      </c>
      <c r="AC144">
        <v>1</v>
      </c>
      <c r="AD144">
        <v>1</v>
      </c>
      <c r="AE144" t="s">
        <v>67</v>
      </c>
      <c r="AI144">
        <v>4</v>
      </c>
      <c r="AJ144">
        <v>25</v>
      </c>
    </row>
    <row r="145" spans="1:36" x14ac:dyDescent="0.25">
      <c r="A145" t="s">
        <v>370</v>
      </c>
      <c r="B145">
        <v>145</v>
      </c>
      <c r="C145" t="s">
        <v>48</v>
      </c>
      <c r="D145">
        <v>1</v>
      </c>
      <c r="F145">
        <v>1</v>
      </c>
      <c r="G145" t="s">
        <v>49</v>
      </c>
      <c r="H145" t="s">
        <v>84</v>
      </c>
      <c r="K145" t="s">
        <v>33</v>
      </c>
      <c r="L145">
        <v>1</v>
      </c>
      <c r="N145">
        <v>3</v>
      </c>
      <c r="O145" t="s">
        <v>46</v>
      </c>
      <c r="P145" t="s">
        <v>35</v>
      </c>
      <c r="S145" t="s">
        <v>56</v>
      </c>
      <c r="T145">
        <v>1</v>
      </c>
      <c r="V145">
        <v>1</v>
      </c>
      <c r="W145" t="s">
        <v>57</v>
      </c>
      <c r="AA145" t="s">
        <v>63</v>
      </c>
      <c r="AB145">
        <v>2</v>
      </c>
      <c r="AD145">
        <v>1</v>
      </c>
      <c r="AE145" t="s">
        <v>72</v>
      </c>
      <c r="AF145" t="s">
        <v>91</v>
      </c>
      <c r="AI145">
        <v>6</v>
      </c>
      <c r="AJ145">
        <v>28</v>
      </c>
    </row>
    <row r="146" spans="1:36" x14ac:dyDescent="0.25">
      <c r="A146" t="s">
        <v>371</v>
      </c>
      <c r="B146">
        <v>146</v>
      </c>
      <c r="C146" t="s">
        <v>56</v>
      </c>
      <c r="D146">
        <v>2</v>
      </c>
      <c r="F146">
        <v>1</v>
      </c>
      <c r="G146" t="s">
        <v>57</v>
      </c>
      <c r="K146" t="s">
        <v>63</v>
      </c>
      <c r="L146">
        <v>1</v>
      </c>
      <c r="N146">
        <v>1</v>
      </c>
      <c r="O146" t="s">
        <v>72</v>
      </c>
      <c r="S146" t="s">
        <v>48</v>
      </c>
      <c r="T146">
        <v>3</v>
      </c>
      <c r="V146">
        <v>1</v>
      </c>
      <c r="W146" t="s">
        <v>49</v>
      </c>
      <c r="AA146" t="s">
        <v>43</v>
      </c>
      <c r="AB146">
        <v>2</v>
      </c>
      <c r="AD146">
        <v>1</v>
      </c>
      <c r="AE146" t="s">
        <v>135</v>
      </c>
      <c r="AI146">
        <v>4</v>
      </c>
      <c r="AJ146">
        <v>28</v>
      </c>
    </row>
    <row r="147" spans="1:36" x14ac:dyDescent="0.25">
      <c r="A147" t="s">
        <v>372</v>
      </c>
      <c r="B147">
        <v>147</v>
      </c>
      <c r="C147" t="s">
        <v>48</v>
      </c>
      <c r="D147">
        <v>2</v>
      </c>
      <c r="F147">
        <v>1</v>
      </c>
      <c r="G147" t="s">
        <v>49</v>
      </c>
      <c r="K147" t="s">
        <v>45</v>
      </c>
      <c r="L147">
        <v>2</v>
      </c>
      <c r="N147">
        <v>1</v>
      </c>
      <c r="O147" t="s">
        <v>47</v>
      </c>
      <c r="S147" t="s">
        <v>56</v>
      </c>
      <c r="T147">
        <v>1</v>
      </c>
      <c r="V147">
        <v>1</v>
      </c>
      <c r="W147" t="s">
        <v>57</v>
      </c>
      <c r="AA147" t="s">
        <v>63</v>
      </c>
      <c r="AB147">
        <v>1</v>
      </c>
      <c r="AD147">
        <v>1</v>
      </c>
      <c r="AE147" t="s">
        <v>72</v>
      </c>
      <c r="AF147" t="s">
        <v>146</v>
      </c>
      <c r="AI147">
        <v>3</v>
      </c>
      <c r="AJ147">
        <v>25</v>
      </c>
    </row>
    <row r="148" spans="1:36" x14ac:dyDescent="0.25">
      <c r="A148" t="s">
        <v>373</v>
      </c>
      <c r="B148">
        <v>148</v>
      </c>
      <c r="C148" t="s">
        <v>56</v>
      </c>
      <c r="D148">
        <v>1</v>
      </c>
      <c r="F148">
        <v>1</v>
      </c>
      <c r="G148" t="s">
        <v>57</v>
      </c>
      <c r="K148" t="s">
        <v>63</v>
      </c>
      <c r="L148">
        <v>2</v>
      </c>
      <c r="N148">
        <v>1</v>
      </c>
      <c r="O148" t="s">
        <v>103</v>
      </c>
      <c r="S148" t="s">
        <v>48</v>
      </c>
      <c r="T148">
        <v>1</v>
      </c>
      <c r="V148">
        <v>1</v>
      </c>
      <c r="W148" t="s">
        <v>49</v>
      </c>
      <c r="X148" t="s">
        <v>50</v>
      </c>
      <c r="AA148" t="s">
        <v>38</v>
      </c>
      <c r="AB148">
        <v>3</v>
      </c>
      <c r="AC148">
        <v>1</v>
      </c>
      <c r="AD148">
        <v>1</v>
      </c>
      <c r="AE148" t="s">
        <v>152</v>
      </c>
      <c r="AI148">
        <v>4</v>
      </c>
      <c r="AJ148">
        <v>21</v>
      </c>
    </row>
    <row r="149" spans="1:36" x14ac:dyDescent="0.25">
      <c r="A149" t="s">
        <v>374</v>
      </c>
      <c r="B149">
        <v>149</v>
      </c>
      <c r="C149" t="s">
        <v>33</v>
      </c>
      <c r="D149">
        <v>1</v>
      </c>
      <c r="F149">
        <v>3</v>
      </c>
      <c r="G149" t="s">
        <v>46</v>
      </c>
      <c r="K149" t="s">
        <v>43</v>
      </c>
      <c r="L149">
        <v>1</v>
      </c>
      <c r="N149">
        <v>2</v>
      </c>
      <c r="O149" t="s">
        <v>135</v>
      </c>
      <c r="P149" t="s">
        <v>99</v>
      </c>
      <c r="Q149" t="s">
        <v>137</v>
      </c>
      <c r="S149" t="s">
        <v>56</v>
      </c>
      <c r="T149">
        <v>1</v>
      </c>
      <c r="V149">
        <v>1</v>
      </c>
      <c r="W149" t="s">
        <v>68</v>
      </c>
      <c r="AA149" t="s">
        <v>63</v>
      </c>
      <c r="AB149">
        <v>1</v>
      </c>
      <c r="AD149">
        <v>1</v>
      </c>
      <c r="AE149" t="s">
        <v>72</v>
      </c>
      <c r="AI149">
        <v>5</v>
      </c>
      <c r="AJ149">
        <v>25</v>
      </c>
    </row>
    <row r="150" spans="1:36" x14ac:dyDescent="0.25">
      <c r="A150" t="s">
        <v>375</v>
      </c>
      <c r="B150">
        <v>150</v>
      </c>
      <c r="C150" t="s">
        <v>33</v>
      </c>
      <c r="D150">
        <v>1</v>
      </c>
      <c r="F150">
        <v>1</v>
      </c>
      <c r="G150" t="s">
        <v>46</v>
      </c>
      <c r="K150" t="s">
        <v>45</v>
      </c>
      <c r="L150">
        <v>2</v>
      </c>
      <c r="N150">
        <v>1</v>
      </c>
      <c r="O150" t="s">
        <v>47</v>
      </c>
      <c r="S150" t="s">
        <v>56</v>
      </c>
      <c r="T150">
        <v>1</v>
      </c>
      <c r="V150">
        <v>2</v>
      </c>
      <c r="W150" t="s">
        <v>68</v>
      </c>
      <c r="AA150" t="s">
        <v>63</v>
      </c>
      <c r="AB150">
        <v>1</v>
      </c>
      <c r="AD150">
        <v>1</v>
      </c>
      <c r="AE150" t="s">
        <v>72</v>
      </c>
      <c r="AI150">
        <v>2</v>
      </c>
      <c r="AJ150">
        <v>26</v>
      </c>
    </row>
    <row r="151" spans="1:36" x14ac:dyDescent="0.25">
      <c r="A151" s="36" t="s">
        <v>376</v>
      </c>
      <c r="B151">
        <v>151</v>
      </c>
      <c r="C151" t="s">
        <v>33</v>
      </c>
      <c r="D151">
        <v>1</v>
      </c>
      <c r="F151">
        <v>3</v>
      </c>
      <c r="G151" t="s">
        <v>46</v>
      </c>
      <c r="H151" t="s">
        <v>35</v>
      </c>
      <c r="I151" t="s">
        <v>132</v>
      </c>
      <c r="K151" t="s">
        <v>38</v>
      </c>
      <c r="L151">
        <v>1</v>
      </c>
      <c r="M151">
        <v>1</v>
      </c>
      <c r="N151">
        <v>1</v>
      </c>
      <c r="O151" t="s">
        <v>152</v>
      </c>
      <c r="P151" t="s">
        <v>40</v>
      </c>
      <c r="S151" t="s">
        <v>56</v>
      </c>
      <c r="T151">
        <v>2</v>
      </c>
      <c r="V151">
        <v>2</v>
      </c>
      <c r="W151" t="s">
        <v>68</v>
      </c>
      <c r="X151" t="s">
        <v>69</v>
      </c>
      <c r="AA151" t="s">
        <v>63</v>
      </c>
      <c r="AB151">
        <v>1</v>
      </c>
      <c r="AD151">
        <v>1</v>
      </c>
      <c r="AE151" t="s">
        <v>72</v>
      </c>
      <c r="AI151">
        <v>8</v>
      </c>
      <c r="AJ151">
        <v>58</v>
      </c>
    </row>
    <row r="152" spans="1:36" x14ac:dyDescent="0.25">
      <c r="A152" t="s">
        <v>377</v>
      </c>
      <c r="B152">
        <v>152</v>
      </c>
      <c r="C152" t="s">
        <v>43</v>
      </c>
      <c r="D152">
        <v>2</v>
      </c>
      <c r="F152">
        <v>2</v>
      </c>
      <c r="G152" t="s">
        <v>135</v>
      </c>
      <c r="H152" t="s">
        <v>99</v>
      </c>
      <c r="I152" t="s">
        <v>137</v>
      </c>
      <c r="K152" t="s">
        <v>45</v>
      </c>
      <c r="L152">
        <v>2</v>
      </c>
      <c r="N152">
        <v>1</v>
      </c>
      <c r="O152" t="s">
        <v>47</v>
      </c>
      <c r="S152" t="s">
        <v>56</v>
      </c>
      <c r="T152">
        <v>2</v>
      </c>
      <c r="V152">
        <v>3</v>
      </c>
      <c r="W152" t="s">
        <v>68</v>
      </c>
      <c r="AA152" t="s">
        <v>63</v>
      </c>
      <c r="AB152">
        <v>1</v>
      </c>
      <c r="AD152">
        <v>1</v>
      </c>
      <c r="AE152" t="s">
        <v>72</v>
      </c>
      <c r="AF152" t="s">
        <v>146</v>
      </c>
      <c r="AI152">
        <v>9</v>
      </c>
      <c r="AJ152">
        <v>31</v>
      </c>
    </row>
    <row r="153" spans="1:36" x14ac:dyDescent="0.25">
      <c r="A153" t="s">
        <v>378</v>
      </c>
      <c r="B153">
        <v>153</v>
      </c>
      <c r="C153" t="s">
        <v>43</v>
      </c>
      <c r="D153">
        <v>2</v>
      </c>
      <c r="F153">
        <v>1</v>
      </c>
      <c r="G153" t="s">
        <v>135</v>
      </c>
      <c r="H153" t="s">
        <v>136</v>
      </c>
      <c r="K153" t="s">
        <v>38</v>
      </c>
      <c r="L153">
        <v>1</v>
      </c>
      <c r="M153">
        <v>2</v>
      </c>
      <c r="N153">
        <v>2</v>
      </c>
      <c r="O153" t="s">
        <v>152</v>
      </c>
      <c r="P153" t="s">
        <v>40</v>
      </c>
      <c r="S153" t="s">
        <v>56</v>
      </c>
      <c r="T153">
        <v>2</v>
      </c>
      <c r="V153">
        <v>1</v>
      </c>
      <c r="W153" t="s">
        <v>68</v>
      </c>
      <c r="AA153" t="s">
        <v>63</v>
      </c>
      <c r="AB153">
        <v>1</v>
      </c>
      <c r="AD153">
        <v>1</v>
      </c>
      <c r="AE153" t="s">
        <v>72</v>
      </c>
      <c r="AF153" t="s">
        <v>91</v>
      </c>
      <c r="AI153">
        <v>7</v>
      </c>
      <c r="AJ153">
        <v>23</v>
      </c>
    </row>
    <row r="154" spans="1:36" x14ac:dyDescent="0.25">
      <c r="A154" t="s">
        <v>379</v>
      </c>
      <c r="B154">
        <v>154</v>
      </c>
      <c r="C154" t="s">
        <v>45</v>
      </c>
      <c r="D154">
        <v>3</v>
      </c>
      <c r="F154">
        <v>2</v>
      </c>
      <c r="G154" t="s">
        <v>86</v>
      </c>
      <c r="K154" t="s">
        <v>38</v>
      </c>
      <c r="L154">
        <v>3</v>
      </c>
      <c r="M154">
        <v>2</v>
      </c>
      <c r="N154">
        <v>2</v>
      </c>
      <c r="O154" t="s">
        <v>152</v>
      </c>
      <c r="P154" t="s">
        <v>70</v>
      </c>
      <c r="S154" t="s">
        <v>56</v>
      </c>
      <c r="T154">
        <v>1</v>
      </c>
      <c r="V154">
        <v>2</v>
      </c>
      <c r="W154" t="s">
        <v>68</v>
      </c>
      <c r="AA154" t="s">
        <v>63</v>
      </c>
      <c r="AB154">
        <v>2</v>
      </c>
      <c r="AD154">
        <v>1</v>
      </c>
      <c r="AE154" t="s">
        <v>72</v>
      </c>
      <c r="AF154" t="s">
        <v>91</v>
      </c>
      <c r="AG154" t="s">
        <v>147</v>
      </c>
      <c r="AH154" t="s">
        <v>151</v>
      </c>
      <c r="AI154">
        <v>13</v>
      </c>
      <c r="AJ154">
        <v>40</v>
      </c>
    </row>
    <row r="155" spans="1:36" x14ac:dyDescent="0.25">
      <c r="A155" t="s">
        <v>380</v>
      </c>
      <c r="B155">
        <v>155</v>
      </c>
      <c r="C155" t="s">
        <v>56</v>
      </c>
      <c r="D155">
        <v>1</v>
      </c>
      <c r="F155">
        <v>1</v>
      </c>
      <c r="G155" t="s">
        <v>68</v>
      </c>
      <c r="K155" t="s">
        <v>38</v>
      </c>
      <c r="L155">
        <v>3</v>
      </c>
      <c r="M155">
        <v>1</v>
      </c>
      <c r="N155">
        <v>2</v>
      </c>
      <c r="O155" t="s">
        <v>67</v>
      </c>
      <c r="S155" t="s">
        <v>48</v>
      </c>
      <c r="T155">
        <v>1</v>
      </c>
      <c r="V155">
        <v>1</v>
      </c>
      <c r="W155" t="s">
        <v>89</v>
      </c>
      <c r="X155" t="s">
        <v>50</v>
      </c>
      <c r="AA155" t="s">
        <v>33</v>
      </c>
      <c r="AB155">
        <v>1</v>
      </c>
      <c r="AD155">
        <v>1</v>
      </c>
      <c r="AE155" t="s">
        <v>46</v>
      </c>
      <c r="AI155">
        <v>4</v>
      </c>
      <c r="AJ155">
        <v>19</v>
      </c>
    </row>
    <row r="156" spans="1:36" x14ac:dyDescent="0.25">
      <c r="A156" t="s">
        <v>381</v>
      </c>
      <c r="B156">
        <v>156</v>
      </c>
      <c r="C156" t="s">
        <v>56</v>
      </c>
      <c r="D156">
        <v>2</v>
      </c>
      <c r="F156">
        <v>1</v>
      </c>
      <c r="G156" t="s">
        <v>57</v>
      </c>
      <c r="H156" t="s">
        <v>122</v>
      </c>
      <c r="I156" t="s">
        <v>85</v>
      </c>
      <c r="J156" t="s">
        <v>124</v>
      </c>
      <c r="K156" t="s">
        <v>38</v>
      </c>
      <c r="L156">
        <v>1</v>
      </c>
      <c r="M156">
        <v>1</v>
      </c>
      <c r="N156">
        <v>1</v>
      </c>
      <c r="O156" t="s">
        <v>67</v>
      </c>
      <c r="P156" t="s">
        <v>70</v>
      </c>
      <c r="S156" t="s">
        <v>48</v>
      </c>
      <c r="T156">
        <v>2</v>
      </c>
      <c r="V156">
        <v>1</v>
      </c>
      <c r="W156" t="s">
        <v>89</v>
      </c>
      <c r="AA156" t="s">
        <v>43</v>
      </c>
      <c r="AB156">
        <v>1</v>
      </c>
      <c r="AD156">
        <v>1</v>
      </c>
      <c r="AE156" t="s">
        <v>135</v>
      </c>
      <c r="AI156">
        <v>6</v>
      </c>
      <c r="AJ156">
        <v>31</v>
      </c>
    </row>
    <row r="157" spans="1:36" x14ac:dyDescent="0.25">
      <c r="A157" t="s">
        <v>382</v>
      </c>
      <c r="B157">
        <v>157</v>
      </c>
      <c r="C157" t="s">
        <v>48</v>
      </c>
      <c r="D157">
        <v>2</v>
      </c>
      <c r="F157">
        <v>1</v>
      </c>
      <c r="G157" t="s">
        <v>89</v>
      </c>
      <c r="K157" t="s">
        <v>45</v>
      </c>
      <c r="L157">
        <v>2</v>
      </c>
      <c r="N157">
        <v>2</v>
      </c>
      <c r="O157" t="s">
        <v>47</v>
      </c>
      <c r="S157" t="s">
        <v>56</v>
      </c>
      <c r="T157">
        <v>2</v>
      </c>
      <c r="V157">
        <v>1</v>
      </c>
      <c r="W157" t="s">
        <v>57</v>
      </c>
      <c r="AA157" t="s">
        <v>38</v>
      </c>
      <c r="AB157">
        <v>2</v>
      </c>
      <c r="AC157">
        <v>1</v>
      </c>
      <c r="AD157">
        <v>1</v>
      </c>
      <c r="AE157" t="s">
        <v>67</v>
      </c>
      <c r="AI157">
        <v>5</v>
      </c>
      <c r="AJ157">
        <v>23</v>
      </c>
    </row>
    <row r="158" spans="1:36" x14ac:dyDescent="0.25">
      <c r="A158" t="s">
        <v>383</v>
      </c>
      <c r="B158">
        <v>158</v>
      </c>
      <c r="C158" t="s">
        <v>56</v>
      </c>
      <c r="D158">
        <v>1</v>
      </c>
      <c r="F158">
        <v>1</v>
      </c>
      <c r="G158" t="s">
        <v>57</v>
      </c>
      <c r="K158" t="s">
        <v>38</v>
      </c>
      <c r="L158">
        <v>1</v>
      </c>
      <c r="M158">
        <v>2</v>
      </c>
      <c r="N158">
        <v>1</v>
      </c>
      <c r="O158" t="s">
        <v>152</v>
      </c>
      <c r="S158" t="s">
        <v>48</v>
      </c>
      <c r="T158">
        <v>1</v>
      </c>
      <c r="V158">
        <v>1</v>
      </c>
      <c r="W158" t="s">
        <v>89</v>
      </c>
      <c r="AA158" t="s">
        <v>63</v>
      </c>
      <c r="AB158">
        <v>1</v>
      </c>
      <c r="AD158">
        <v>1</v>
      </c>
      <c r="AE158" t="s">
        <v>103</v>
      </c>
      <c r="AI158">
        <v>1</v>
      </c>
      <c r="AJ158">
        <v>22</v>
      </c>
    </row>
    <row r="159" spans="1:36" x14ac:dyDescent="0.25">
      <c r="A159" t="s">
        <v>384</v>
      </c>
      <c r="B159">
        <v>159</v>
      </c>
      <c r="C159" t="s">
        <v>56</v>
      </c>
      <c r="D159">
        <v>1</v>
      </c>
      <c r="F159">
        <v>3</v>
      </c>
      <c r="G159" t="s">
        <v>68</v>
      </c>
      <c r="H159" t="s">
        <v>69</v>
      </c>
      <c r="K159" t="s">
        <v>38</v>
      </c>
      <c r="L159">
        <v>2</v>
      </c>
      <c r="M159">
        <v>1</v>
      </c>
      <c r="N159">
        <v>3</v>
      </c>
      <c r="O159" t="s">
        <v>67</v>
      </c>
      <c r="P159" t="s">
        <v>70</v>
      </c>
      <c r="S159" t="s">
        <v>33</v>
      </c>
      <c r="T159">
        <v>1</v>
      </c>
      <c r="V159">
        <v>1</v>
      </c>
      <c r="W159" t="s">
        <v>46</v>
      </c>
      <c r="AA159" t="s">
        <v>43</v>
      </c>
      <c r="AB159">
        <v>1</v>
      </c>
      <c r="AD159">
        <v>1</v>
      </c>
      <c r="AE159" t="s">
        <v>135</v>
      </c>
      <c r="AF159" t="s">
        <v>74</v>
      </c>
      <c r="AI159">
        <v>8</v>
      </c>
      <c r="AJ159">
        <v>28</v>
      </c>
    </row>
    <row r="160" spans="1:36" x14ac:dyDescent="0.25">
      <c r="A160" t="s">
        <v>385</v>
      </c>
      <c r="B160">
        <v>160</v>
      </c>
      <c r="C160" t="s">
        <v>33</v>
      </c>
      <c r="D160">
        <v>1</v>
      </c>
      <c r="F160">
        <v>2</v>
      </c>
      <c r="G160" t="s">
        <v>46</v>
      </c>
      <c r="H160" t="s">
        <v>66</v>
      </c>
      <c r="K160" t="s">
        <v>45</v>
      </c>
      <c r="L160">
        <v>2</v>
      </c>
      <c r="N160">
        <v>1</v>
      </c>
      <c r="O160" t="s">
        <v>47</v>
      </c>
      <c r="S160" t="s">
        <v>56</v>
      </c>
      <c r="T160">
        <v>1</v>
      </c>
      <c r="V160">
        <v>1</v>
      </c>
      <c r="W160" t="s">
        <v>68</v>
      </c>
      <c r="AA160" t="s">
        <v>38</v>
      </c>
      <c r="AB160">
        <v>1</v>
      </c>
      <c r="AC160">
        <v>3</v>
      </c>
      <c r="AD160">
        <v>2</v>
      </c>
      <c r="AE160" t="s">
        <v>39</v>
      </c>
      <c r="AF160" t="s">
        <v>96</v>
      </c>
      <c r="AI160">
        <v>7</v>
      </c>
      <c r="AJ160">
        <v>27</v>
      </c>
    </row>
    <row r="161" spans="1:36" x14ac:dyDescent="0.25">
      <c r="A161" t="s">
        <v>386</v>
      </c>
      <c r="B161">
        <v>161</v>
      </c>
      <c r="C161" t="s">
        <v>33</v>
      </c>
      <c r="D161">
        <v>1</v>
      </c>
      <c r="F161">
        <v>2</v>
      </c>
      <c r="G161" t="s">
        <v>46</v>
      </c>
      <c r="H161" t="s">
        <v>66</v>
      </c>
      <c r="I161" t="s">
        <v>36</v>
      </c>
      <c r="J161" t="s">
        <v>37</v>
      </c>
      <c r="K161" t="s">
        <v>63</v>
      </c>
      <c r="L161">
        <v>1</v>
      </c>
      <c r="N161">
        <v>1</v>
      </c>
      <c r="O161" t="s">
        <v>103</v>
      </c>
      <c r="P161" t="s">
        <v>95</v>
      </c>
      <c r="Q161" t="s">
        <v>104</v>
      </c>
      <c r="S161" t="s">
        <v>56</v>
      </c>
      <c r="T161">
        <v>2</v>
      </c>
      <c r="V161">
        <v>1</v>
      </c>
      <c r="W161" t="s">
        <v>57</v>
      </c>
      <c r="AA161" t="s">
        <v>38</v>
      </c>
      <c r="AB161">
        <v>1</v>
      </c>
      <c r="AC161">
        <v>1</v>
      </c>
      <c r="AD161">
        <v>1</v>
      </c>
      <c r="AE161" t="s">
        <v>67</v>
      </c>
      <c r="AI161">
        <v>7</v>
      </c>
      <c r="AJ161">
        <v>47</v>
      </c>
    </row>
    <row r="162" spans="1:36" x14ac:dyDescent="0.25">
      <c r="A162" t="s">
        <v>387</v>
      </c>
      <c r="B162">
        <v>162</v>
      </c>
      <c r="C162" t="s">
        <v>56</v>
      </c>
      <c r="D162">
        <v>1</v>
      </c>
      <c r="F162">
        <v>3</v>
      </c>
      <c r="G162" t="s">
        <v>68</v>
      </c>
      <c r="K162" t="s">
        <v>38</v>
      </c>
      <c r="L162">
        <v>1</v>
      </c>
      <c r="M162">
        <v>1</v>
      </c>
      <c r="N162">
        <v>2</v>
      </c>
      <c r="O162" t="s">
        <v>67</v>
      </c>
      <c r="P162" t="s">
        <v>70</v>
      </c>
      <c r="S162" t="s">
        <v>43</v>
      </c>
      <c r="T162">
        <v>1</v>
      </c>
      <c r="V162">
        <v>1</v>
      </c>
      <c r="W162" t="s">
        <v>135</v>
      </c>
      <c r="X162" t="s">
        <v>74</v>
      </c>
      <c r="AA162" t="s">
        <v>45</v>
      </c>
      <c r="AB162">
        <v>2</v>
      </c>
      <c r="AD162">
        <v>1</v>
      </c>
      <c r="AE162" t="s">
        <v>47</v>
      </c>
      <c r="AI162">
        <v>6</v>
      </c>
      <c r="AJ162">
        <v>24</v>
      </c>
    </row>
    <row r="163" spans="1:36" x14ac:dyDescent="0.25">
      <c r="A163" t="s">
        <v>388</v>
      </c>
      <c r="B163">
        <v>163</v>
      </c>
      <c r="C163" t="s">
        <v>56</v>
      </c>
      <c r="D163">
        <v>1</v>
      </c>
      <c r="F163">
        <v>1</v>
      </c>
      <c r="G163" t="s">
        <v>57</v>
      </c>
      <c r="H163" t="s">
        <v>122</v>
      </c>
      <c r="I163" t="s">
        <v>85</v>
      </c>
      <c r="K163" t="s">
        <v>38</v>
      </c>
      <c r="L163">
        <v>3</v>
      </c>
      <c r="M163">
        <v>1</v>
      </c>
      <c r="N163">
        <v>1</v>
      </c>
      <c r="O163" t="s">
        <v>152</v>
      </c>
      <c r="P163" t="s">
        <v>70</v>
      </c>
      <c r="S163" t="s">
        <v>43</v>
      </c>
      <c r="T163">
        <v>2</v>
      </c>
      <c r="V163">
        <v>1</v>
      </c>
      <c r="W163" t="s">
        <v>135</v>
      </c>
      <c r="X163" t="s">
        <v>74</v>
      </c>
      <c r="AA163" t="s">
        <v>63</v>
      </c>
      <c r="AB163">
        <v>1</v>
      </c>
      <c r="AD163">
        <v>1</v>
      </c>
      <c r="AE163" t="s">
        <v>103</v>
      </c>
      <c r="AI163">
        <v>7</v>
      </c>
      <c r="AJ163">
        <v>22</v>
      </c>
    </row>
    <row r="164" spans="1:36" x14ac:dyDescent="0.25">
      <c r="A164" t="s">
        <v>389</v>
      </c>
      <c r="B164">
        <v>164</v>
      </c>
      <c r="C164" t="s">
        <v>56</v>
      </c>
      <c r="D164">
        <v>3</v>
      </c>
      <c r="F164">
        <v>1</v>
      </c>
      <c r="G164" t="s">
        <v>57</v>
      </c>
      <c r="H164" t="s">
        <v>122</v>
      </c>
      <c r="I164" t="s">
        <v>85</v>
      </c>
      <c r="K164" t="s">
        <v>38</v>
      </c>
      <c r="L164">
        <v>1</v>
      </c>
      <c r="M164">
        <v>1</v>
      </c>
      <c r="N164">
        <v>2</v>
      </c>
      <c r="O164" t="s">
        <v>67</v>
      </c>
      <c r="P164" t="s">
        <v>40</v>
      </c>
      <c r="S164" t="s">
        <v>45</v>
      </c>
      <c r="T164">
        <v>2</v>
      </c>
      <c r="V164">
        <v>1</v>
      </c>
      <c r="W164" t="s">
        <v>47</v>
      </c>
      <c r="AA164" t="s">
        <v>63</v>
      </c>
      <c r="AB164">
        <v>3</v>
      </c>
      <c r="AD164">
        <v>2</v>
      </c>
      <c r="AE164" t="s">
        <v>103</v>
      </c>
      <c r="AF164" t="s">
        <v>146</v>
      </c>
      <c r="AI164">
        <v>11</v>
      </c>
      <c r="AJ164">
        <v>34</v>
      </c>
    </row>
    <row r="165" spans="1:36" x14ac:dyDescent="0.25">
      <c r="A165" t="s">
        <v>390</v>
      </c>
      <c r="B165">
        <v>165</v>
      </c>
      <c r="C165" t="s">
        <v>43</v>
      </c>
      <c r="D165">
        <v>1</v>
      </c>
      <c r="F165">
        <v>2</v>
      </c>
      <c r="G165" t="s">
        <v>135</v>
      </c>
      <c r="K165" t="s">
        <v>45</v>
      </c>
      <c r="L165">
        <v>3</v>
      </c>
      <c r="N165">
        <v>1</v>
      </c>
      <c r="O165" t="s">
        <v>47</v>
      </c>
      <c r="P165" t="s">
        <v>76</v>
      </c>
      <c r="Q165" t="s">
        <v>93</v>
      </c>
      <c r="S165" t="s">
        <v>48</v>
      </c>
      <c r="T165">
        <v>3</v>
      </c>
      <c r="V165">
        <v>1</v>
      </c>
      <c r="W165" t="s">
        <v>89</v>
      </c>
      <c r="X165" t="s">
        <v>50</v>
      </c>
      <c r="AA165" t="s">
        <v>33</v>
      </c>
      <c r="AB165">
        <v>1</v>
      </c>
      <c r="AD165">
        <v>1</v>
      </c>
      <c r="AE165" t="s">
        <v>46</v>
      </c>
      <c r="AI165">
        <v>8</v>
      </c>
      <c r="AJ165">
        <v>25</v>
      </c>
    </row>
    <row r="166" spans="1:36" x14ac:dyDescent="0.25">
      <c r="A166" t="s">
        <v>391</v>
      </c>
      <c r="B166">
        <v>166</v>
      </c>
      <c r="C166" t="s">
        <v>43</v>
      </c>
      <c r="D166">
        <v>3</v>
      </c>
      <c r="F166">
        <v>1</v>
      </c>
      <c r="G166" t="s">
        <v>135</v>
      </c>
      <c r="H166" t="s">
        <v>99</v>
      </c>
      <c r="K166" t="s">
        <v>63</v>
      </c>
      <c r="L166">
        <v>1</v>
      </c>
      <c r="N166">
        <v>1</v>
      </c>
      <c r="O166" t="s">
        <v>103</v>
      </c>
      <c r="P166" t="s">
        <v>91</v>
      </c>
      <c r="S166" t="s">
        <v>48</v>
      </c>
      <c r="T166">
        <v>1</v>
      </c>
      <c r="V166">
        <v>1</v>
      </c>
      <c r="W166" t="s">
        <v>89</v>
      </c>
      <c r="AA166" t="s">
        <v>33</v>
      </c>
      <c r="AB166">
        <v>1</v>
      </c>
      <c r="AD166">
        <v>1</v>
      </c>
      <c r="AE166" t="s">
        <v>46</v>
      </c>
      <c r="AI166">
        <v>4</v>
      </c>
      <c r="AJ166">
        <v>24</v>
      </c>
    </row>
    <row r="167" spans="1:36" x14ac:dyDescent="0.25">
      <c r="A167" t="s">
        <v>392</v>
      </c>
      <c r="B167">
        <v>167</v>
      </c>
      <c r="C167" t="s">
        <v>43</v>
      </c>
      <c r="D167">
        <v>2</v>
      </c>
      <c r="F167">
        <v>1</v>
      </c>
      <c r="G167" t="s">
        <v>135</v>
      </c>
      <c r="K167" t="s">
        <v>38</v>
      </c>
      <c r="L167">
        <v>1</v>
      </c>
      <c r="M167">
        <v>3</v>
      </c>
      <c r="N167">
        <v>2</v>
      </c>
      <c r="O167" t="s">
        <v>67</v>
      </c>
      <c r="S167" t="s">
        <v>48</v>
      </c>
      <c r="T167">
        <v>1</v>
      </c>
      <c r="V167">
        <v>1</v>
      </c>
      <c r="W167" t="s">
        <v>89</v>
      </c>
      <c r="AA167" t="s">
        <v>33</v>
      </c>
      <c r="AB167">
        <v>2</v>
      </c>
      <c r="AD167">
        <v>3</v>
      </c>
      <c r="AE167" t="s">
        <v>65</v>
      </c>
      <c r="AI167">
        <v>7</v>
      </c>
      <c r="AJ167">
        <v>23</v>
      </c>
    </row>
    <row r="168" spans="1:36" x14ac:dyDescent="0.25">
      <c r="A168" t="s">
        <v>393</v>
      </c>
      <c r="B168">
        <v>168</v>
      </c>
      <c r="C168" t="s">
        <v>48</v>
      </c>
      <c r="D168">
        <v>1</v>
      </c>
      <c r="F168">
        <v>1</v>
      </c>
      <c r="G168" t="s">
        <v>89</v>
      </c>
      <c r="H168" t="s">
        <v>50</v>
      </c>
      <c r="I168" t="s">
        <v>51</v>
      </c>
      <c r="K168" t="s">
        <v>33</v>
      </c>
      <c r="L168">
        <v>2</v>
      </c>
      <c r="N168">
        <v>1</v>
      </c>
      <c r="O168" t="s">
        <v>46</v>
      </c>
      <c r="S168" t="s">
        <v>45</v>
      </c>
      <c r="T168">
        <v>2</v>
      </c>
      <c r="V168">
        <v>1</v>
      </c>
      <c r="W168" t="s">
        <v>47</v>
      </c>
      <c r="AA168" t="s">
        <v>63</v>
      </c>
      <c r="AB168">
        <v>1</v>
      </c>
      <c r="AD168">
        <v>1</v>
      </c>
      <c r="AE168" t="s">
        <v>103</v>
      </c>
      <c r="AI168">
        <v>4</v>
      </c>
      <c r="AJ168">
        <v>26</v>
      </c>
    </row>
    <row r="169" spans="1:36" x14ac:dyDescent="0.25">
      <c r="A169" t="s">
        <v>394</v>
      </c>
      <c r="B169">
        <v>169</v>
      </c>
      <c r="C169" t="s">
        <v>45</v>
      </c>
      <c r="D169">
        <v>3</v>
      </c>
      <c r="F169">
        <v>1</v>
      </c>
      <c r="G169" t="s">
        <v>47</v>
      </c>
      <c r="K169" t="s">
        <v>38</v>
      </c>
      <c r="L169">
        <v>1</v>
      </c>
      <c r="M169">
        <v>1</v>
      </c>
      <c r="N169">
        <v>1</v>
      </c>
      <c r="O169" t="s">
        <v>67</v>
      </c>
      <c r="S169" t="s">
        <v>48</v>
      </c>
      <c r="T169">
        <v>1</v>
      </c>
      <c r="V169">
        <v>1</v>
      </c>
      <c r="W169" t="s">
        <v>89</v>
      </c>
      <c r="X169" t="s">
        <v>50</v>
      </c>
      <c r="AA169" t="s">
        <v>33</v>
      </c>
      <c r="AB169">
        <v>1</v>
      </c>
      <c r="AD169">
        <v>1</v>
      </c>
      <c r="AE169" t="s">
        <v>46</v>
      </c>
      <c r="AF169" t="s">
        <v>66</v>
      </c>
      <c r="AI169">
        <v>4</v>
      </c>
      <c r="AJ169">
        <v>22</v>
      </c>
    </row>
    <row r="170" spans="1:36" x14ac:dyDescent="0.25">
      <c r="A170" t="s">
        <v>395</v>
      </c>
      <c r="B170">
        <v>170</v>
      </c>
      <c r="C170" t="s">
        <v>48</v>
      </c>
      <c r="D170">
        <v>3</v>
      </c>
      <c r="F170">
        <v>1</v>
      </c>
      <c r="G170" t="s">
        <v>49</v>
      </c>
      <c r="H170" t="s">
        <v>50</v>
      </c>
      <c r="I170" t="s">
        <v>127</v>
      </c>
      <c r="J170" t="s">
        <v>52</v>
      </c>
      <c r="K170" t="s">
        <v>33</v>
      </c>
      <c r="L170">
        <v>1</v>
      </c>
      <c r="N170">
        <v>1</v>
      </c>
      <c r="O170" t="s">
        <v>46</v>
      </c>
      <c r="S170" t="s">
        <v>63</v>
      </c>
      <c r="T170">
        <v>1</v>
      </c>
      <c r="V170">
        <v>1</v>
      </c>
      <c r="W170" t="s">
        <v>103</v>
      </c>
      <c r="X170" t="s">
        <v>91</v>
      </c>
      <c r="Y170" t="s">
        <v>147</v>
      </c>
      <c r="AA170" t="s">
        <v>38</v>
      </c>
      <c r="AB170">
        <v>1</v>
      </c>
      <c r="AC170">
        <v>1</v>
      </c>
      <c r="AD170">
        <v>2</v>
      </c>
      <c r="AE170" t="s">
        <v>67</v>
      </c>
      <c r="AI170">
        <v>8</v>
      </c>
      <c r="AJ170">
        <v>36</v>
      </c>
    </row>
    <row r="171" spans="1:36" x14ac:dyDescent="0.25">
      <c r="A171" t="s">
        <v>396</v>
      </c>
      <c r="B171">
        <v>171</v>
      </c>
      <c r="C171" t="s">
        <v>48</v>
      </c>
      <c r="D171">
        <v>2</v>
      </c>
      <c r="F171">
        <v>2</v>
      </c>
      <c r="G171" t="s">
        <v>89</v>
      </c>
      <c r="H171" t="s">
        <v>50</v>
      </c>
      <c r="I171" t="s">
        <v>51</v>
      </c>
      <c r="J171" t="s">
        <v>128</v>
      </c>
      <c r="K171" t="s">
        <v>43</v>
      </c>
      <c r="L171">
        <v>1</v>
      </c>
      <c r="N171">
        <v>1</v>
      </c>
      <c r="O171" t="s">
        <v>135</v>
      </c>
      <c r="S171" t="s">
        <v>33</v>
      </c>
      <c r="T171">
        <v>2</v>
      </c>
      <c r="V171">
        <v>2</v>
      </c>
      <c r="W171" t="s">
        <v>46</v>
      </c>
      <c r="AA171" t="s">
        <v>45</v>
      </c>
      <c r="AB171">
        <v>2</v>
      </c>
      <c r="AD171">
        <v>1</v>
      </c>
      <c r="AE171" t="s">
        <v>47</v>
      </c>
      <c r="AI171">
        <v>8</v>
      </c>
      <c r="AJ171">
        <v>27</v>
      </c>
    </row>
    <row r="172" spans="1:36" x14ac:dyDescent="0.25">
      <c r="A172" t="s">
        <v>397</v>
      </c>
      <c r="B172">
        <v>173</v>
      </c>
      <c r="C172" t="s">
        <v>48</v>
      </c>
      <c r="D172">
        <v>1</v>
      </c>
      <c r="F172">
        <v>1</v>
      </c>
      <c r="G172" t="s">
        <v>89</v>
      </c>
      <c r="K172" t="s">
        <v>43</v>
      </c>
      <c r="L172">
        <v>2</v>
      </c>
      <c r="N172">
        <v>1</v>
      </c>
      <c r="O172" t="s">
        <v>135</v>
      </c>
      <c r="P172" t="s">
        <v>74</v>
      </c>
      <c r="S172" t="s">
        <v>33</v>
      </c>
      <c r="T172">
        <v>1</v>
      </c>
      <c r="V172">
        <v>1</v>
      </c>
      <c r="W172" t="s">
        <v>65</v>
      </c>
      <c r="X172" t="s">
        <v>35</v>
      </c>
      <c r="AA172" t="s">
        <v>38</v>
      </c>
      <c r="AB172">
        <v>2</v>
      </c>
      <c r="AC172">
        <v>1</v>
      </c>
      <c r="AD172">
        <v>1</v>
      </c>
      <c r="AE172" t="s">
        <v>67</v>
      </c>
      <c r="AI172">
        <v>4</v>
      </c>
      <c r="AJ172">
        <v>20</v>
      </c>
    </row>
    <row r="173" spans="1:36" x14ac:dyDescent="0.25">
      <c r="A173" t="s">
        <v>398</v>
      </c>
      <c r="B173">
        <v>174</v>
      </c>
      <c r="C173" t="s">
        <v>45</v>
      </c>
      <c r="D173">
        <v>2</v>
      </c>
      <c r="F173">
        <v>1</v>
      </c>
      <c r="G173" t="s">
        <v>47</v>
      </c>
      <c r="K173" t="s">
        <v>63</v>
      </c>
      <c r="L173">
        <v>1</v>
      </c>
      <c r="N173">
        <v>2</v>
      </c>
      <c r="O173" t="s">
        <v>103</v>
      </c>
      <c r="P173" t="s">
        <v>95</v>
      </c>
      <c r="S173" t="s">
        <v>48</v>
      </c>
      <c r="T173">
        <v>2</v>
      </c>
      <c r="V173">
        <v>1</v>
      </c>
      <c r="W173" t="s">
        <v>89</v>
      </c>
      <c r="AA173" t="s">
        <v>43</v>
      </c>
      <c r="AB173">
        <v>1</v>
      </c>
      <c r="AD173">
        <v>2</v>
      </c>
      <c r="AE173" t="s">
        <v>135</v>
      </c>
      <c r="AI173">
        <v>5</v>
      </c>
      <c r="AJ173">
        <v>24</v>
      </c>
    </row>
    <row r="174" spans="1:36" x14ac:dyDescent="0.25">
      <c r="A174" t="s">
        <v>399</v>
      </c>
      <c r="B174">
        <v>175</v>
      </c>
      <c r="C174" t="s">
        <v>48</v>
      </c>
      <c r="D174">
        <v>1</v>
      </c>
      <c r="F174">
        <v>1</v>
      </c>
      <c r="G174" t="s">
        <v>89</v>
      </c>
      <c r="K174" t="s">
        <v>43</v>
      </c>
      <c r="L174">
        <v>2</v>
      </c>
      <c r="N174">
        <v>2</v>
      </c>
      <c r="O174" t="s">
        <v>135</v>
      </c>
      <c r="P174" t="s">
        <v>99</v>
      </c>
      <c r="S174" t="s">
        <v>45</v>
      </c>
      <c r="T174">
        <v>3</v>
      </c>
      <c r="V174">
        <v>1</v>
      </c>
      <c r="W174" t="s">
        <v>47</v>
      </c>
      <c r="AA174" t="s">
        <v>38</v>
      </c>
      <c r="AB174">
        <v>1</v>
      </c>
      <c r="AC174">
        <v>1</v>
      </c>
      <c r="AD174">
        <v>2</v>
      </c>
      <c r="AE174" t="s">
        <v>152</v>
      </c>
      <c r="AI174">
        <v>6</v>
      </c>
      <c r="AJ174">
        <v>25</v>
      </c>
    </row>
    <row r="175" spans="1:36" x14ac:dyDescent="0.25">
      <c r="A175" t="s">
        <v>400</v>
      </c>
      <c r="B175">
        <v>176</v>
      </c>
      <c r="C175" t="s">
        <v>63</v>
      </c>
      <c r="D175">
        <v>2</v>
      </c>
      <c r="F175">
        <v>1</v>
      </c>
      <c r="G175" t="s">
        <v>72</v>
      </c>
      <c r="H175" t="s">
        <v>91</v>
      </c>
      <c r="K175" t="s">
        <v>38</v>
      </c>
      <c r="L175">
        <v>1</v>
      </c>
      <c r="M175">
        <v>1</v>
      </c>
      <c r="N175">
        <v>3</v>
      </c>
      <c r="O175" t="s">
        <v>67</v>
      </c>
      <c r="P175" t="s">
        <v>70</v>
      </c>
      <c r="S175" t="s">
        <v>48</v>
      </c>
      <c r="T175">
        <v>3</v>
      </c>
      <c r="V175">
        <v>1</v>
      </c>
      <c r="W175" t="s">
        <v>49</v>
      </c>
      <c r="AA175" t="s">
        <v>43</v>
      </c>
      <c r="AB175">
        <v>2</v>
      </c>
      <c r="AD175">
        <v>1</v>
      </c>
      <c r="AE175" t="s">
        <v>135</v>
      </c>
      <c r="AF175" t="s">
        <v>74</v>
      </c>
      <c r="AG175" t="s">
        <v>75</v>
      </c>
      <c r="AI175">
        <v>10</v>
      </c>
      <c r="AJ175">
        <v>33</v>
      </c>
    </row>
    <row r="176" spans="1:36" x14ac:dyDescent="0.25">
      <c r="A176" t="s">
        <v>401</v>
      </c>
      <c r="B176">
        <v>179</v>
      </c>
      <c r="C176" t="s">
        <v>48</v>
      </c>
      <c r="D176">
        <v>1</v>
      </c>
      <c r="F176">
        <v>1</v>
      </c>
      <c r="G176" t="s">
        <v>89</v>
      </c>
      <c r="H176" t="s">
        <v>50</v>
      </c>
      <c r="I176" t="s">
        <v>90</v>
      </c>
      <c r="J176" t="s">
        <v>129</v>
      </c>
      <c r="K176" t="s">
        <v>45</v>
      </c>
      <c r="L176">
        <v>2</v>
      </c>
      <c r="N176">
        <v>1</v>
      </c>
      <c r="O176" t="s">
        <v>86</v>
      </c>
      <c r="S176" t="s">
        <v>33</v>
      </c>
      <c r="T176">
        <v>2</v>
      </c>
      <c r="V176">
        <v>1</v>
      </c>
      <c r="W176" t="s">
        <v>46</v>
      </c>
      <c r="AA176" t="s">
        <v>38</v>
      </c>
      <c r="AB176">
        <v>1</v>
      </c>
      <c r="AC176">
        <v>1</v>
      </c>
      <c r="AD176">
        <v>2</v>
      </c>
      <c r="AE176" t="s">
        <v>67</v>
      </c>
      <c r="AF176" t="s">
        <v>70</v>
      </c>
      <c r="AI176">
        <v>7</v>
      </c>
      <c r="AJ176">
        <v>48</v>
      </c>
    </row>
    <row r="177" spans="1:36" x14ac:dyDescent="0.25">
      <c r="A177" t="s">
        <v>402</v>
      </c>
      <c r="B177">
        <v>180</v>
      </c>
      <c r="C177" t="s">
        <v>48</v>
      </c>
      <c r="D177">
        <v>1</v>
      </c>
      <c r="F177">
        <v>1</v>
      </c>
      <c r="G177" t="s">
        <v>89</v>
      </c>
      <c r="K177" t="s">
        <v>45</v>
      </c>
      <c r="L177">
        <v>3</v>
      </c>
      <c r="N177">
        <v>3</v>
      </c>
      <c r="O177" t="s">
        <v>47</v>
      </c>
      <c r="S177" t="s">
        <v>43</v>
      </c>
      <c r="T177">
        <v>1</v>
      </c>
      <c r="V177">
        <v>1</v>
      </c>
      <c r="W177" t="s">
        <v>135</v>
      </c>
      <c r="AA177" t="s">
        <v>63</v>
      </c>
      <c r="AB177">
        <v>1</v>
      </c>
      <c r="AD177">
        <v>1</v>
      </c>
      <c r="AE177" t="s">
        <v>103</v>
      </c>
      <c r="AF177" t="s">
        <v>95</v>
      </c>
      <c r="AG177" t="s">
        <v>104</v>
      </c>
      <c r="AI177">
        <v>6</v>
      </c>
      <c r="AJ177">
        <v>35</v>
      </c>
    </row>
    <row r="178" spans="1:36" x14ac:dyDescent="0.25">
      <c r="A178" t="s">
        <v>403</v>
      </c>
      <c r="B178">
        <v>183</v>
      </c>
      <c r="C178" t="s">
        <v>48</v>
      </c>
      <c r="D178">
        <v>2</v>
      </c>
      <c r="F178">
        <v>1</v>
      </c>
      <c r="G178" t="s">
        <v>89</v>
      </c>
      <c r="H178" t="s">
        <v>71</v>
      </c>
      <c r="I178" t="s">
        <v>51</v>
      </c>
      <c r="K178" t="s">
        <v>63</v>
      </c>
      <c r="L178">
        <v>1</v>
      </c>
      <c r="N178">
        <v>1</v>
      </c>
      <c r="O178" t="s">
        <v>145</v>
      </c>
      <c r="S178" t="s">
        <v>33</v>
      </c>
      <c r="T178">
        <v>2</v>
      </c>
      <c r="V178">
        <v>1</v>
      </c>
      <c r="W178" t="s">
        <v>46</v>
      </c>
      <c r="AA178" t="s">
        <v>43</v>
      </c>
      <c r="AB178">
        <v>2</v>
      </c>
      <c r="AD178">
        <v>2</v>
      </c>
      <c r="AE178" t="s">
        <v>135</v>
      </c>
      <c r="AF178" t="s">
        <v>74</v>
      </c>
      <c r="AI178">
        <v>7</v>
      </c>
      <c r="AJ178">
        <v>24</v>
      </c>
    </row>
    <row r="179" spans="1:36" x14ac:dyDescent="0.25">
      <c r="A179" t="s">
        <v>404</v>
      </c>
      <c r="B179">
        <v>184</v>
      </c>
      <c r="C179" t="s">
        <v>33</v>
      </c>
      <c r="D179">
        <v>1</v>
      </c>
      <c r="F179">
        <v>1</v>
      </c>
      <c r="G179" t="s">
        <v>46</v>
      </c>
      <c r="K179" t="s">
        <v>45</v>
      </c>
      <c r="L179">
        <v>2</v>
      </c>
      <c r="N179">
        <v>1</v>
      </c>
      <c r="O179" t="s">
        <v>47</v>
      </c>
      <c r="S179" t="s">
        <v>48</v>
      </c>
      <c r="T179">
        <v>1</v>
      </c>
      <c r="V179">
        <v>1</v>
      </c>
      <c r="W179" t="s">
        <v>89</v>
      </c>
      <c r="AA179" t="s">
        <v>63</v>
      </c>
      <c r="AB179">
        <v>1</v>
      </c>
      <c r="AD179">
        <v>1</v>
      </c>
      <c r="AE179" t="s">
        <v>72</v>
      </c>
      <c r="AF179" t="s">
        <v>91</v>
      </c>
      <c r="AI179">
        <v>2</v>
      </c>
      <c r="AJ179">
        <v>19</v>
      </c>
    </row>
    <row r="180" spans="1:36" x14ac:dyDescent="0.25">
      <c r="A180" t="s">
        <v>405</v>
      </c>
      <c r="B180">
        <v>185</v>
      </c>
      <c r="C180" t="s">
        <v>33</v>
      </c>
      <c r="D180">
        <v>1</v>
      </c>
      <c r="F180">
        <v>3</v>
      </c>
      <c r="G180" t="s">
        <v>46</v>
      </c>
      <c r="H180" t="s">
        <v>66</v>
      </c>
      <c r="I180" t="s">
        <v>131</v>
      </c>
      <c r="K180" t="s">
        <v>38</v>
      </c>
      <c r="L180">
        <v>1</v>
      </c>
      <c r="M180">
        <v>1</v>
      </c>
      <c r="N180">
        <v>1</v>
      </c>
      <c r="O180" t="s">
        <v>152</v>
      </c>
      <c r="S180" t="s">
        <v>48</v>
      </c>
      <c r="T180">
        <v>1</v>
      </c>
      <c r="V180">
        <v>1</v>
      </c>
      <c r="W180" t="s">
        <v>89</v>
      </c>
      <c r="AA180" t="s">
        <v>63</v>
      </c>
      <c r="AB180">
        <v>2</v>
      </c>
      <c r="AD180">
        <v>1</v>
      </c>
      <c r="AE180" t="s">
        <v>72</v>
      </c>
      <c r="AI180">
        <v>5</v>
      </c>
      <c r="AJ180">
        <v>29</v>
      </c>
    </row>
    <row r="181" spans="1:36" x14ac:dyDescent="0.25">
      <c r="A181" t="s">
        <v>406</v>
      </c>
      <c r="B181">
        <v>186</v>
      </c>
      <c r="C181" t="s">
        <v>43</v>
      </c>
      <c r="D181">
        <v>1</v>
      </c>
      <c r="F181">
        <v>1</v>
      </c>
      <c r="G181" t="s">
        <v>135</v>
      </c>
      <c r="K181" t="s">
        <v>45</v>
      </c>
      <c r="L181">
        <v>2</v>
      </c>
      <c r="N181">
        <v>2</v>
      </c>
      <c r="O181" t="s">
        <v>47</v>
      </c>
      <c r="S181" t="s">
        <v>48</v>
      </c>
      <c r="T181">
        <v>1</v>
      </c>
      <c r="V181">
        <v>1</v>
      </c>
      <c r="W181" t="s">
        <v>89</v>
      </c>
      <c r="AA181" t="s">
        <v>63</v>
      </c>
      <c r="AB181">
        <v>2</v>
      </c>
      <c r="AD181">
        <v>1</v>
      </c>
      <c r="AE181" t="s">
        <v>72</v>
      </c>
      <c r="AI181">
        <v>3</v>
      </c>
      <c r="AJ181">
        <v>22</v>
      </c>
    </row>
    <row r="182" spans="1:36" x14ac:dyDescent="0.25">
      <c r="A182" t="s">
        <v>407</v>
      </c>
      <c r="B182">
        <v>190</v>
      </c>
      <c r="C182" t="s">
        <v>48</v>
      </c>
      <c r="D182">
        <v>3</v>
      </c>
      <c r="F182">
        <v>1</v>
      </c>
      <c r="G182" t="s">
        <v>89</v>
      </c>
      <c r="H182" t="s">
        <v>71</v>
      </c>
      <c r="I182" t="s">
        <v>51</v>
      </c>
      <c r="K182" t="s">
        <v>38</v>
      </c>
      <c r="L182">
        <v>1</v>
      </c>
      <c r="M182">
        <v>1</v>
      </c>
      <c r="N182">
        <v>1</v>
      </c>
      <c r="O182" t="s">
        <v>67</v>
      </c>
      <c r="S182" t="s">
        <v>33</v>
      </c>
      <c r="T182">
        <v>2</v>
      </c>
      <c r="V182">
        <v>3</v>
      </c>
      <c r="W182" t="s">
        <v>46</v>
      </c>
      <c r="AA182" t="s">
        <v>45</v>
      </c>
      <c r="AB182">
        <v>2</v>
      </c>
      <c r="AD182">
        <v>1</v>
      </c>
      <c r="AE182" t="s">
        <v>47</v>
      </c>
      <c r="AI182">
        <v>8</v>
      </c>
      <c r="AJ182">
        <v>25</v>
      </c>
    </row>
    <row r="183" spans="1:36" x14ac:dyDescent="0.25">
      <c r="A183" t="s">
        <v>408</v>
      </c>
      <c r="B183">
        <v>191</v>
      </c>
      <c r="C183" t="s">
        <v>33</v>
      </c>
      <c r="D183">
        <v>2</v>
      </c>
      <c r="F183">
        <v>2</v>
      </c>
      <c r="G183" t="s">
        <v>65</v>
      </c>
      <c r="H183" t="s">
        <v>35</v>
      </c>
      <c r="I183" t="s">
        <v>36</v>
      </c>
      <c r="K183" t="s">
        <v>63</v>
      </c>
      <c r="L183">
        <v>1</v>
      </c>
      <c r="N183">
        <v>1</v>
      </c>
      <c r="O183" t="s">
        <v>103</v>
      </c>
      <c r="P183" t="s">
        <v>95</v>
      </c>
      <c r="S183" t="s">
        <v>48</v>
      </c>
      <c r="T183">
        <v>3</v>
      </c>
      <c r="V183">
        <v>3</v>
      </c>
      <c r="W183" t="s">
        <v>89</v>
      </c>
      <c r="X183" t="s">
        <v>71</v>
      </c>
      <c r="Y183" t="s">
        <v>127</v>
      </c>
      <c r="Z183" t="s">
        <v>128</v>
      </c>
      <c r="AA183" t="s">
        <v>38</v>
      </c>
      <c r="AB183">
        <v>1</v>
      </c>
      <c r="AC183">
        <v>2</v>
      </c>
      <c r="AD183">
        <v>1</v>
      </c>
      <c r="AE183" t="s">
        <v>152</v>
      </c>
      <c r="AI183">
        <v>13</v>
      </c>
      <c r="AJ183">
        <v>41</v>
      </c>
    </row>
    <row r="184" spans="1:36" x14ac:dyDescent="0.25">
      <c r="A184" t="s">
        <v>409</v>
      </c>
      <c r="B184">
        <v>192</v>
      </c>
      <c r="C184" t="s">
        <v>43</v>
      </c>
      <c r="D184">
        <v>1</v>
      </c>
      <c r="F184">
        <v>1</v>
      </c>
      <c r="G184" t="s">
        <v>135</v>
      </c>
      <c r="H184" t="s">
        <v>74</v>
      </c>
      <c r="K184" t="s">
        <v>45</v>
      </c>
      <c r="L184">
        <v>3</v>
      </c>
      <c r="N184">
        <v>1</v>
      </c>
      <c r="O184" t="s">
        <v>47</v>
      </c>
      <c r="S184" t="s">
        <v>48</v>
      </c>
      <c r="T184">
        <v>3</v>
      </c>
      <c r="V184">
        <v>2</v>
      </c>
      <c r="W184" t="s">
        <v>89</v>
      </c>
      <c r="AA184" t="s">
        <v>38</v>
      </c>
      <c r="AB184">
        <v>1</v>
      </c>
      <c r="AC184">
        <v>1</v>
      </c>
      <c r="AD184">
        <v>1</v>
      </c>
      <c r="AE184" t="s">
        <v>67</v>
      </c>
      <c r="AI184">
        <v>6</v>
      </c>
      <c r="AJ184">
        <v>30</v>
      </c>
    </row>
    <row r="185" spans="1:36" x14ac:dyDescent="0.25">
      <c r="A185" t="s">
        <v>410</v>
      </c>
      <c r="B185">
        <v>193</v>
      </c>
      <c r="C185" t="s">
        <v>43</v>
      </c>
      <c r="D185">
        <v>1</v>
      </c>
      <c r="F185">
        <v>1</v>
      </c>
      <c r="G185" t="s">
        <v>135</v>
      </c>
      <c r="H185" t="s">
        <v>74</v>
      </c>
      <c r="K185" t="s">
        <v>63</v>
      </c>
      <c r="L185">
        <v>1</v>
      </c>
      <c r="N185">
        <v>1</v>
      </c>
      <c r="O185" t="s">
        <v>103</v>
      </c>
      <c r="S185" t="s">
        <v>48</v>
      </c>
      <c r="T185">
        <v>2</v>
      </c>
      <c r="V185">
        <v>1</v>
      </c>
      <c r="W185" t="s">
        <v>89</v>
      </c>
      <c r="AA185" t="s">
        <v>38</v>
      </c>
      <c r="AB185">
        <v>1</v>
      </c>
      <c r="AC185">
        <v>1</v>
      </c>
      <c r="AD185">
        <v>1</v>
      </c>
      <c r="AE185" t="s">
        <v>152</v>
      </c>
      <c r="AI185">
        <v>2</v>
      </c>
      <c r="AJ185">
        <v>20</v>
      </c>
    </row>
    <row r="186" spans="1:36" x14ac:dyDescent="0.25">
      <c r="A186" t="s">
        <v>411</v>
      </c>
      <c r="B186">
        <v>194</v>
      </c>
      <c r="C186" t="s">
        <v>45</v>
      </c>
      <c r="D186">
        <v>2</v>
      </c>
      <c r="F186">
        <v>1</v>
      </c>
      <c r="G186" t="s">
        <v>47</v>
      </c>
      <c r="K186" t="s">
        <v>63</v>
      </c>
      <c r="L186">
        <v>1</v>
      </c>
      <c r="N186">
        <v>1</v>
      </c>
      <c r="O186" t="s">
        <v>103</v>
      </c>
      <c r="S186" t="s">
        <v>48</v>
      </c>
      <c r="T186">
        <v>1</v>
      </c>
      <c r="V186">
        <v>1</v>
      </c>
      <c r="W186" t="s">
        <v>89</v>
      </c>
      <c r="X186" t="s">
        <v>50</v>
      </c>
      <c r="AA186" t="s">
        <v>38</v>
      </c>
      <c r="AB186">
        <v>1</v>
      </c>
      <c r="AC186">
        <v>1</v>
      </c>
      <c r="AD186">
        <v>2</v>
      </c>
      <c r="AE186" t="s">
        <v>67</v>
      </c>
      <c r="AI186">
        <v>3</v>
      </c>
      <c r="AJ186">
        <v>20</v>
      </c>
    </row>
    <row r="187" spans="1:36" x14ac:dyDescent="0.25">
      <c r="A187" t="s">
        <v>412</v>
      </c>
      <c r="B187">
        <v>195</v>
      </c>
      <c r="C187" t="s">
        <v>45</v>
      </c>
      <c r="D187">
        <v>3</v>
      </c>
      <c r="F187">
        <v>1</v>
      </c>
      <c r="G187" t="s">
        <v>47</v>
      </c>
      <c r="K187" t="s">
        <v>63</v>
      </c>
      <c r="L187">
        <v>1</v>
      </c>
      <c r="N187">
        <v>1</v>
      </c>
      <c r="O187" t="s">
        <v>145</v>
      </c>
      <c r="P187" t="s">
        <v>95</v>
      </c>
      <c r="S187" t="s">
        <v>33</v>
      </c>
      <c r="T187">
        <v>1</v>
      </c>
      <c r="V187">
        <v>1</v>
      </c>
      <c r="W187" t="s">
        <v>46</v>
      </c>
      <c r="AA187" t="s">
        <v>43</v>
      </c>
      <c r="AB187">
        <v>2</v>
      </c>
      <c r="AD187">
        <v>1</v>
      </c>
      <c r="AE187" t="s">
        <v>135</v>
      </c>
      <c r="AI187">
        <v>4</v>
      </c>
      <c r="AJ187">
        <v>15</v>
      </c>
    </row>
    <row r="188" spans="1:36" x14ac:dyDescent="0.25">
      <c r="A188" t="s">
        <v>413</v>
      </c>
      <c r="B188">
        <v>196</v>
      </c>
      <c r="C188" t="s">
        <v>45</v>
      </c>
      <c r="D188">
        <v>3</v>
      </c>
      <c r="F188">
        <v>1</v>
      </c>
      <c r="G188" t="s">
        <v>140</v>
      </c>
      <c r="K188" t="s">
        <v>38</v>
      </c>
      <c r="L188">
        <v>1</v>
      </c>
      <c r="M188">
        <v>1</v>
      </c>
      <c r="N188">
        <v>1</v>
      </c>
      <c r="O188" t="s">
        <v>67</v>
      </c>
      <c r="S188" t="s">
        <v>33</v>
      </c>
      <c r="T188">
        <v>1</v>
      </c>
      <c r="V188">
        <v>1</v>
      </c>
      <c r="W188" t="s">
        <v>46</v>
      </c>
      <c r="AA188" t="s">
        <v>43</v>
      </c>
      <c r="AB188">
        <v>1</v>
      </c>
      <c r="AD188">
        <v>1</v>
      </c>
      <c r="AE188" t="s">
        <v>135</v>
      </c>
      <c r="AF188" t="s">
        <v>136</v>
      </c>
      <c r="AI188">
        <v>3</v>
      </c>
      <c r="AJ188">
        <v>17</v>
      </c>
    </row>
    <row r="189" spans="1:36" x14ac:dyDescent="0.25">
      <c r="A189" t="s">
        <v>414</v>
      </c>
      <c r="B189">
        <v>197</v>
      </c>
      <c r="C189" t="s">
        <v>63</v>
      </c>
      <c r="D189">
        <v>1</v>
      </c>
      <c r="F189">
        <v>1</v>
      </c>
      <c r="G189" t="s">
        <v>145</v>
      </c>
      <c r="H189" t="s">
        <v>95</v>
      </c>
      <c r="K189" t="s">
        <v>38</v>
      </c>
      <c r="L189">
        <v>1</v>
      </c>
      <c r="M189">
        <v>1</v>
      </c>
      <c r="N189">
        <v>1</v>
      </c>
      <c r="O189" t="s">
        <v>67</v>
      </c>
      <c r="S189" t="s">
        <v>33</v>
      </c>
      <c r="T189">
        <v>1</v>
      </c>
      <c r="V189">
        <v>1</v>
      </c>
      <c r="W189" t="s">
        <v>46</v>
      </c>
      <c r="AA189" t="s">
        <v>43</v>
      </c>
      <c r="AB189">
        <v>1</v>
      </c>
      <c r="AD189">
        <v>1</v>
      </c>
      <c r="AE189" t="s">
        <v>135</v>
      </c>
      <c r="AF189" t="s">
        <v>74</v>
      </c>
      <c r="AI189">
        <v>2</v>
      </c>
      <c r="AJ189">
        <v>12</v>
      </c>
    </row>
    <row r="190" spans="1:36" x14ac:dyDescent="0.25">
      <c r="A190" t="s">
        <v>415</v>
      </c>
      <c r="B190">
        <v>198</v>
      </c>
      <c r="C190" t="s">
        <v>43</v>
      </c>
      <c r="D190">
        <v>2</v>
      </c>
      <c r="F190">
        <v>1</v>
      </c>
      <c r="G190" t="s">
        <v>135</v>
      </c>
      <c r="K190" t="s">
        <v>63</v>
      </c>
      <c r="L190">
        <v>1</v>
      </c>
      <c r="N190">
        <v>2</v>
      </c>
      <c r="O190" t="s">
        <v>145</v>
      </c>
      <c r="P190" t="s">
        <v>95</v>
      </c>
      <c r="S190" t="s">
        <v>33</v>
      </c>
      <c r="T190">
        <v>3</v>
      </c>
      <c r="V190">
        <v>1</v>
      </c>
      <c r="W190" t="s">
        <v>46</v>
      </c>
      <c r="AA190" t="s">
        <v>45</v>
      </c>
      <c r="AB190">
        <v>2</v>
      </c>
      <c r="AD190">
        <v>1</v>
      </c>
      <c r="AE190" t="s">
        <v>47</v>
      </c>
      <c r="AI190">
        <v>6</v>
      </c>
      <c r="AJ190">
        <v>22</v>
      </c>
    </row>
    <row r="191" spans="1:36" x14ac:dyDescent="0.25">
      <c r="A191" t="s">
        <v>416</v>
      </c>
      <c r="B191">
        <v>199</v>
      </c>
      <c r="C191" t="s">
        <v>43</v>
      </c>
      <c r="D191">
        <v>3</v>
      </c>
      <c r="F191">
        <v>2</v>
      </c>
      <c r="G191" t="s">
        <v>135</v>
      </c>
      <c r="H191" t="s">
        <v>136</v>
      </c>
      <c r="I191" t="s">
        <v>75</v>
      </c>
      <c r="K191" t="s">
        <v>38</v>
      </c>
      <c r="L191">
        <v>1</v>
      </c>
      <c r="M191">
        <v>1</v>
      </c>
      <c r="N191">
        <v>2</v>
      </c>
      <c r="O191" t="s">
        <v>67</v>
      </c>
      <c r="S191" t="s">
        <v>33</v>
      </c>
      <c r="T191">
        <v>1</v>
      </c>
      <c r="V191">
        <v>3</v>
      </c>
      <c r="W191" t="s">
        <v>65</v>
      </c>
      <c r="AA191" t="s">
        <v>45</v>
      </c>
      <c r="AB191">
        <v>3</v>
      </c>
      <c r="AD191">
        <v>1</v>
      </c>
      <c r="AE191" t="s">
        <v>140</v>
      </c>
      <c r="AI191">
        <v>10</v>
      </c>
      <c r="AJ191">
        <v>28</v>
      </c>
    </row>
    <row r="192" spans="1:36" x14ac:dyDescent="0.25">
      <c r="A192" t="s">
        <v>417</v>
      </c>
      <c r="B192">
        <v>200</v>
      </c>
      <c r="C192" t="s">
        <v>33</v>
      </c>
      <c r="D192">
        <v>1</v>
      </c>
      <c r="F192">
        <v>3</v>
      </c>
      <c r="G192" t="s">
        <v>46</v>
      </c>
      <c r="K192" t="s">
        <v>45</v>
      </c>
      <c r="L192">
        <v>2</v>
      </c>
      <c r="N192">
        <v>1</v>
      </c>
      <c r="O192" t="s">
        <v>47</v>
      </c>
      <c r="S192" t="s">
        <v>63</v>
      </c>
      <c r="T192">
        <v>1</v>
      </c>
      <c r="V192">
        <v>1</v>
      </c>
      <c r="W192" t="s">
        <v>72</v>
      </c>
      <c r="X192" t="s">
        <v>91</v>
      </c>
      <c r="AA192" t="s">
        <v>38</v>
      </c>
      <c r="AB192">
        <v>1</v>
      </c>
      <c r="AC192">
        <v>1</v>
      </c>
      <c r="AD192">
        <v>2</v>
      </c>
      <c r="AE192" t="s">
        <v>67</v>
      </c>
      <c r="AI192">
        <v>5</v>
      </c>
      <c r="AJ192">
        <v>25</v>
      </c>
    </row>
    <row r="193" spans="1:36" x14ac:dyDescent="0.25">
      <c r="A193" t="s">
        <v>418</v>
      </c>
      <c r="B193">
        <v>201</v>
      </c>
      <c r="C193" t="s">
        <v>43</v>
      </c>
      <c r="D193">
        <v>2</v>
      </c>
      <c r="F193">
        <v>1</v>
      </c>
      <c r="G193" t="s">
        <v>135</v>
      </c>
      <c r="H193" t="s">
        <v>136</v>
      </c>
      <c r="K193" t="s">
        <v>45</v>
      </c>
      <c r="L193">
        <v>3</v>
      </c>
      <c r="N193">
        <v>1</v>
      </c>
      <c r="O193" t="s">
        <v>47</v>
      </c>
      <c r="S193" t="s">
        <v>33</v>
      </c>
      <c r="T193">
        <v>3</v>
      </c>
      <c r="V193">
        <v>2</v>
      </c>
      <c r="W193" t="s">
        <v>46</v>
      </c>
      <c r="AA193" t="s">
        <v>63</v>
      </c>
      <c r="AB193">
        <v>1</v>
      </c>
      <c r="AD193">
        <v>2</v>
      </c>
      <c r="AE193" t="s">
        <v>145</v>
      </c>
      <c r="AI193">
        <v>8</v>
      </c>
      <c r="AJ193">
        <v>21</v>
      </c>
    </row>
    <row r="194" spans="1:36" x14ac:dyDescent="0.25">
      <c r="A194" t="s">
        <v>419</v>
      </c>
      <c r="B194">
        <v>202</v>
      </c>
      <c r="C194" t="s">
        <v>33</v>
      </c>
      <c r="D194">
        <v>1</v>
      </c>
      <c r="F194">
        <v>1</v>
      </c>
      <c r="G194" t="s">
        <v>65</v>
      </c>
      <c r="K194" t="s">
        <v>63</v>
      </c>
      <c r="L194">
        <v>1</v>
      </c>
      <c r="N194">
        <v>1</v>
      </c>
      <c r="O194" t="s">
        <v>103</v>
      </c>
      <c r="P194" t="s">
        <v>95</v>
      </c>
      <c r="S194" t="s">
        <v>43</v>
      </c>
      <c r="T194">
        <v>3</v>
      </c>
      <c r="V194">
        <v>1</v>
      </c>
      <c r="W194" t="s">
        <v>135</v>
      </c>
      <c r="AA194" t="s">
        <v>38</v>
      </c>
      <c r="AB194">
        <v>1</v>
      </c>
      <c r="AC194">
        <v>1</v>
      </c>
      <c r="AD194">
        <v>1</v>
      </c>
      <c r="AE194" t="s">
        <v>67</v>
      </c>
      <c r="AI194">
        <v>3</v>
      </c>
      <c r="AJ194">
        <v>27</v>
      </c>
    </row>
    <row r="195" spans="1:36" x14ac:dyDescent="0.25">
      <c r="A195" t="s">
        <v>420</v>
      </c>
      <c r="B195">
        <v>203</v>
      </c>
      <c r="C195" t="s">
        <v>33</v>
      </c>
      <c r="D195">
        <v>1</v>
      </c>
      <c r="F195">
        <v>2</v>
      </c>
      <c r="G195" t="s">
        <v>46</v>
      </c>
      <c r="K195" t="s">
        <v>63</v>
      </c>
      <c r="L195">
        <v>1</v>
      </c>
      <c r="N195">
        <v>1</v>
      </c>
      <c r="O195" t="s">
        <v>72</v>
      </c>
      <c r="P195" t="s">
        <v>146</v>
      </c>
      <c r="S195" t="s">
        <v>45</v>
      </c>
      <c r="T195">
        <v>2</v>
      </c>
      <c r="V195">
        <v>1</v>
      </c>
      <c r="W195" t="s">
        <v>47</v>
      </c>
      <c r="AA195" t="s">
        <v>38</v>
      </c>
      <c r="AB195">
        <v>1</v>
      </c>
      <c r="AC195">
        <v>1</v>
      </c>
      <c r="AD195">
        <v>1</v>
      </c>
      <c r="AE195" t="s">
        <v>152</v>
      </c>
      <c r="AI195">
        <v>3</v>
      </c>
      <c r="AJ195">
        <v>23</v>
      </c>
    </row>
    <row r="196" spans="1:36" x14ac:dyDescent="0.25">
      <c r="A196" t="s">
        <v>421</v>
      </c>
      <c r="B196">
        <v>204</v>
      </c>
      <c r="C196" t="s">
        <v>33</v>
      </c>
      <c r="D196">
        <v>2</v>
      </c>
      <c r="F196">
        <v>1</v>
      </c>
      <c r="G196" t="s">
        <v>46</v>
      </c>
      <c r="K196" t="s">
        <v>38</v>
      </c>
      <c r="L196">
        <v>1</v>
      </c>
      <c r="M196">
        <v>1</v>
      </c>
      <c r="N196">
        <v>2</v>
      </c>
      <c r="O196" t="s">
        <v>67</v>
      </c>
      <c r="P196" t="s">
        <v>70</v>
      </c>
      <c r="S196" t="s">
        <v>43</v>
      </c>
      <c r="T196">
        <v>1</v>
      </c>
      <c r="V196">
        <v>1</v>
      </c>
      <c r="W196" t="s">
        <v>135</v>
      </c>
      <c r="X196" t="s">
        <v>136</v>
      </c>
      <c r="AA196" t="s">
        <v>45</v>
      </c>
      <c r="AB196">
        <v>2</v>
      </c>
      <c r="AD196">
        <v>1</v>
      </c>
      <c r="AE196" t="s">
        <v>47</v>
      </c>
      <c r="AI196">
        <v>5</v>
      </c>
      <c r="AJ196">
        <v>19</v>
      </c>
    </row>
    <row r="197" spans="1:36" x14ac:dyDescent="0.25">
      <c r="A197" t="s">
        <v>422</v>
      </c>
      <c r="B197">
        <v>205</v>
      </c>
      <c r="C197" t="s">
        <v>33</v>
      </c>
      <c r="D197">
        <v>3</v>
      </c>
      <c r="F197">
        <v>2</v>
      </c>
      <c r="G197" t="s">
        <v>46</v>
      </c>
      <c r="K197" t="s">
        <v>38</v>
      </c>
      <c r="L197">
        <v>1</v>
      </c>
      <c r="M197">
        <v>1</v>
      </c>
      <c r="N197">
        <v>2</v>
      </c>
      <c r="O197" t="s">
        <v>67</v>
      </c>
      <c r="P197" t="s">
        <v>70</v>
      </c>
      <c r="S197" t="s">
        <v>43</v>
      </c>
      <c r="T197">
        <v>1</v>
      </c>
      <c r="V197">
        <v>3</v>
      </c>
      <c r="W197" t="s">
        <v>135</v>
      </c>
      <c r="X197" t="s">
        <v>136</v>
      </c>
      <c r="AA197" t="s">
        <v>63</v>
      </c>
      <c r="AB197">
        <v>3</v>
      </c>
      <c r="AD197">
        <v>1</v>
      </c>
      <c r="AE197" t="s">
        <v>72</v>
      </c>
      <c r="AF197" t="s">
        <v>91</v>
      </c>
      <c r="AI197">
        <v>11</v>
      </c>
      <c r="AJ197">
        <v>32</v>
      </c>
    </row>
    <row r="198" spans="1:36" x14ac:dyDescent="0.25">
      <c r="A198" t="s">
        <v>423</v>
      </c>
      <c r="B198">
        <v>206</v>
      </c>
      <c r="C198" t="s">
        <v>33</v>
      </c>
      <c r="D198">
        <v>1</v>
      </c>
      <c r="F198">
        <v>2</v>
      </c>
      <c r="G198" t="s">
        <v>46</v>
      </c>
      <c r="K198" t="s">
        <v>38</v>
      </c>
      <c r="L198">
        <v>1</v>
      </c>
      <c r="M198">
        <v>1</v>
      </c>
      <c r="N198">
        <v>2</v>
      </c>
      <c r="O198" t="s">
        <v>67</v>
      </c>
      <c r="S198" t="s">
        <v>45</v>
      </c>
      <c r="T198">
        <v>1</v>
      </c>
      <c r="V198">
        <v>1</v>
      </c>
      <c r="W198" t="s">
        <v>86</v>
      </c>
      <c r="AA198" t="s">
        <v>63</v>
      </c>
      <c r="AB198">
        <v>2</v>
      </c>
      <c r="AD198">
        <v>1</v>
      </c>
      <c r="AE198" t="s">
        <v>103</v>
      </c>
      <c r="AI198">
        <v>3</v>
      </c>
      <c r="AJ198">
        <v>19</v>
      </c>
    </row>
    <row r="199" spans="1:36" x14ac:dyDescent="0.25">
      <c r="A199" t="s">
        <v>424</v>
      </c>
      <c r="B199">
        <v>207</v>
      </c>
      <c r="C199" t="s">
        <v>63</v>
      </c>
      <c r="D199">
        <v>2</v>
      </c>
      <c r="F199">
        <v>1</v>
      </c>
      <c r="G199" t="s">
        <v>72</v>
      </c>
      <c r="H199" t="s">
        <v>146</v>
      </c>
      <c r="K199" t="s">
        <v>38</v>
      </c>
      <c r="L199">
        <v>1</v>
      </c>
      <c r="M199">
        <v>1</v>
      </c>
      <c r="N199">
        <v>2</v>
      </c>
      <c r="O199" t="s">
        <v>67</v>
      </c>
      <c r="P199" t="s">
        <v>70</v>
      </c>
      <c r="S199" t="s">
        <v>43</v>
      </c>
      <c r="T199">
        <v>2</v>
      </c>
      <c r="V199">
        <v>1</v>
      </c>
      <c r="W199" t="s">
        <v>135</v>
      </c>
      <c r="X199" t="s">
        <v>74</v>
      </c>
      <c r="AA199" t="s">
        <v>45</v>
      </c>
      <c r="AB199">
        <v>1</v>
      </c>
      <c r="AD199">
        <v>1</v>
      </c>
      <c r="AE199" t="s">
        <v>47</v>
      </c>
      <c r="AI199">
        <v>6</v>
      </c>
      <c r="AJ199">
        <v>26</v>
      </c>
    </row>
    <row r="200" spans="1:36" x14ac:dyDescent="0.25">
      <c r="A200" t="s">
        <v>425</v>
      </c>
      <c r="B200">
        <v>208</v>
      </c>
      <c r="C200" t="s">
        <v>45</v>
      </c>
      <c r="D200">
        <v>3</v>
      </c>
      <c r="F200">
        <v>2</v>
      </c>
      <c r="G200" t="s">
        <v>47</v>
      </c>
      <c r="K200" t="s">
        <v>38</v>
      </c>
      <c r="L200">
        <v>1</v>
      </c>
      <c r="M200">
        <v>1</v>
      </c>
      <c r="N200">
        <v>1</v>
      </c>
      <c r="O200" t="s">
        <v>152</v>
      </c>
      <c r="S200" t="s">
        <v>43</v>
      </c>
      <c r="T200">
        <v>2</v>
      </c>
      <c r="V200">
        <v>1</v>
      </c>
      <c r="W200" t="s">
        <v>135</v>
      </c>
      <c r="AA200" t="s">
        <v>63</v>
      </c>
      <c r="AB200">
        <v>2</v>
      </c>
      <c r="AD200">
        <v>1</v>
      </c>
      <c r="AE200" t="s">
        <v>72</v>
      </c>
      <c r="AF200" t="s">
        <v>146</v>
      </c>
      <c r="AI200">
        <v>6</v>
      </c>
      <c r="AJ200">
        <v>25</v>
      </c>
    </row>
    <row r="201" spans="1:36" x14ac:dyDescent="0.25">
      <c r="A201" t="s">
        <v>426</v>
      </c>
      <c r="B201">
        <v>209</v>
      </c>
      <c r="C201" t="s">
        <v>43</v>
      </c>
      <c r="D201">
        <v>1</v>
      </c>
      <c r="F201">
        <v>1</v>
      </c>
      <c r="G201" t="s">
        <v>135</v>
      </c>
      <c r="K201" t="s">
        <v>38</v>
      </c>
      <c r="L201">
        <v>1</v>
      </c>
      <c r="M201">
        <v>1</v>
      </c>
      <c r="N201">
        <v>2</v>
      </c>
      <c r="O201" t="s">
        <v>152</v>
      </c>
      <c r="S201" t="s">
        <v>45</v>
      </c>
      <c r="T201">
        <v>1</v>
      </c>
      <c r="V201">
        <v>1</v>
      </c>
      <c r="W201" t="s">
        <v>47</v>
      </c>
      <c r="AA201" t="s">
        <v>63</v>
      </c>
      <c r="AB201">
        <v>1</v>
      </c>
      <c r="AD201">
        <v>1</v>
      </c>
      <c r="AE201" t="s">
        <v>72</v>
      </c>
      <c r="AI201">
        <v>1</v>
      </c>
      <c r="AJ201">
        <v>27</v>
      </c>
    </row>
    <row r="202" spans="1:36" x14ac:dyDescent="0.25">
      <c r="A202" s="36" t="s">
        <v>1016</v>
      </c>
      <c r="B202">
        <v>0</v>
      </c>
      <c r="C202" t="s">
        <v>48</v>
      </c>
      <c r="D202">
        <v>2</v>
      </c>
      <c r="F202">
        <v>1</v>
      </c>
      <c r="G202" t="s">
        <v>49</v>
      </c>
      <c r="H202" t="s">
        <v>71</v>
      </c>
      <c r="K202" t="s">
        <v>33</v>
      </c>
      <c r="L202">
        <v>2</v>
      </c>
      <c r="N202">
        <v>1</v>
      </c>
      <c r="O202" t="s">
        <v>46</v>
      </c>
      <c r="P202" t="s">
        <v>66</v>
      </c>
      <c r="Q202" t="s">
        <v>36</v>
      </c>
      <c r="S202" t="s">
        <v>53</v>
      </c>
      <c r="T202">
        <v>1</v>
      </c>
      <c r="U202">
        <v>1</v>
      </c>
      <c r="V202">
        <v>1</v>
      </c>
      <c r="W202" t="s">
        <v>111</v>
      </c>
      <c r="AA202" t="s">
        <v>56</v>
      </c>
      <c r="AB202">
        <v>1</v>
      </c>
      <c r="AD202">
        <v>1</v>
      </c>
      <c r="AE202" t="s">
        <v>57</v>
      </c>
      <c r="AF202" t="s">
        <v>121</v>
      </c>
      <c r="AI202">
        <v>6</v>
      </c>
      <c r="AJ202">
        <v>19</v>
      </c>
    </row>
    <row r="203" spans="1:36" x14ac:dyDescent="0.25">
      <c r="A203" s="36" t="s">
        <v>1017</v>
      </c>
      <c r="B203">
        <v>2</v>
      </c>
      <c r="C203" t="s">
        <v>53</v>
      </c>
      <c r="D203">
        <v>3</v>
      </c>
      <c r="E203">
        <v>1</v>
      </c>
      <c r="F203">
        <v>1</v>
      </c>
      <c r="G203" t="s">
        <v>111</v>
      </c>
      <c r="H203" t="s">
        <v>83</v>
      </c>
      <c r="K203" t="s">
        <v>56</v>
      </c>
      <c r="L203">
        <v>1</v>
      </c>
      <c r="N203">
        <v>1</v>
      </c>
      <c r="O203" t="s">
        <v>57</v>
      </c>
      <c r="S203" t="s">
        <v>48</v>
      </c>
      <c r="T203">
        <v>3</v>
      </c>
      <c r="V203">
        <v>2</v>
      </c>
      <c r="W203" t="s">
        <v>49</v>
      </c>
      <c r="AA203" t="s">
        <v>45</v>
      </c>
      <c r="AB203">
        <v>2</v>
      </c>
      <c r="AD203">
        <v>1</v>
      </c>
      <c r="AE203" t="s">
        <v>47</v>
      </c>
      <c r="AI203">
        <v>7</v>
      </c>
      <c r="AJ203">
        <v>24</v>
      </c>
    </row>
    <row r="204" spans="1:36" x14ac:dyDescent="0.25">
      <c r="A204" s="36" t="s">
        <v>1018</v>
      </c>
      <c r="B204">
        <v>172</v>
      </c>
      <c r="C204" t="s">
        <v>48</v>
      </c>
      <c r="D204">
        <v>1</v>
      </c>
      <c r="F204">
        <v>1</v>
      </c>
      <c r="G204" t="s">
        <v>89</v>
      </c>
      <c r="K204" t="s">
        <v>43</v>
      </c>
      <c r="L204">
        <v>3</v>
      </c>
      <c r="N204">
        <v>1</v>
      </c>
      <c r="O204" t="s">
        <v>135</v>
      </c>
      <c r="P204" t="s">
        <v>99</v>
      </c>
      <c r="S204" t="s">
        <v>33</v>
      </c>
      <c r="T204">
        <v>2</v>
      </c>
      <c r="V204">
        <v>1</v>
      </c>
      <c r="W204" t="s">
        <v>46</v>
      </c>
      <c r="AA204" t="s">
        <v>63</v>
      </c>
      <c r="AB204">
        <v>1</v>
      </c>
      <c r="AD204">
        <v>1</v>
      </c>
      <c r="AE204" t="s">
        <v>103</v>
      </c>
      <c r="AI204">
        <v>4</v>
      </c>
      <c r="AJ204">
        <v>17</v>
      </c>
    </row>
    <row r="205" spans="1:36" x14ac:dyDescent="0.25">
      <c r="A205" s="36" t="s">
        <v>1019</v>
      </c>
      <c r="B205">
        <v>177</v>
      </c>
      <c r="C205" t="s">
        <v>48</v>
      </c>
      <c r="D205">
        <v>1</v>
      </c>
      <c r="F205">
        <v>1</v>
      </c>
      <c r="G205" t="s">
        <v>89</v>
      </c>
      <c r="H205" t="s">
        <v>50</v>
      </c>
      <c r="I205" t="s">
        <v>51</v>
      </c>
      <c r="J205" t="s">
        <v>129</v>
      </c>
      <c r="K205" t="s">
        <v>45</v>
      </c>
      <c r="L205">
        <v>2</v>
      </c>
      <c r="N205">
        <v>1</v>
      </c>
      <c r="O205" t="s">
        <v>140</v>
      </c>
      <c r="S205" t="s">
        <v>33</v>
      </c>
      <c r="T205">
        <v>1</v>
      </c>
      <c r="V205">
        <v>1</v>
      </c>
      <c r="W205" t="s">
        <v>46</v>
      </c>
      <c r="AA205" t="s">
        <v>43</v>
      </c>
      <c r="AB205">
        <v>2</v>
      </c>
      <c r="AD205">
        <v>2</v>
      </c>
      <c r="AE205" t="s">
        <v>135</v>
      </c>
      <c r="AF205" t="s">
        <v>74</v>
      </c>
      <c r="AG205" t="s">
        <v>100</v>
      </c>
      <c r="AH205" t="s">
        <v>139</v>
      </c>
      <c r="AI205">
        <v>9</v>
      </c>
      <c r="AJ205">
        <v>48</v>
      </c>
    </row>
    <row r="206" spans="1:36" x14ac:dyDescent="0.25">
      <c r="A206" s="36" t="s">
        <v>1020</v>
      </c>
      <c r="B206">
        <v>178</v>
      </c>
      <c r="C206" t="s">
        <v>48</v>
      </c>
      <c r="D206">
        <v>1</v>
      </c>
      <c r="F206">
        <v>1</v>
      </c>
      <c r="G206" t="s">
        <v>49</v>
      </c>
      <c r="H206" t="s">
        <v>50</v>
      </c>
      <c r="I206" t="s">
        <v>51</v>
      </c>
      <c r="J206" t="s">
        <v>52</v>
      </c>
      <c r="K206" t="s">
        <v>45</v>
      </c>
      <c r="L206">
        <v>2</v>
      </c>
      <c r="N206">
        <v>1</v>
      </c>
      <c r="O206" t="s">
        <v>47</v>
      </c>
      <c r="S206" t="s">
        <v>33</v>
      </c>
      <c r="T206">
        <v>1</v>
      </c>
      <c r="V206">
        <v>3</v>
      </c>
      <c r="W206" t="s">
        <v>46</v>
      </c>
      <c r="AA206" t="s">
        <v>63</v>
      </c>
      <c r="AB206">
        <v>1</v>
      </c>
      <c r="AD206">
        <v>1</v>
      </c>
      <c r="AE206" t="s">
        <v>72</v>
      </c>
      <c r="AF206" t="s">
        <v>91</v>
      </c>
      <c r="AG206" t="s">
        <v>104</v>
      </c>
      <c r="AI206">
        <v>8</v>
      </c>
      <c r="AJ206">
        <v>26</v>
      </c>
    </row>
    <row r="207" spans="1:36" x14ac:dyDescent="0.25">
      <c r="A207" s="36" t="s">
        <v>1021</v>
      </c>
      <c r="B207">
        <v>181</v>
      </c>
      <c r="C207" t="s">
        <v>48</v>
      </c>
      <c r="D207">
        <v>3</v>
      </c>
      <c r="F207">
        <v>3</v>
      </c>
      <c r="G207" t="s">
        <v>89</v>
      </c>
      <c r="K207" t="s">
        <v>45</v>
      </c>
      <c r="L207">
        <v>2</v>
      </c>
      <c r="N207">
        <v>1</v>
      </c>
      <c r="O207" t="s">
        <v>47</v>
      </c>
      <c r="S207" t="s">
        <v>43</v>
      </c>
      <c r="T207">
        <v>3</v>
      </c>
      <c r="V207">
        <v>2</v>
      </c>
      <c r="W207" t="s">
        <v>135</v>
      </c>
      <c r="X207" t="s">
        <v>74</v>
      </c>
      <c r="Y207" t="s">
        <v>75</v>
      </c>
      <c r="AA207" t="s">
        <v>38</v>
      </c>
      <c r="AB207">
        <v>1</v>
      </c>
      <c r="AC207">
        <v>1</v>
      </c>
      <c r="AD207">
        <v>2</v>
      </c>
      <c r="AE207" t="s">
        <v>152</v>
      </c>
      <c r="AF207" t="s">
        <v>40</v>
      </c>
      <c r="AG207" t="s">
        <v>41</v>
      </c>
      <c r="AI207">
        <v>13</v>
      </c>
      <c r="AJ207">
        <v>30</v>
      </c>
    </row>
    <row r="208" spans="1:36" x14ac:dyDescent="0.25">
      <c r="A208" s="36" t="s">
        <v>1022</v>
      </c>
      <c r="B208">
        <v>182</v>
      </c>
      <c r="C208" t="s">
        <v>48</v>
      </c>
      <c r="D208">
        <v>1</v>
      </c>
      <c r="F208">
        <v>1</v>
      </c>
      <c r="G208" t="s">
        <v>49</v>
      </c>
      <c r="H208" t="s">
        <v>50</v>
      </c>
      <c r="I208" t="s">
        <v>51</v>
      </c>
      <c r="K208" t="s">
        <v>45</v>
      </c>
      <c r="L208">
        <v>2</v>
      </c>
      <c r="N208">
        <v>1</v>
      </c>
      <c r="O208" t="s">
        <v>47</v>
      </c>
      <c r="S208" t="s">
        <v>63</v>
      </c>
      <c r="T208">
        <v>1</v>
      </c>
      <c r="V208">
        <v>1</v>
      </c>
      <c r="W208" t="s">
        <v>72</v>
      </c>
      <c r="AA208" t="s">
        <v>38</v>
      </c>
      <c r="AB208">
        <v>1</v>
      </c>
      <c r="AC208">
        <v>1</v>
      </c>
      <c r="AD208">
        <v>1</v>
      </c>
      <c r="AE208" t="s">
        <v>67</v>
      </c>
      <c r="AI208">
        <v>3</v>
      </c>
      <c r="AJ208">
        <v>20</v>
      </c>
    </row>
    <row r="209" spans="1:36" x14ac:dyDescent="0.25">
      <c r="A209" s="36" t="s">
        <v>1023</v>
      </c>
      <c r="B209">
        <v>187</v>
      </c>
      <c r="C209" t="s">
        <v>43</v>
      </c>
      <c r="D209">
        <v>2</v>
      </c>
      <c r="F209">
        <v>3</v>
      </c>
      <c r="G209" t="s">
        <v>135</v>
      </c>
      <c r="H209" t="s">
        <v>74</v>
      </c>
      <c r="I209" t="s">
        <v>75</v>
      </c>
      <c r="K209" t="s">
        <v>38</v>
      </c>
      <c r="L209">
        <v>1</v>
      </c>
      <c r="M209">
        <v>1</v>
      </c>
      <c r="N209">
        <v>2</v>
      </c>
      <c r="O209" t="s">
        <v>152</v>
      </c>
      <c r="S209" t="s">
        <v>48</v>
      </c>
      <c r="T209">
        <v>2</v>
      </c>
      <c r="V209">
        <v>1</v>
      </c>
      <c r="W209" t="s">
        <v>89</v>
      </c>
      <c r="AA209" t="s">
        <v>63</v>
      </c>
      <c r="AB209">
        <v>3</v>
      </c>
      <c r="AD209">
        <v>1</v>
      </c>
      <c r="AE209" t="s">
        <v>72</v>
      </c>
      <c r="AI209">
        <v>9</v>
      </c>
      <c r="AJ209">
        <v>27</v>
      </c>
    </row>
    <row r="210" spans="1:36" x14ac:dyDescent="0.25">
      <c r="A210" s="36" t="s">
        <v>1024</v>
      </c>
      <c r="B210">
        <v>188</v>
      </c>
      <c r="C210" t="s">
        <v>45</v>
      </c>
      <c r="D210">
        <v>2</v>
      </c>
      <c r="F210">
        <v>2</v>
      </c>
      <c r="G210" t="s">
        <v>47</v>
      </c>
      <c r="K210" t="s">
        <v>38</v>
      </c>
      <c r="L210">
        <v>3</v>
      </c>
      <c r="M210">
        <v>1</v>
      </c>
      <c r="N210">
        <v>2</v>
      </c>
      <c r="O210" t="s">
        <v>67</v>
      </c>
      <c r="P210" t="s">
        <v>96</v>
      </c>
      <c r="S210" t="s">
        <v>48</v>
      </c>
      <c r="T210">
        <v>1</v>
      </c>
      <c r="V210">
        <v>1</v>
      </c>
      <c r="W210" t="s">
        <v>89</v>
      </c>
      <c r="AA210" t="s">
        <v>63</v>
      </c>
      <c r="AB210">
        <v>2</v>
      </c>
      <c r="AD210">
        <v>2</v>
      </c>
      <c r="AE210" t="s">
        <v>72</v>
      </c>
      <c r="AF210" t="s">
        <v>95</v>
      </c>
      <c r="AI210">
        <v>9</v>
      </c>
      <c r="AJ210">
        <v>39</v>
      </c>
    </row>
    <row r="211" spans="1:36" x14ac:dyDescent="0.25">
      <c r="A211" s="36" t="s">
        <v>1025</v>
      </c>
      <c r="B211">
        <v>189</v>
      </c>
      <c r="C211" t="s">
        <v>33</v>
      </c>
      <c r="D211">
        <v>1</v>
      </c>
      <c r="F211">
        <v>2</v>
      </c>
      <c r="G211" t="s">
        <v>46</v>
      </c>
      <c r="K211" t="s">
        <v>43</v>
      </c>
      <c r="L211">
        <v>2</v>
      </c>
      <c r="N211">
        <v>1</v>
      </c>
      <c r="O211" t="s">
        <v>135</v>
      </c>
      <c r="P211" t="s">
        <v>99</v>
      </c>
      <c r="S211" t="s">
        <v>48</v>
      </c>
      <c r="T211">
        <v>1</v>
      </c>
      <c r="V211">
        <v>1</v>
      </c>
      <c r="W211" t="s">
        <v>89</v>
      </c>
      <c r="AA211" t="s">
        <v>38</v>
      </c>
      <c r="AB211">
        <v>1</v>
      </c>
      <c r="AC211">
        <v>2</v>
      </c>
      <c r="AD211">
        <v>2</v>
      </c>
      <c r="AE211" t="s">
        <v>67</v>
      </c>
      <c r="AI211">
        <v>5</v>
      </c>
      <c r="AJ211">
        <v>23</v>
      </c>
    </row>
  </sheetData>
  <phoneticPr fontId="3" type="noConversion"/>
  <conditionalFormatting sqref="B1:B1048576">
    <cfRule type="duplicateValues" dxfId="13" priority="1"/>
  </conditionalFormatting>
  <conditionalFormatting sqref="A2:B211">
    <cfRule type="duplicateValues" dxfId="12" priority="516"/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213F3-C387-4A89-9330-CCD2DFADF5E7}">
  <dimension ref="A1:Q72"/>
  <sheetViews>
    <sheetView workbookViewId="0">
      <selection activeCell="L13" sqref="L13"/>
    </sheetView>
  </sheetViews>
  <sheetFormatPr defaultRowHeight="15" x14ac:dyDescent="0.25"/>
  <cols>
    <col min="1" max="1" width="10.5703125" bestFit="1" customWidth="1"/>
    <col min="2" max="2" width="13.5703125" bestFit="1" customWidth="1"/>
    <col min="3" max="3" width="10.5703125" bestFit="1" customWidth="1"/>
    <col min="4" max="4" width="13.5703125" bestFit="1" customWidth="1"/>
    <col min="5" max="5" width="11.42578125" bestFit="1" customWidth="1"/>
    <col min="6" max="6" width="13.5703125" bestFit="1" customWidth="1"/>
    <col min="7" max="7" width="11.42578125" bestFit="1" customWidth="1"/>
    <col min="8" max="8" width="13.5703125" bestFit="1" customWidth="1"/>
    <col min="9" max="9" width="9.42578125" bestFit="1" customWidth="1"/>
    <col min="11" max="11" width="11.42578125" bestFit="1" customWidth="1"/>
    <col min="12" max="12" width="9.42578125" bestFit="1" customWidth="1"/>
    <col min="13" max="13" width="7.42578125" bestFit="1" customWidth="1"/>
    <col min="14" max="14" width="10.85546875" bestFit="1" customWidth="1"/>
    <col min="16" max="16" width="25.140625" bestFit="1" customWidth="1"/>
    <col min="17" max="17" width="4.5703125" bestFit="1" customWidth="1"/>
    <col min="19" max="19" width="9.28515625" bestFit="1" customWidth="1"/>
  </cols>
  <sheetData>
    <row r="1" spans="1:17" ht="15.75" thickBot="1" x14ac:dyDescent="0.3">
      <c r="A1" s="37" t="s">
        <v>78</v>
      </c>
      <c r="B1" s="38"/>
      <c r="C1" s="38"/>
      <c r="D1" s="38"/>
      <c r="E1" s="38"/>
      <c r="F1" s="38"/>
      <c r="G1" s="38"/>
      <c r="H1" s="38"/>
      <c r="I1" s="39"/>
      <c r="K1" s="37" t="s">
        <v>82</v>
      </c>
      <c r="L1" s="38"/>
      <c r="M1" s="38"/>
      <c r="N1" s="39"/>
      <c r="P1" s="4" t="s">
        <v>157</v>
      </c>
      <c r="Q1" s="30">
        <f>MIN(Scenario4[crystals])</f>
        <v>0</v>
      </c>
    </row>
    <row r="2" spans="1:17" ht="15.75" thickBot="1" x14ac:dyDescent="0.3">
      <c r="A2" t="s">
        <v>59</v>
      </c>
      <c r="B2" t="s">
        <v>81</v>
      </c>
      <c r="C2" t="s">
        <v>60</v>
      </c>
      <c r="D2" t="s">
        <v>77</v>
      </c>
      <c r="E2" t="s">
        <v>61</v>
      </c>
      <c r="F2" t="s">
        <v>187</v>
      </c>
      <c r="G2" t="s">
        <v>62</v>
      </c>
      <c r="H2" t="s">
        <v>218</v>
      </c>
      <c r="I2" t="s">
        <v>58</v>
      </c>
      <c r="K2" t="s">
        <v>106</v>
      </c>
      <c r="L2" t="s">
        <v>58</v>
      </c>
      <c r="M2" t="s">
        <v>79</v>
      </c>
      <c r="N2" t="s">
        <v>80</v>
      </c>
      <c r="P2" s="4" t="s">
        <v>107</v>
      </c>
      <c r="Q2" s="30">
        <f>AVERAGE(Scenario4[crystals])</f>
        <v>0</v>
      </c>
    </row>
    <row r="3" spans="1:17" ht="15.75" thickBot="1" x14ac:dyDescent="0.3">
      <c r="A3" t="s">
        <v>53</v>
      </c>
      <c r="B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" t="s">
        <v>56</v>
      </c>
      <c r="D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" t="s">
        <v>48</v>
      </c>
      <c r="F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" t="s">
        <v>33</v>
      </c>
      <c r="H3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3">
        <f>ScenarioStat4[[#This Row],[team-1-win]]+ScenarioStat4[[#This Row],[team-2-win]]+ScenarioStat4[[#This Row],[team-3-win]]+ScenarioStat4[[#This Row],[team-4-win]]</f>
        <v>1</v>
      </c>
      <c r="K3" t="s">
        <v>53</v>
      </c>
      <c r="L3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3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5</v>
      </c>
      <c r="N3" s="3">
        <f>IF(ScenarioTeams4[[#This Row],[battles]],ScenarioTeams4[[#This Row],[wins]]/ScenarioTeams4[[#This Row],[battles]],0)</f>
        <v>0.14285714285714285</v>
      </c>
      <c r="P3" s="4" t="s">
        <v>159</v>
      </c>
      <c r="Q3" s="30">
        <f>MAX(Scenario4[crystals])</f>
        <v>0</v>
      </c>
    </row>
    <row r="4" spans="1:17" ht="15.75" thickBot="1" x14ac:dyDescent="0.3">
      <c r="A4" t="s">
        <v>53</v>
      </c>
      <c r="B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" t="s">
        <v>56</v>
      </c>
      <c r="D4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4" t="s">
        <v>48</v>
      </c>
      <c r="F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" t="s">
        <v>43</v>
      </c>
      <c r="H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">
        <f>ScenarioStat4[[#This Row],[team-1-win]]+ScenarioStat4[[#This Row],[team-2-win]]+ScenarioStat4[[#This Row],[team-3-win]]+ScenarioStat4[[#This Row],[team-4-win]]</f>
        <v>1</v>
      </c>
      <c r="K4" t="s">
        <v>56</v>
      </c>
      <c r="L4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4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10</v>
      </c>
      <c r="N4" s="3">
        <f>IF(ScenarioTeams4[[#This Row],[battles]],ScenarioTeams4[[#This Row],[wins]]/ScenarioTeams4[[#This Row],[battles]],0)</f>
        <v>0.2857142857142857</v>
      </c>
      <c r="Q4" s="7"/>
    </row>
    <row r="5" spans="1:17" ht="15.75" thickBot="1" x14ac:dyDescent="0.3">
      <c r="A5" t="s">
        <v>53</v>
      </c>
      <c r="B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" t="s">
        <v>56</v>
      </c>
      <c r="D5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5" t="s">
        <v>48</v>
      </c>
      <c r="F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" t="s">
        <v>45</v>
      </c>
      <c r="H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">
        <f>ScenarioStat4[[#This Row],[team-1-win]]+ScenarioStat4[[#This Row],[team-2-win]]+ScenarioStat4[[#This Row],[team-3-win]]+ScenarioStat4[[#This Row],[team-4-win]]</f>
        <v>1</v>
      </c>
      <c r="K5" t="s">
        <v>48</v>
      </c>
      <c r="L5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5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6</v>
      </c>
      <c r="N5" s="3">
        <f>IF(ScenarioTeams4[[#This Row],[battles]],ScenarioTeams4[[#This Row],[wins]]/ScenarioTeams4[[#This Row],[battles]],0)</f>
        <v>0.17142857142857143</v>
      </c>
      <c r="P5" s="4" t="s">
        <v>158</v>
      </c>
      <c r="Q5" s="30">
        <f>MIN(Scenario4[turns])</f>
        <v>13</v>
      </c>
    </row>
    <row r="6" spans="1:17" ht="15.75" thickBot="1" x14ac:dyDescent="0.3">
      <c r="A6" t="s">
        <v>53</v>
      </c>
      <c r="B6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6" t="s">
        <v>56</v>
      </c>
      <c r="D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" t="s">
        <v>48</v>
      </c>
      <c r="F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" t="s">
        <v>63</v>
      </c>
      <c r="H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">
        <f>ScenarioStat4[[#This Row],[team-1-win]]+ScenarioStat4[[#This Row],[team-2-win]]+ScenarioStat4[[#This Row],[team-3-win]]+ScenarioStat4[[#This Row],[team-4-win]]</f>
        <v>1</v>
      </c>
      <c r="K6" t="s">
        <v>33</v>
      </c>
      <c r="L6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6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6</v>
      </c>
      <c r="N6" s="3">
        <f>IF(ScenarioTeams4[[#This Row],[battles]],ScenarioTeams4[[#This Row],[wins]]/ScenarioTeams4[[#This Row],[battles]],0)</f>
        <v>0.17142857142857143</v>
      </c>
      <c r="P6" s="5" t="s">
        <v>108</v>
      </c>
      <c r="Q6" s="31">
        <f>AVERAGE(Scenario4[turns])</f>
        <v>37.514285714285712</v>
      </c>
    </row>
    <row r="7" spans="1:17" ht="15.75" thickBot="1" x14ac:dyDescent="0.3">
      <c r="A7" t="s">
        <v>53</v>
      </c>
      <c r="B7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7" t="s">
        <v>56</v>
      </c>
      <c r="D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7" t="s">
        <v>48</v>
      </c>
      <c r="F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7" t="s">
        <v>38</v>
      </c>
      <c r="H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7">
        <f>ScenarioStat4[[#This Row],[team-1-win]]+ScenarioStat4[[#This Row],[team-2-win]]+ScenarioStat4[[#This Row],[team-3-win]]+ScenarioStat4[[#This Row],[team-4-win]]</f>
        <v>1</v>
      </c>
      <c r="K7" t="s">
        <v>43</v>
      </c>
      <c r="L7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7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4</v>
      </c>
      <c r="N7" s="3">
        <f>IF(ScenarioTeams4[[#This Row],[battles]],ScenarioTeams4[[#This Row],[wins]]/ScenarioTeams4[[#This Row],[battles]],0)</f>
        <v>0.11428571428571428</v>
      </c>
      <c r="P7" s="5" t="s">
        <v>160</v>
      </c>
      <c r="Q7" s="31">
        <f>MAX(Scenario4[turns])</f>
        <v>70</v>
      </c>
    </row>
    <row r="8" spans="1:17" ht="15.75" thickBot="1" x14ac:dyDescent="0.3">
      <c r="A8" t="s">
        <v>53</v>
      </c>
      <c r="B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8" t="s">
        <v>56</v>
      </c>
      <c r="D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8" t="s">
        <v>33</v>
      </c>
      <c r="F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8" t="s">
        <v>43</v>
      </c>
      <c r="H8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8">
        <f>ScenarioStat4[[#This Row],[team-1-win]]+ScenarioStat4[[#This Row],[team-2-win]]+ScenarioStat4[[#This Row],[team-3-win]]+ScenarioStat4[[#This Row],[team-4-win]]</f>
        <v>1</v>
      </c>
      <c r="K8" t="s">
        <v>45</v>
      </c>
      <c r="L8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8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8</v>
      </c>
      <c r="N8" s="3">
        <f>IF(ScenarioTeams4[[#This Row],[battles]],ScenarioTeams4[[#This Row],[wins]]/ScenarioTeams4[[#This Row],[battles]],0)</f>
        <v>0.22857142857142856</v>
      </c>
    </row>
    <row r="9" spans="1:17" ht="15.75" thickBot="1" x14ac:dyDescent="0.3">
      <c r="A9" t="s">
        <v>53</v>
      </c>
      <c r="B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9" t="s">
        <v>56</v>
      </c>
      <c r="D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9" t="s">
        <v>33</v>
      </c>
      <c r="F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9" t="s">
        <v>45</v>
      </c>
      <c r="H9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9">
        <f>ScenarioStat4[[#This Row],[team-1-win]]+ScenarioStat4[[#This Row],[team-2-win]]+ScenarioStat4[[#This Row],[team-3-win]]+ScenarioStat4[[#This Row],[team-4-win]]</f>
        <v>1</v>
      </c>
      <c r="K9" t="s">
        <v>63</v>
      </c>
      <c r="L9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9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17</v>
      </c>
      <c r="N9" s="3">
        <f>IF(ScenarioTeams4[[#This Row],[battles]],ScenarioTeams4[[#This Row],[wins]]/ScenarioTeams4[[#This Row],[battles]],0)</f>
        <v>0.48571428571428571</v>
      </c>
      <c r="P9" s="4" t="s">
        <v>185</v>
      </c>
      <c r="Q9" s="30">
        <f>120000*$Q$6/1000/60</f>
        <v>75.028571428571425</v>
      </c>
    </row>
    <row r="10" spans="1:17" ht="15.75" thickBot="1" x14ac:dyDescent="0.3">
      <c r="A10" t="s">
        <v>53</v>
      </c>
      <c r="B1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0" t="s">
        <v>56</v>
      </c>
      <c r="D1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0" t="s">
        <v>33</v>
      </c>
      <c r="F10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10" t="s">
        <v>63</v>
      </c>
      <c r="H1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0">
        <f>ScenarioStat4[[#This Row],[team-1-win]]+ScenarioStat4[[#This Row],[team-2-win]]+ScenarioStat4[[#This Row],[team-3-win]]+ScenarioStat4[[#This Row],[team-4-win]]</f>
        <v>1</v>
      </c>
      <c r="K10" t="s">
        <v>38</v>
      </c>
      <c r="L10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10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14</v>
      </c>
      <c r="N10" s="3">
        <f>IF(ScenarioTeams4[[#This Row],[battles]],ScenarioTeams4[[#This Row],[wins]]/ScenarioTeams4[[#This Row],[battles]],0)</f>
        <v>0.4</v>
      </c>
      <c r="P10" s="5" t="s">
        <v>186</v>
      </c>
      <c r="Q10" s="6">
        <f>Q9*COUNTA(ScenarioStat4[hero-1])/60/24*2</f>
        <v>7.2944444444444443</v>
      </c>
    </row>
    <row r="11" spans="1:17" x14ac:dyDescent="0.25">
      <c r="A11" t="s">
        <v>53</v>
      </c>
      <c r="B1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1" t="s">
        <v>56</v>
      </c>
      <c r="D1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1" t="s">
        <v>33</v>
      </c>
      <c r="F1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1" t="s">
        <v>38</v>
      </c>
      <c r="H11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11">
        <f>ScenarioStat4[[#This Row],[team-1-win]]+ScenarioStat4[[#This Row],[team-2-win]]+ScenarioStat4[[#This Row],[team-3-win]]+ScenarioStat4[[#This Row],[team-4-win]]</f>
        <v>1</v>
      </c>
    </row>
    <row r="12" spans="1:17" x14ac:dyDescent="0.25">
      <c r="A12" t="s">
        <v>53</v>
      </c>
      <c r="B1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2" t="s">
        <v>56</v>
      </c>
      <c r="D12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12" t="s">
        <v>43</v>
      </c>
      <c r="F1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2" t="s">
        <v>45</v>
      </c>
      <c r="H1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2">
        <f>ScenarioStat4[[#This Row],[team-1-win]]+ScenarioStat4[[#This Row],[team-2-win]]+ScenarioStat4[[#This Row],[team-3-win]]+ScenarioStat4[[#This Row],[team-4-win]]</f>
        <v>1</v>
      </c>
    </row>
    <row r="13" spans="1:17" x14ac:dyDescent="0.25">
      <c r="A13" t="s">
        <v>53</v>
      </c>
      <c r="B1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3" t="s">
        <v>56</v>
      </c>
      <c r="D13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13" t="s">
        <v>43</v>
      </c>
      <c r="F1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3" t="s">
        <v>63</v>
      </c>
      <c r="H1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3">
        <f>ScenarioStat4[[#This Row],[team-1-win]]+ScenarioStat4[[#This Row],[team-2-win]]+ScenarioStat4[[#This Row],[team-3-win]]+ScenarioStat4[[#This Row],[team-4-win]]</f>
        <v>1</v>
      </c>
    </row>
    <row r="14" spans="1:17" x14ac:dyDescent="0.25">
      <c r="A14" t="s">
        <v>53</v>
      </c>
      <c r="B1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4" t="s">
        <v>56</v>
      </c>
      <c r="D1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4" t="s">
        <v>43</v>
      </c>
      <c r="F1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4" t="s">
        <v>38</v>
      </c>
      <c r="H14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14">
        <f>ScenarioStat4[[#This Row],[team-1-win]]+ScenarioStat4[[#This Row],[team-2-win]]+ScenarioStat4[[#This Row],[team-3-win]]+ScenarioStat4[[#This Row],[team-4-win]]</f>
        <v>1</v>
      </c>
    </row>
    <row r="15" spans="1:17" x14ac:dyDescent="0.25">
      <c r="A15" t="s">
        <v>53</v>
      </c>
      <c r="B1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5" t="s">
        <v>56</v>
      </c>
      <c r="D1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5" t="s">
        <v>45</v>
      </c>
      <c r="F1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5" t="s">
        <v>63</v>
      </c>
      <c r="H15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15">
        <f>ScenarioStat4[[#This Row],[team-1-win]]+ScenarioStat4[[#This Row],[team-2-win]]+ScenarioStat4[[#This Row],[team-3-win]]+ScenarioStat4[[#This Row],[team-4-win]]</f>
        <v>1</v>
      </c>
    </row>
    <row r="16" spans="1:17" x14ac:dyDescent="0.25">
      <c r="A16" t="s">
        <v>53</v>
      </c>
      <c r="B1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6" t="s">
        <v>56</v>
      </c>
      <c r="D16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16" t="s">
        <v>45</v>
      </c>
      <c r="F1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6" t="s">
        <v>38</v>
      </c>
      <c r="H1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6">
        <f>ScenarioStat4[[#This Row],[team-1-win]]+ScenarioStat4[[#This Row],[team-2-win]]+ScenarioStat4[[#This Row],[team-3-win]]+ScenarioStat4[[#This Row],[team-4-win]]</f>
        <v>1</v>
      </c>
    </row>
    <row r="17" spans="1:9" x14ac:dyDescent="0.25">
      <c r="A17" t="s">
        <v>53</v>
      </c>
      <c r="B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7" t="s">
        <v>56</v>
      </c>
      <c r="D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7" t="s">
        <v>63</v>
      </c>
      <c r="F1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7" t="s">
        <v>38</v>
      </c>
      <c r="H17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17">
        <f>ScenarioStat4[[#This Row],[team-1-win]]+ScenarioStat4[[#This Row],[team-2-win]]+ScenarioStat4[[#This Row],[team-3-win]]+ScenarioStat4[[#This Row],[team-4-win]]</f>
        <v>1</v>
      </c>
    </row>
    <row r="18" spans="1:9" x14ac:dyDescent="0.25">
      <c r="A18" t="s">
        <v>53</v>
      </c>
      <c r="B18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18" t="s">
        <v>48</v>
      </c>
      <c r="D1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8" t="s">
        <v>33</v>
      </c>
      <c r="F1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8" t="s">
        <v>43</v>
      </c>
      <c r="H1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8">
        <f>ScenarioStat4[[#This Row],[team-1-win]]+ScenarioStat4[[#This Row],[team-2-win]]+ScenarioStat4[[#This Row],[team-3-win]]+ScenarioStat4[[#This Row],[team-4-win]]</f>
        <v>1</v>
      </c>
    </row>
    <row r="19" spans="1:9" x14ac:dyDescent="0.25">
      <c r="A19" t="s">
        <v>53</v>
      </c>
      <c r="B1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9" t="s">
        <v>48</v>
      </c>
      <c r="D1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9" t="s">
        <v>33</v>
      </c>
      <c r="F1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9" t="s">
        <v>45</v>
      </c>
      <c r="H19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19">
        <f>ScenarioStat4[[#This Row],[team-1-win]]+ScenarioStat4[[#This Row],[team-2-win]]+ScenarioStat4[[#This Row],[team-3-win]]+ScenarioStat4[[#This Row],[team-4-win]]</f>
        <v>1</v>
      </c>
    </row>
    <row r="20" spans="1:9" x14ac:dyDescent="0.25">
      <c r="A20" t="s">
        <v>53</v>
      </c>
      <c r="B2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0" t="s">
        <v>48</v>
      </c>
      <c r="D2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0" t="s">
        <v>33</v>
      </c>
      <c r="F2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0" t="s">
        <v>63</v>
      </c>
      <c r="H20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20">
        <f>ScenarioStat4[[#This Row],[team-1-win]]+ScenarioStat4[[#This Row],[team-2-win]]+ScenarioStat4[[#This Row],[team-3-win]]+ScenarioStat4[[#This Row],[team-4-win]]</f>
        <v>1</v>
      </c>
    </row>
    <row r="21" spans="1:9" x14ac:dyDescent="0.25">
      <c r="A21" t="s">
        <v>53</v>
      </c>
      <c r="B2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1" t="s">
        <v>48</v>
      </c>
      <c r="D2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1" t="s">
        <v>33</v>
      </c>
      <c r="F21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21" t="s">
        <v>38</v>
      </c>
      <c r="H2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1">
        <f>ScenarioStat4[[#This Row],[team-1-win]]+ScenarioStat4[[#This Row],[team-2-win]]+ScenarioStat4[[#This Row],[team-3-win]]+ScenarioStat4[[#This Row],[team-4-win]]</f>
        <v>1</v>
      </c>
    </row>
    <row r="22" spans="1:9" x14ac:dyDescent="0.25">
      <c r="A22" t="s">
        <v>53</v>
      </c>
      <c r="B2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2" t="s">
        <v>48</v>
      </c>
      <c r="D22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22" t="s">
        <v>43</v>
      </c>
      <c r="F2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2" t="s">
        <v>45</v>
      </c>
      <c r="H2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2">
        <f>ScenarioStat4[[#This Row],[team-1-win]]+ScenarioStat4[[#This Row],[team-2-win]]+ScenarioStat4[[#This Row],[team-3-win]]+ScenarioStat4[[#This Row],[team-4-win]]</f>
        <v>1</v>
      </c>
    </row>
    <row r="23" spans="1:9" x14ac:dyDescent="0.25">
      <c r="A23" t="s">
        <v>53</v>
      </c>
      <c r="B2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3" t="s">
        <v>48</v>
      </c>
      <c r="D2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3" t="s">
        <v>43</v>
      </c>
      <c r="F2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3" t="s">
        <v>63</v>
      </c>
      <c r="H23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23">
        <f>ScenarioStat4[[#This Row],[team-1-win]]+ScenarioStat4[[#This Row],[team-2-win]]+ScenarioStat4[[#This Row],[team-3-win]]+ScenarioStat4[[#This Row],[team-4-win]]</f>
        <v>1</v>
      </c>
    </row>
    <row r="24" spans="1:9" x14ac:dyDescent="0.25">
      <c r="A24" t="s">
        <v>53</v>
      </c>
      <c r="B2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4" t="s">
        <v>48</v>
      </c>
      <c r="D2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4" t="s">
        <v>43</v>
      </c>
      <c r="F2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4" t="s">
        <v>38</v>
      </c>
      <c r="H24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24">
        <f>ScenarioStat4[[#This Row],[team-1-win]]+ScenarioStat4[[#This Row],[team-2-win]]+ScenarioStat4[[#This Row],[team-3-win]]+ScenarioStat4[[#This Row],[team-4-win]]</f>
        <v>1</v>
      </c>
    </row>
    <row r="25" spans="1:9" x14ac:dyDescent="0.25">
      <c r="A25" t="s">
        <v>53</v>
      </c>
      <c r="B25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25" t="s">
        <v>48</v>
      </c>
      <c r="D2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5" t="s">
        <v>45</v>
      </c>
      <c r="F2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5" t="s">
        <v>63</v>
      </c>
      <c r="H2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5">
        <f>ScenarioStat4[[#This Row],[team-1-win]]+ScenarioStat4[[#This Row],[team-2-win]]+ScenarioStat4[[#This Row],[team-3-win]]+ScenarioStat4[[#This Row],[team-4-win]]</f>
        <v>1</v>
      </c>
    </row>
    <row r="26" spans="1:9" x14ac:dyDescent="0.25">
      <c r="A26" t="s">
        <v>53</v>
      </c>
      <c r="B2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6" t="s">
        <v>48</v>
      </c>
      <c r="D2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6" t="s">
        <v>45</v>
      </c>
      <c r="F2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6" t="s">
        <v>38</v>
      </c>
      <c r="H26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26">
        <f>ScenarioStat4[[#This Row],[team-1-win]]+ScenarioStat4[[#This Row],[team-2-win]]+ScenarioStat4[[#This Row],[team-3-win]]+ScenarioStat4[[#This Row],[team-4-win]]</f>
        <v>1</v>
      </c>
    </row>
    <row r="27" spans="1:9" x14ac:dyDescent="0.25">
      <c r="A27" t="s">
        <v>53</v>
      </c>
      <c r="B2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7" t="s">
        <v>48</v>
      </c>
      <c r="D27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27" t="s">
        <v>63</v>
      </c>
      <c r="F2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7" t="s">
        <v>38</v>
      </c>
      <c r="H2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7">
        <f>ScenarioStat4[[#This Row],[team-1-win]]+ScenarioStat4[[#This Row],[team-2-win]]+ScenarioStat4[[#This Row],[team-3-win]]+ScenarioStat4[[#This Row],[team-4-win]]</f>
        <v>1</v>
      </c>
    </row>
    <row r="28" spans="1:9" x14ac:dyDescent="0.25">
      <c r="A28" t="s">
        <v>53</v>
      </c>
      <c r="B2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8" t="s">
        <v>33</v>
      </c>
      <c r="D28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28" t="s">
        <v>43</v>
      </c>
      <c r="F2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8" t="s">
        <v>45</v>
      </c>
      <c r="H2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8">
        <f>ScenarioStat4[[#This Row],[team-1-win]]+ScenarioStat4[[#This Row],[team-2-win]]+ScenarioStat4[[#This Row],[team-3-win]]+ScenarioStat4[[#This Row],[team-4-win]]</f>
        <v>1</v>
      </c>
    </row>
    <row r="29" spans="1:9" x14ac:dyDescent="0.25">
      <c r="A29" t="s">
        <v>53</v>
      </c>
      <c r="B2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9" t="s">
        <v>33</v>
      </c>
      <c r="D2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9" t="s">
        <v>43</v>
      </c>
      <c r="F2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9" t="s">
        <v>63</v>
      </c>
      <c r="H29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29">
        <f>ScenarioStat4[[#This Row],[team-1-win]]+ScenarioStat4[[#This Row],[team-2-win]]+ScenarioStat4[[#This Row],[team-3-win]]+ScenarioStat4[[#This Row],[team-4-win]]</f>
        <v>1</v>
      </c>
    </row>
    <row r="30" spans="1:9" x14ac:dyDescent="0.25">
      <c r="A30" t="s">
        <v>53</v>
      </c>
      <c r="B3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0" t="s">
        <v>33</v>
      </c>
      <c r="D3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0" t="s">
        <v>43</v>
      </c>
      <c r="F30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30" t="s">
        <v>38</v>
      </c>
      <c r="H3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0">
        <f>ScenarioStat4[[#This Row],[team-1-win]]+ScenarioStat4[[#This Row],[team-2-win]]+ScenarioStat4[[#This Row],[team-3-win]]+ScenarioStat4[[#This Row],[team-4-win]]</f>
        <v>1</v>
      </c>
    </row>
    <row r="31" spans="1:9" x14ac:dyDescent="0.25">
      <c r="A31" t="s">
        <v>53</v>
      </c>
      <c r="B3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1" t="s">
        <v>33</v>
      </c>
      <c r="D3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1" t="s">
        <v>45</v>
      </c>
      <c r="F3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1" t="s">
        <v>63</v>
      </c>
      <c r="H31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31">
        <f>ScenarioStat4[[#This Row],[team-1-win]]+ScenarioStat4[[#This Row],[team-2-win]]+ScenarioStat4[[#This Row],[team-3-win]]+ScenarioStat4[[#This Row],[team-4-win]]</f>
        <v>1</v>
      </c>
    </row>
    <row r="32" spans="1:9" x14ac:dyDescent="0.25">
      <c r="A32" t="s">
        <v>53</v>
      </c>
      <c r="B3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2" t="s">
        <v>33</v>
      </c>
      <c r="D3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2" t="s">
        <v>45</v>
      </c>
      <c r="F3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2" t="s">
        <v>38</v>
      </c>
      <c r="H32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32">
        <f>ScenarioStat4[[#This Row],[team-1-win]]+ScenarioStat4[[#This Row],[team-2-win]]+ScenarioStat4[[#This Row],[team-3-win]]+ScenarioStat4[[#This Row],[team-4-win]]</f>
        <v>1</v>
      </c>
    </row>
    <row r="33" spans="1:9" x14ac:dyDescent="0.25">
      <c r="A33" t="s">
        <v>53</v>
      </c>
      <c r="B3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3" t="s">
        <v>33</v>
      </c>
      <c r="D3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3" t="s">
        <v>63</v>
      </c>
      <c r="F33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33" t="s">
        <v>38</v>
      </c>
      <c r="H3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3">
        <f>ScenarioStat4[[#This Row],[team-1-win]]+ScenarioStat4[[#This Row],[team-2-win]]+ScenarioStat4[[#This Row],[team-3-win]]+ScenarioStat4[[#This Row],[team-4-win]]</f>
        <v>1</v>
      </c>
    </row>
    <row r="34" spans="1:9" x14ac:dyDescent="0.25">
      <c r="A34" t="s">
        <v>53</v>
      </c>
      <c r="B34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34" t="s">
        <v>43</v>
      </c>
      <c r="D3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4" t="s">
        <v>45</v>
      </c>
      <c r="F3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4" t="s">
        <v>63</v>
      </c>
      <c r="H3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4">
        <f>ScenarioStat4[[#This Row],[team-1-win]]+ScenarioStat4[[#This Row],[team-2-win]]+ScenarioStat4[[#This Row],[team-3-win]]+ScenarioStat4[[#This Row],[team-4-win]]</f>
        <v>1</v>
      </c>
    </row>
    <row r="35" spans="1:9" x14ac:dyDescent="0.25">
      <c r="A35" t="s">
        <v>53</v>
      </c>
      <c r="B3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5" t="s">
        <v>43</v>
      </c>
      <c r="D3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5" t="s">
        <v>45</v>
      </c>
      <c r="F3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5" t="s">
        <v>38</v>
      </c>
      <c r="H35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35">
        <f>ScenarioStat4[[#This Row],[team-1-win]]+ScenarioStat4[[#This Row],[team-2-win]]+ScenarioStat4[[#This Row],[team-3-win]]+ScenarioStat4[[#This Row],[team-4-win]]</f>
        <v>1</v>
      </c>
    </row>
    <row r="36" spans="1:9" x14ac:dyDescent="0.25">
      <c r="A36" t="s">
        <v>53</v>
      </c>
      <c r="B3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6" t="s">
        <v>43</v>
      </c>
      <c r="D3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6" t="s">
        <v>63</v>
      </c>
      <c r="F36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36" t="s">
        <v>38</v>
      </c>
      <c r="H3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6">
        <f>ScenarioStat4[[#This Row],[team-1-win]]+ScenarioStat4[[#This Row],[team-2-win]]+ScenarioStat4[[#This Row],[team-3-win]]+ScenarioStat4[[#This Row],[team-4-win]]</f>
        <v>1</v>
      </c>
    </row>
    <row r="37" spans="1:9" x14ac:dyDescent="0.25">
      <c r="A37" t="s">
        <v>53</v>
      </c>
      <c r="B3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7" t="s">
        <v>45</v>
      </c>
      <c r="D3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7" t="s">
        <v>63</v>
      </c>
      <c r="F37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37" t="s">
        <v>38</v>
      </c>
      <c r="H3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7">
        <f>ScenarioStat4[[#This Row],[team-1-win]]+ScenarioStat4[[#This Row],[team-2-win]]+ScenarioStat4[[#This Row],[team-3-win]]+ScenarioStat4[[#This Row],[team-4-win]]</f>
        <v>1</v>
      </c>
    </row>
    <row r="38" spans="1:9" x14ac:dyDescent="0.25">
      <c r="A38" t="s">
        <v>56</v>
      </c>
      <c r="B3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8" t="s">
        <v>48</v>
      </c>
      <c r="D3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8" t="s">
        <v>33</v>
      </c>
      <c r="F38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38" t="s">
        <v>43</v>
      </c>
      <c r="H3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8">
        <f>ScenarioStat4[[#This Row],[team-1-win]]+ScenarioStat4[[#This Row],[team-2-win]]+ScenarioStat4[[#This Row],[team-3-win]]+ScenarioStat4[[#This Row],[team-4-win]]</f>
        <v>1</v>
      </c>
    </row>
    <row r="39" spans="1:9" x14ac:dyDescent="0.25">
      <c r="A39" t="s">
        <v>56</v>
      </c>
      <c r="B3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9" t="s">
        <v>48</v>
      </c>
      <c r="D3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9" t="s">
        <v>33</v>
      </c>
      <c r="F3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9" t="s">
        <v>45</v>
      </c>
      <c r="H39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39">
        <f>ScenarioStat4[[#This Row],[team-1-win]]+ScenarioStat4[[#This Row],[team-2-win]]+ScenarioStat4[[#This Row],[team-3-win]]+ScenarioStat4[[#This Row],[team-4-win]]</f>
        <v>1</v>
      </c>
    </row>
    <row r="40" spans="1:9" x14ac:dyDescent="0.25">
      <c r="A40" t="s">
        <v>56</v>
      </c>
      <c r="B4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0" t="s">
        <v>48</v>
      </c>
      <c r="D4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0" t="s">
        <v>33</v>
      </c>
      <c r="F4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0" t="s">
        <v>63</v>
      </c>
      <c r="H40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40">
        <f>ScenarioStat4[[#This Row],[team-1-win]]+ScenarioStat4[[#This Row],[team-2-win]]+ScenarioStat4[[#This Row],[team-3-win]]+ScenarioStat4[[#This Row],[team-4-win]]</f>
        <v>1</v>
      </c>
    </row>
    <row r="41" spans="1:9" x14ac:dyDescent="0.25">
      <c r="A41" t="s">
        <v>56</v>
      </c>
      <c r="B41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41" t="s">
        <v>48</v>
      </c>
      <c r="D4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1" t="s">
        <v>33</v>
      </c>
      <c r="F4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1" t="s">
        <v>38</v>
      </c>
      <c r="H4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1">
        <f>ScenarioStat4[[#This Row],[team-1-win]]+ScenarioStat4[[#This Row],[team-2-win]]+ScenarioStat4[[#This Row],[team-3-win]]+ScenarioStat4[[#This Row],[team-4-win]]</f>
        <v>1</v>
      </c>
    </row>
    <row r="42" spans="1:9" x14ac:dyDescent="0.25">
      <c r="A42" t="s">
        <v>56</v>
      </c>
      <c r="B4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2" t="s">
        <v>48</v>
      </c>
      <c r="D42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42" t="s">
        <v>43</v>
      </c>
      <c r="F4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2" t="s">
        <v>45</v>
      </c>
      <c r="H4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2">
        <f>ScenarioStat4[[#This Row],[team-1-win]]+ScenarioStat4[[#This Row],[team-2-win]]+ScenarioStat4[[#This Row],[team-3-win]]+ScenarioStat4[[#This Row],[team-4-win]]</f>
        <v>1</v>
      </c>
    </row>
    <row r="43" spans="1:9" x14ac:dyDescent="0.25">
      <c r="A43" t="s">
        <v>56</v>
      </c>
      <c r="B4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3" t="s">
        <v>48</v>
      </c>
      <c r="D4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3" t="s">
        <v>43</v>
      </c>
      <c r="F4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3" t="s">
        <v>63</v>
      </c>
      <c r="H43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43">
        <f>ScenarioStat4[[#This Row],[team-1-win]]+ScenarioStat4[[#This Row],[team-2-win]]+ScenarioStat4[[#This Row],[team-3-win]]+ScenarioStat4[[#This Row],[team-4-win]]</f>
        <v>1</v>
      </c>
    </row>
    <row r="44" spans="1:9" x14ac:dyDescent="0.25">
      <c r="A44" t="s">
        <v>56</v>
      </c>
      <c r="B44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44" t="s">
        <v>48</v>
      </c>
      <c r="D4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4" t="s">
        <v>43</v>
      </c>
      <c r="F4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4" t="s">
        <v>38</v>
      </c>
      <c r="H4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4">
        <f>ScenarioStat4[[#This Row],[team-1-win]]+ScenarioStat4[[#This Row],[team-2-win]]+ScenarioStat4[[#This Row],[team-3-win]]+ScenarioStat4[[#This Row],[team-4-win]]</f>
        <v>1</v>
      </c>
    </row>
    <row r="45" spans="1:9" x14ac:dyDescent="0.25">
      <c r="A45" t="s">
        <v>56</v>
      </c>
      <c r="B4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5" t="s">
        <v>48</v>
      </c>
      <c r="D4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5" t="s">
        <v>45</v>
      </c>
      <c r="F4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5" t="s">
        <v>63</v>
      </c>
      <c r="H45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45">
        <f>ScenarioStat4[[#This Row],[team-1-win]]+ScenarioStat4[[#This Row],[team-2-win]]+ScenarioStat4[[#This Row],[team-3-win]]+ScenarioStat4[[#This Row],[team-4-win]]</f>
        <v>1</v>
      </c>
    </row>
    <row r="46" spans="1:9" x14ac:dyDescent="0.25">
      <c r="A46" t="s">
        <v>56</v>
      </c>
      <c r="B4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6" t="s">
        <v>48</v>
      </c>
      <c r="D46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46" t="s">
        <v>45</v>
      </c>
      <c r="F4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6" t="s">
        <v>38</v>
      </c>
      <c r="H4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6">
        <f>ScenarioStat4[[#This Row],[team-1-win]]+ScenarioStat4[[#This Row],[team-2-win]]+ScenarioStat4[[#This Row],[team-3-win]]+ScenarioStat4[[#This Row],[team-4-win]]</f>
        <v>1</v>
      </c>
    </row>
    <row r="47" spans="1:9" x14ac:dyDescent="0.25">
      <c r="A47" t="s">
        <v>56</v>
      </c>
      <c r="B4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7" t="s">
        <v>48</v>
      </c>
      <c r="D4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7" t="s">
        <v>63</v>
      </c>
      <c r="F4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7" t="s">
        <v>38</v>
      </c>
      <c r="H47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47">
        <f>ScenarioStat4[[#This Row],[team-1-win]]+ScenarioStat4[[#This Row],[team-2-win]]+ScenarioStat4[[#This Row],[team-3-win]]+ScenarioStat4[[#This Row],[team-4-win]]</f>
        <v>1</v>
      </c>
    </row>
    <row r="48" spans="1:9" x14ac:dyDescent="0.25">
      <c r="A48" t="s">
        <v>56</v>
      </c>
      <c r="B4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8" t="s">
        <v>33</v>
      </c>
      <c r="D4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8" t="s">
        <v>43</v>
      </c>
      <c r="F4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8" t="s">
        <v>45</v>
      </c>
      <c r="H48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48">
        <f>ScenarioStat4[[#This Row],[team-1-win]]+ScenarioStat4[[#This Row],[team-2-win]]+ScenarioStat4[[#This Row],[team-3-win]]+ScenarioStat4[[#This Row],[team-4-win]]</f>
        <v>1</v>
      </c>
    </row>
    <row r="49" spans="1:9" x14ac:dyDescent="0.25">
      <c r="A49" t="s">
        <v>56</v>
      </c>
      <c r="B4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9" t="s">
        <v>33</v>
      </c>
      <c r="D4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9" t="s">
        <v>43</v>
      </c>
      <c r="F4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9" t="s">
        <v>63</v>
      </c>
      <c r="H49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49">
        <f>ScenarioStat4[[#This Row],[team-1-win]]+ScenarioStat4[[#This Row],[team-2-win]]+ScenarioStat4[[#This Row],[team-3-win]]+ScenarioStat4[[#This Row],[team-4-win]]</f>
        <v>1</v>
      </c>
    </row>
    <row r="50" spans="1:9" x14ac:dyDescent="0.25">
      <c r="A50" t="s">
        <v>56</v>
      </c>
      <c r="B5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0" t="s">
        <v>33</v>
      </c>
      <c r="D5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0" t="s">
        <v>43</v>
      </c>
      <c r="F50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50" t="s">
        <v>38</v>
      </c>
      <c r="H5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0">
        <f>ScenarioStat4[[#This Row],[team-1-win]]+ScenarioStat4[[#This Row],[team-2-win]]+ScenarioStat4[[#This Row],[team-3-win]]+ScenarioStat4[[#This Row],[team-4-win]]</f>
        <v>1</v>
      </c>
    </row>
    <row r="51" spans="1:9" x14ac:dyDescent="0.25">
      <c r="A51" t="s">
        <v>56</v>
      </c>
      <c r="B51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51" t="s">
        <v>33</v>
      </c>
      <c r="D5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1" t="s">
        <v>45</v>
      </c>
      <c r="F5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1" t="s">
        <v>63</v>
      </c>
      <c r="H5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1">
        <f>ScenarioStat4[[#This Row],[team-1-win]]+ScenarioStat4[[#This Row],[team-2-win]]+ScenarioStat4[[#This Row],[team-3-win]]+ScenarioStat4[[#This Row],[team-4-win]]</f>
        <v>1</v>
      </c>
    </row>
    <row r="52" spans="1:9" x14ac:dyDescent="0.25">
      <c r="A52" t="s">
        <v>56</v>
      </c>
      <c r="B5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2" t="s">
        <v>33</v>
      </c>
      <c r="D5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2" t="s">
        <v>45</v>
      </c>
      <c r="F5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2" t="s">
        <v>38</v>
      </c>
      <c r="H52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52">
        <f>ScenarioStat4[[#This Row],[team-1-win]]+ScenarioStat4[[#This Row],[team-2-win]]+ScenarioStat4[[#This Row],[team-3-win]]+ScenarioStat4[[#This Row],[team-4-win]]</f>
        <v>1</v>
      </c>
    </row>
    <row r="53" spans="1:9" x14ac:dyDescent="0.25">
      <c r="A53" t="s">
        <v>56</v>
      </c>
      <c r="B5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3" t="s">
        <v>33</v>
      </c>
      <c r="D5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3" t="s">
        <v>63</v>
      </c>
      <c r="F53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53" t="s">
        <v>38</v>
      </c>
      <c r="H5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3">
        <f>ScenarioStat4[[#This Row],[team-1-win]]+ScenarioStat4[[#This Row],[team-2-win]]+ScenarioStat4[[#This Row],[team-3-win]]+ScenarioStat4[[#This Row],[team-4-win]]</f>
        <v>1</v>
      </c>
    </row>
    <row r="54" spans="1:9" x14ac:dyDescent="0.25">
      <c r="A54" t="s">
        <v>56</v>
      </c>
      <c r="B5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4" t="s">
        <v>43</v>
      </c>
      <c r="D5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4" t="s">
        <v>45</v>
      </c>
      <c r="F54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54" t="s">
        <v>63</v>
      </c>
      <c r="H5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4">
        <f>ScenarioStat4[[#This Row],[team-1-win]]+ScenarioStat4[[#This Row],[team-2-win]]+ScenarioStat4[[#This Row],[team-3-win]]+ScenarioStat4[[#This Row],[team-4-win]]</f>
        <v>1</v>
      </c>
    </row>
    <row r="55" spans="1:9" x14ac:dyDescent="0.25">
      <c r="A55" t="s">
        <v>56</v>
      </c>
      <c r="B55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55" t="s">
        <v>43</v>
      </c>
      <c r="D5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5" t="s">
        <v>45</v>
      </c>
      <c r="F5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5" t="s">
        <v>38</v>
      </c>
      <c r="H5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5">
        <f>ScenarioStat4[[#This Row],[team-1-win]]+ScenarioStat4[[#This Row],[team-2-win]]+ScenarioStat4[[#This Row],[team-3-win]]+ScenarioStat4[[#This Row],[team-4-win]]</f>
        <v>1</v>
      </c>
    </row>
    <row r="56" spans="1:9" x14ac:dyDescent="0.25">
      <c r="A56" t="s">
        <v>56</v>
      </c>
      <c r="B5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6" t="s">
        <v>43</v>
      </c>
      <c r="D5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6" t="s">
        <v>63</v>
      </c>
      <c r="F56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56" t="s">
        <v>38</v>
      </c>
      <c r="H5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6">
        <f>ScenarioStat4[[#This Row],[team-1-win]]+ScenarioStat4[[#This Row],[team-2-win]]+ScenarioStat4[[#This Row],[team-3-win]]+ScenarioStat4[[#This Row],[team-4-win]]</f>
        <v>1</v>
      </c>
    </row>
    <row r="57" spans="1:9" x14ac:dyDescent="0.25">
      <c r="A57" t="s">
        <v>56</v>
      </c>
      <c r="B57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57" t="s">
        <v>45</v>
      </c>
      <c r="D5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7" t="s">
        <v>63</v>
      </c>
      <c r="F5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7" t="s">
        <v>38</v>
      </c>
      <c r="H5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7">
        <f>ScenarioStat4[[#This Row],[team-1-win]]+ScenarioStat4[[#This Row],[team-2-win]]+ScenarioStat4[[#This Row],[team-3-win]]+ScenarioStat4[[#This Row],[team-4-win]]</f>
        <v>1</v>
      </c>
    </row>
    <row r="58" spans="1:9" x14ac:dyDescent="0.25">
      <c r="A58" t="s">
        <v>48</v>
      </c>
      <c r="B5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8" t="s">
        <v>33</v>
      </c>
      <c r="D5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8" t="s">
        <v>43</v>
      </c>
      <c r="F5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8" t="s">
        <v>45</v>
      </c>
      <c r="H58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58">
        <f>ScenarioStat4[[#This Row],[team-1-win]]+ScenarioStat4[[#This Row],[team-2-win]]+ScenarioStat4[[#This Row],[team-3-win]]+ScenarioStat4[[#This Row],[team-4-win]]</f>
        <v>1</v>
      </c>
    </row>
    <row r="59" spans="1:9" x14ac:dyDescent="0.25">
      <c r="A59" t="s">
        <v>48</v>
      </c>
      <c r="B5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9" t="s">
        <v>33</v>
      </c>
      <c r="D5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9" t="s">
        <v>43</v>
      </c>
      <c r="F59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59" t="s">
        <v>63</v>
      </c>
      <c r="H5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9">
        <f>ScenarioStat4[[#This Row],[team-1-win]]+ScenarioStat4[[#This Row],[team-2-win]]+ScenarioStat4[[#This Row],[team-3-win]]+ScenarioStat4[[#This Row],[team-4-win]]</f>
        <v>1</v>
      </c>
    </row>
    <row r="60" spans="1:9" x14ac:dyDescent="0.25">
      <c r="A60" t="s">
        <v>48</v>
      </c>
      <c r="B6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0" t="s">
        <v>33</v>
      </c>
      <c r="D6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0" t="s">
        <v>43</v>
      </c>
      <c r="F6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0" t="s">
        <v>38</v>
      </c>
      <c r="H60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60">
        <f>ScenarioStat4[[#This Row],[team-1-win]]+ScenarioStat4[[#This Row],[team-2-win]]+ScenarioStat4[[#This Row],[team-3-win]]+ScenarioStat4[[#This Row],[team-4-win]]</f>
        <v>1</v>
      </c>
    </row>
    <row r="61" spans="1:9" x14ac:dyDescent="0.25">
      <c r="A61" t="s">
        <v>48</v>
      </c>
      <c r="B6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1" t="s">
        <v>33</v>
      </c>
      <c r="D6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1" t="s">
        <v>45</v>
      </c>
      <c r="F6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1" t="s">
        <v>63</v>
      </c>
      <c r="H61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61">
        <f>ScenarioStat4[[#This Row],[team-1-win]]+ScenarioStat4[[#This Row],[team-2-win]]+ScenarioStat4[[#This Row],[team-3-win]]+ScenarioStat4[[#This Row],[team-4-win]]</f>
        <v>1</v>
      </c>
    </row>
    <row r="62" spans="1:9" x14ac:dyDescent="0.25">
      <c r="A62" t="s">
        <v>48</v>
      </c>
      <c r="B6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2" t="s">
        <v>33</v>
      </c>
      <c r="D6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2" t="s">
        <v>45</v>
      </c>
      <c r="F62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62" t="s">
        <v>38</v>
      </c>
      <c r="H6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2">
        <f>ScenarioStat4[[#This Row],[team-1-win]]+ScenarioStat4[[#This Row],[team-2-win]]+ScenarioStat4[[#This Row],[team-3-win]]+ScenarioStat4[[#This Row],[team-4-win]]</f>
        <v>1</v>
      </c>
    </row>
    <row r="63" spans="1:9" x14ac:dyDescent="0.25">
      <c r="A63" t="s">
        <v>48</v>
      </c>
      <c r="B6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3" t="s">
        <v>33</v>
      </c>
      <c r="D6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3" t="s">
        <v>63</v>
      </c>
      <c r="F6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3" t="s">
        <v>38</v>
      </c>
      <c r="H63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63">
        <f>ScenarioStat4[[#This Row],[team-1-win]]+ScenarioStat4[[#This Row],[team-2-win]]+ScenarioStat4[[#This Row],[team-3-win]]+ScenarioStat4[[#This Row],[team-4-win]]</f>
        <v>1</v>
      </c>
    </row>
    <row r="64" spans="1:9" x14ac:dyDescent="0.25">
      <c r="A64" t="s">
        <v>48</v>
      </c>
      <c r="B6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4" t="s">
        <v>43</v>
      </c>
      <c r="D6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4" t="s">
        <v>45</v>
      </c>
      <c r="F6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4" t="s">
        <v>63</v>
      </c>
      <c r="H64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64">
        <f>ScenarioStat4[[#This Row],[team-1-win]]+ScenarioStat4[[#This Row],[team-2-win]]+ScenarioStat4[[#This Row],[team-3-win]]+ScenarioStat4[[#This Row],[team-4-win]]</f>
        <v>1</v>
      </c>
    </row>
    <row r="65" spans="1:9" x14ac:dyDescent="0.25">
      <c r="A65" t="s">
        <v>48</v>
      </c>
      <c r="B65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65" t="s">
        <v>43</v>
      </c>
      <c r="D6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5" t="s">
        <v>45</v>
      </c>
      <c r="F6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5" t="s">
        <v>38</v>
      </c>
      <c r="H6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5">
        <f>ScenarioStat4[[#This Row],[team-1-win]]+ScenarioStat4[[#This Row],[team-2-win]]+ScenarioStat4[[#This Row],[team-3-win]]+ScenarioStat4[[#This Row],[team-4-win]]</f>
        <v>1</v>
      </c>
    </row>
    <row r="66" spans="1:9" x14ac:dyDescent="0.25">
      <c r="A66" t="s">
        <v>48</v>
      </c>
      <c r="B6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6" t="s">
        <v>43</v>
      </c>
      <c r="D6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6" t="s">
        <v>63</v>
      </c>
      <c r="F6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6" t="s">
        <v>38</v>
      </c>
      <c r="H66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66">
        <f>ScenarioStat4[[#This Row],[team-1-win]]+ScenarioStat4[[#This Row],[team-2-win]]+ScenarioStat4[[#This Row],[team-3-win]]+ScenarioStat4[[#This Row],[team-4-win]]</f>
        <v>1</v>
      </c>
    </row>
    <row r="67" spans="1:9" x14ac:dyDescent="0.25">
      <c r="A67" t="s">
        <v>48</v>
      </c>
      <c r="B67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67" t="s">
        <v>45</v>
      </c>
      <c r="D6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7" t="s">
        <v>63</v>
      </c>
      <c r="F6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7" t="s">
        <v>38</v>
      </c>
      <c r="H6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7">
        <f>ScenarioStat4[[#This Row],[team-1-win]]+ScenarioStat4[[#This Row],[team-2-win]]+ScenarioStat4[[#This Row],[team-3-win]]+ScenarioStat4[[#This Row],[team-4-win]]</f>
        <v>1</v>
      </c>
    </row>
    <row r="68" spans="1:9" x14ac:dyDescent="0.25">
      <c r="A68" t="s">
        <v>33</v>
      </c>
      <c r="B68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68" t="s">
        <v>43</v>
      </c>
      <c r="D6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8" t="s">
        <v>45</v>
      </c>
      <c r="F6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8" t="s">
        <v>63</v>
      </c>
      <c r="H6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8">
        <f>ScenarioStat4[[#This Row],[team-1-win]]+ScenarioStat4[[#This Row],[team-2-win]]+ScenarioStat4[[#This Row],[team-3-win]]+ScenarioStat4[[#This Row],[team-4-win]]</f>
        <v>1</v>
      </c>
    </row>
    <row r="69" spans="1:9" x14ac:dyDescent="0.25">
      <c r="A69" t="s">
        <v>33</v>
      </c>
      <c r="B6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9" t="s">
        <v>43</v>
      </c>
      <c r="D6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9" t="s">
        <v>45</v>
      </c>
      <c r="F6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9" t="s">
        <v>38</v>
      </c>
      <c r="H69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69">
        <f>ScenarioStat4[[#This Row],[team-1-win]]+ScenarioStat4[[#This Row],[team-2-win]]+ScenarioStat4[[#This Row],[team-3-win]]+ScenarioStat4[[#This Row],[team-4-win]]</f>
        <v>1</v>
      </c>
    </row>
    <row r="70" spans="1:9" x14ac:dyDescent="0.25">
      <c r="A70" t="s">
        <v>33</v>
      </c>
      <c r="B7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70" t="s">
        <v>43</v>
      </c>
      <c r="D7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70" t="s">
        <v>63</v>
      </c>
      <c r="F7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70" t="s">
        <v>38</v>
      </c>
      <c r="H70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70">
        <f>ScenarioStat4[[#This Row],[team-1-win]]+ScenarioStat4[[#This Row],[team-2-win]]+ScenarioStat4[[#This Row],[team-3-win]]+ScenarioStat4[[#This Row],[team-4-win]]</f>
        <v>1</v>
      </c>
    </row>
    <row r="71" spans="1:9" x14ac:dyDescent="0.25">
      <c r="A71" t="s">
        <v>33</v>
      </c>
      <c r="B7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71" t="s">
        <v>45</v>
      </c>
      <c r="D71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71" t="s">
        <v>63</v>
      </c>
      <c r="F7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71" t="s">
        <v>38</v>
      </c>
      <c r="H7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71">
        <f>ScenarioStat4[[#This Row],[team-1-win]]+ScenarioStat4[[#This Row],[team-2-win]]+ScenarioStat4[[#This Row],[team-3-win]]+ScenarioStat4[[#This Row],[team-4-win]]</f>
        <v>1</v>
      </c>
    </row>
    <row r="72" spans="1:9" x14ac:dyDescent="0.25">
      <c r="A72" t="s">
        <v>43</v>
      </c>
      <c r="B7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72" t="s">
        <v>45</v>
      </c>
      <c r="D7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72" t="s">
        <v>63</v>
      </c>
      <c r="F72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72" t="s">
        <v>38</v>
      </c>
      <c r="H7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72">
        <f>ScenarioStat4[[#This Row],[team-1-win]]+ScenarioStat4[[#This Row],[team-2-win]]+ScenarioStat4[[#This Row],[team-3-win]]+ScenarioStat4[[#This Row],[team-4-win]]</f>
        <v>1</v>
      </c>
    </row>
  </sheetData>
  <mergeCells count="2">
    <mergeCell ref="A1:I1"/>
    <mergeCell ref="K1:N1"/>
  </mergeCells>
  <phoneticPr fontId="3" type="noConversion"/>
  <conditionalFormatting sqref="N3:N1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33CC2-E6A8-462B-A878-820574A73427}">
  <dimension ref="A1:AJ211"/>
  <sheetViews>
    <sheetView topLeftCell="A22" workbookViewId="0">
      <selection activeCell="AL203" sqref="AL203"/>
    </sheetView>
  </sheetViews>
  <sheetFormatPr defaultRowHeight="15" x14ac:dyDescent="0.25"/>
  <cols>
    <col min="1" max="1" width="38.42578125" bestFit="1" customWidth="1"/>
    <col min="2" max="2" width="8.28515625" bestFit="1" customWidth="1"/>
    <col min="3" max="3" width="11.42578125" bestFit="1" customWidth="1"/>
    <col min="4" max="4" width="14" hidden="1" customWidth="1"/>
    <col min="5" max="5" width="13.7109375" hidden="1" customWidth="1"/>
    <col min="6" max="6" width="13.28515625" hidden="1" customWidth="1"/>
    <col min="7" max="7" width="18.42578125" hidden="1" customWidth="1"/>
    <col min="8" max="8" width="19.140625" hidden="1" customWidth="1"/>
    <col min="9" max="9" width="18" hidden="1" customWidth="1"/>
    <col min="10" max="10" width="18.42578125" hidden="1" customWidth="1"/>
    <col min="11" max="11" width="11.42578125" bestFit="1" customWidth="1"/>
    <col min="12" max="12" width="14" hidden="1" customWidth="1"/>
    <col min="13" max="13" width="13.7109375" hidden="1" customWidth="1"/>
    <col min="14" max="14" width="13.28515625" hidden="1" customWidth="1"/>
    <col min="15" max="15" width="18.42578125" hidden="1" customWidth="1"/>
    <col min="16" max="16" width="19.140625" hidden="1" customWidth="1"/>
    <col min="17" max="17" width="19.42578125" hidden="1" customWidth="1"/>
    <col min="18" max="18" width="18" hidden="1" customWidth="1"/>
    <col min="19" max="19" width="11.42578125" bestFit="1" customWidth="1"/>
    <col min="20" max="20" width="12.140625" hidden="1" customWidth="1"/>
    <col min="21" max="21" width="11.85546875" hidden="1" customWidth="1"/>
    <col min="22" max="22" width="11.42578125" hidden="1" customWidth="1"/>
    <col min="23" max="23" width="18.42578125" hidden="1" customWidth="1"/>
    <col min="24" max="24" width="18.7109375" hidden="1" customWidth="1"/>
    <col min="25" max="25" width="20.7109375" hidden="1" customWidth="1"/>
    <col min="26" max="26" width="19.85546875" hidden="1" customWidth="1"/>
    <col min="27" max="27" width="11.42578125" bestFit="1" customWidth="1"/>
    <col min="28" max="28" width="12.140625" hidden="1" customWidth="1"/>
    <col min="29" max="29" width="11.85546875" hidden="1" customWidth="1"/>
    <col min="30" max="30" width="11.42578125" hidden="1" customWidth="1"/>
    <col min="31" max="31" width="24" hidden="1" customWidth="1"/>
    <col min="32" max="32" width="19.140625" hidden="1" customWidth="1"/>
    <col min="33" max="33" width="19.42578125" hidden="1" customWidth="1"/>
    <col min="34" max="34" width="16.140625" hidden="1" customWidth="1"/>
    <col min="35" max="35" width="9.85546875" bestFit="1" customWidth="1"/>
    <col min="36" max="36" width="7.85546875" bestFit="1" customWidth="1"/>
  </cols>
  <sheetData>
    <row r="1" spans="1:36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119</v>
      </c>
      <c r="AG1" t="s">
        <v>30</v>
      </c>
      <c r="AH1" t="s">
        <v>31</v>
      </c>
      <c r="AI1" t="s">
        <v>64</v>
      </c>
      <c r="AJ1" t="s">
        <v>32</v>
      </c>
    </row>
    <row r="2" spans="1:36" x14ac:dyDescent="0.25">
      <c r="A2" t="s">
        <v>603</v>
      </c>
      <c r="B2">
        <v>0</v>
      </c>
      <c r="C2" t="s">
        <v>48</v>
      </c>
      <c r="D2">
        <v>1</v>
      </c>
      <c r="F2">
        <v>2</v>
      </c>
      <c r="G2" t="s">
        <v>49</v>
      </c>
      <c r="H2" t="s">
        <v>84</v>
      </c>
      <c r="I2" t="s">
        <v>90</v>
      </c>
      <c r="J2" t="s">
        <v>129</v>
      </c>
      <c r="K2" t="s">
        <v>33</v>
      </c>
      <c r="L2">
        <v>1</v>
      </c>
      <c r="N2">
        <v>3</v>
      </c>
      <c r="O2" t="s">
        <v>65</v>
      </c>
      <c r="P2" t="s">
        <v>130</v>
      </c>
      <c r="Q2" t="s">
        <v>36</v>
      </c>
      <c r="R2" t="s">
        <v>134</v>
      </c>
      <c r="S2" t="s">
        <v>53</v>
      </c>
      <c r="T2">
        <v>2</v>
      </c>
      <c r="U2">
        <v>1</v>
      </c>
      <c r="V2">
        <v>1</v>
      </c>
      <c r="W2" t="s">
        <v>112</v>
      </c>
      <c r="X2" t="s">
        <v>113</v>
      </c>
      <c r="AA2" t="s">
        <v>56</v>
      </c>
      <c r="AB2">
        <v>3</v>
      </c>
      <c r="AD2">
        <v>1</v>
      </c>
      <c r="AE2" t="s">
        <v>120</v>
      </c>
      <c r="AF2" t="s">
        <v>121</v>
      </c>
      <c r="AG2" t="s">
        <v>123</v>
      </c>
      <c r="AI2">
        <v>0</v>
      </c>
      <c r="AJ2">
        <v>19</v>
      </c>
    </row>
    <row r="3" spans="1:36" x14ac:dyDescent="0.25">
      <c r="A3" t="s">
        <v>604</v>
      </c>
      <c r="B3">
        <v>1</v>
      </c>
      <c r="C3" t="s">
        <v>53</v>
      </c>
      <c r="D3">
        <v>1</v>
      </c>
      <c r="E3">
        <v>1</v>
      </c>
      <c r="F3">
        <v>2</v>
      </c>
      <c r="G3" t="s">
        <v>112</v>
      </c>
      <c r="H3" t="s">
        <v>55</v>
      </c>
      <c r="I3" t="s">
        <v>105</v>
      </c>
      <c r="J3" t="s">
        <v>98</v>
      </c>
      <c r="K3" t="s">
        <v>56</v>
      </c>
      <c r="L3">
        <v>1</v>
      </c>
      <c r="N3">
        <v>2</v>
      </c>
      <c r="O3" t="s">
        <v>120</v>
      </c>
      <c r="P3" t="s">
        <v>121</v>
      </c>
      <c r="Q3" t="s">
        <v>87</v>
      </c>
      <c r="S3" t="s">
        <v>48</v>
      </c>
      <c r="T3">
        <v>1</v>
      </c>
      <c r="V3">
        <v>1</v>
      </c>
      <c r="W3" t="s">
        <v>49</v>
      </c>
      <c r="X3" t="s">
        <v>84</v>
      </c>
      <c r="Y3" t="s">
        <v>127</v>
      </c>
      <c r="AA3" t="s">
        <v>43</v>
      </c>
      <c r="AB3">
        <v>2</v>
      </c>
      <c r="AD3">
        <v>1</v>
      </c>
      <c r="AE3" t="s">
        <v>73</v>
      </c>
      <c r="AF3" t="s">
        <v>99</v>
      </c>
      <c r="AG3" t="s">
        <v>75</v>
      </c>
      <c r="AH3" t="s">
        <v>101</v>
      </c>
      <c r="AI3">
        <v>0</v>
      </c>
      <c r="AJ3">
        <v>17</v>
      </c>
    </row>
    <row r="4" spans="1:36" x14ac:dyDescent="0.25">
      <c r="A4" t="s">
        <v>605</v>
      </c>
      <c r="B4">
        <v>2</v>
      </c>
      <c r="C4" t="s">
        <v>53</v>
      </c>
      <c r="D4">
        <v>2</v>
      </c>
      <c r="E4">
        <v>2</v>
      </c>
      <c r="F4">
        <v>3</v>
      </c>
      <c r="G4" t="s">
        <v>112</v>
      </c>
      <c r="H4" t="s">
        <v>55</v>
      </c>
      <c r="K4" t="s">
        <v>56</v>
      </c>
      <c r="L4">
        <v>3</v>
      </c>
      <c r="N4">
        <v>1</v>
      </c>
      <c r="O4" t="s">
        <v>57</v>
      </c>
      <c r="S4" t="s">
        <v>48</v>
      </c>
      <c r="T4">
        <v>3</v>
      </c>
      <c r="V4">
        <v>1</v>
      </c>
      <c r="W4" t="s">
        <v>49</v>
      </c>
      <c r="AA4" t="s">
        <v>45</v>
      </c>
      <c r="AB4">
        <v>3</v>
      </c>
      <c r="AD4">
        <v>1</v>
      </c>
      <c r="AE4" t="s">
        <v>86</v>
      </c>
      <c r="AF4" t="s">
        <v>76</v>
      </c>
      <c r="AG4" t="s">
        <v>93</v>
      </c>
      <c r="AH4" t="s">
        <v>94</v>
      </c>
      <c r="AI4">
        <v>0</v>
      </c>
      <c r="AJ4">
        <v>18</v>
      </c>
    </row>
    <row r="5" spans="1:36" x14ac:dyDescent="0.25">
      <c r="A5" t="s">
        <v>606</v>
      </c>
      <c r="B5">
        <v>3</v>
      </c>
      <c r="C5" t="s">
        <v>48</v>
      </c>
      <c r="D5">
        <v>2</v>
      </c>
      <c r="F5">
        <v>1</v>
      </c>
      <c r="G5" t="s">
        <v>89</v>
      </c>
      <c r="H5" t="s">
        <v>71</v>
      </c>
      <c r="I5" t="s">
        <v>51</v>
      </c>
      <c r="K5" t="s">
        <v>63</v>
      </c>
      <c r="L5">
        <v>1</v>
      </c>
      <c r="N5">
        <v>1</v>
      </c>
      <c r="O5" t="s">
        <v>103</v>
      </c>
      <c r="P5" t="s">
        <v>95</v>
      </c>
      <c r="Q5" t="s">
        <v>104</v>
      </c>
      <c r="R5" t="s">
        <v>149</v>
      </c>
      <c r="S5" t="s">
        <v>53</v>
      </c>
      <c r="T5">
        <v>2</v>
      </c>
      <c r="U5">
        <v>1</v>
      </c>
      <c r="V5">
        <v>1</v>
      </c>
      <c r="W5" t="s">
        <v>111</v>
      </c>
      <c r="X5" t="s">
        <v>83</v>
      </c>
      <c r="Y5" t="s">
        <v>105</v>
      </c>
      <c r="Z5" t="s">
        <v>98</v>
      </c>
      <c r="AA5" t="s">
        <v>56</v>
      </c>
      <c r="AB5">
        <v>2</v>
      </c>
      <c r="AD5">
        <v>1</v>
      </c>
      <c r="AE5" t="s">
        <v>57</v>
      </c>
      <c r="AF5" t="s">
        <v>122</v>
      </c>
      <c r="AI5">
        <v>0</v>
      </c>
      <c r="AJ5">
        <v>17</v>
      </c>
    </row>
    <row r="6" spans="1:36" x14ac:dyDescent="0.25">
      <c r="A6" t="s">
        <v>607</v>
      </c>
      <c r="B6">
        <v>4</v>
      </c>
      <c r="C6" t="s">
        <v>53</v>
      </c>
      <c r="D6">
        <v>2</v>
      </c>
      <c r="E6">
        <v>1</v>
      </c>
      <c r="F6">
        <v>1</v>
      </c>
      <c r="G6" t="s">
        <v>111</v>
      </c>
      <c r="H6" t="s">
        <v>83</v>
      </c>
      <c r="I6" t="s">
        <v>105</v>
      </c>
      <c r="K6" t="s">
        <v>56</v>
      </c>
      <c r="L6">
        <v>2</v>
      </c>
      <c r="N6">
        <v>1</v>
      </c>
      <c r="O6" t="s">
        <v>57</v>
      </c>
      <c r="P6" t="s">
        <v>122</v>
      </c>
      <c r="Q6" t="s">
        <v>85</v>
      </c>
      <c r="S6" t="s">
        <v>48</v>
      </c>
      <c r="T6">
        <v>2</v>
      </c>
      <c r="V6">
        <v>1</v>
      </c>
      <c r="W6" t="s">
        <v>89</v>
      </c>
      <c r="X6" t="s">
        <v>71</v>
      </c>
      <c r="AA6" t="s">
        <v>38</v>
      </c>
      <c r="AB6">
        <v>3</v>
      </c>
      <c r="AC6">
        <v>1</v>
      </c>
      <c r="AD6">
        <v>2</v>
      </c>
      <c r="AE6" t="s">
        <v>152</v>
      </c>
      <c r="AI6">
        <v>0</v>
      </c>
      <c r="AJ6">
        <v>15</v>
      </c>
    </row>
    <row r="7" spans="1:36" x14ac:dyDescent="0.25">
      <c r="A7" t="s">
        <v>608</v>
      </c>
      <c r="B7">
        <v>5</v>
      </c>
      <c r="C7" t="s">
        <v>33</v>
      </c>
      <c r="D7">
        <v>3</v>
      </c>
      <c r="F7">
        <v>2</v>
      </c>
      <c r="G7" t="s">
        <v>46</v>
      </c>
      <c r="H7" t="s">
        <v>130</v>
      </c>
      <c r="I7" t="s">
        <v>131</v>
      </c>
      <c r="K7" t="s">
        <v>43</v>
      </c>
      <c r="L7">
        <v>1</v>
      </c>
      <c r="N7">
        <v>1</v>
      </c>
      <c r="O7" t="s">
        <v>135</v>
      </c>
      <c r="P7" t="s">
        <v>74</v>
      </c>
      <c r="Q7" t="s">
        <v>137</v>
      </c>
      <c r="S7" t="s">
        <v>53</v>
      </c>
      <c r="T7">
        <v>1</v>
      </c>
      <c r="U7">
        <v>1</v>
      </c>
      <c r="V7">
        <v>2</v>
      </c>
      <c r="W7" t="s">
        <v>112</v>
      </c>
      <c r="AA7" t="s">
        <v>56</v>
      </c>
      <c r="AB7">
        <v>3</v>
      </c>
      <c r="AD7">
        <v>1</v>
      </c>
      <c r="AE7" t="s">
        <v>120</v>
      </c>
      <c r="AF7" t="s">
        <v>122</v>
      </c>
      <c r="AG7" t="s">
        <v>87</v>
      </c>
      <c r="AI7">
        <v>0</v>
      </c>
      <c r="AJ7">
        <v>16</v>
      </c>
    </row>
    <row r="8" spans="1:36" x14ac:dyDescent="0.25">
      <c r="A8" t="s">
        <v>609</v>
      </c>
      <c r="B8">
        <v>6</v>
      </c>
      <c r="C8" t="s">
        <v>53</v>
      </c>
      <c r="D8">
        <v>3</v>
      </c>
      <c r="E8">
        <v>3</v>
      </c>
      <c r="F8">
        <v>3</v>
      </c>
      <c r="G8" t="s">
        <v>112</v>
      </c>
      <c r="H8" t="s">
        <v>113</v>
      </c>
      <c r="I8" t="s">
        <v>97</v>
      </c>
      <c r="J8" t="s">
        <v>98</v>
      </c>
      <c r="K8" t="s">
        <v>56</v>
      </c>
      <c r="L8">
        <v>3</v>
      </c>
      <c r="N8">
        <v>1</v>
      </c>
      <c r="O8" t="s">
        <v>120</v>
      </c>
      <c r="P8" t="s">
        <v>69</v>
      </c>
      <c r="S8" t="s">
        <v>33</v>
      </c>
      <c r="T8">
        <v>1</v>
      </c>
      <c r="V8">
        <v>1</v>
      </c>
      <c r="W8" t="s">
        <v>46</v>
      </c>
      <c r="X8" t="s">
        <v>130</v>
      </c>
      <c r="Y8" t="s">
        <v>131</v>
      </c>
      <c r="Z8" t="s">
        <v>134</v>
      </c>
      <c r="AA8" t="s">
        <v>45</v>
      </c>
      <c r="AB8">
        <v>3</v>
      </c>
      <c r="AD8">
        <v>3</v>
      </c>
      <c r="AE8" t="s">
        <v>140</v>
      </c>
      <c r="AF8" t="s">
        <v>141</v>
      </c>
      <c r="AG8" t="s">
        <v>93</v>
      </c>
      <c r="AH8" t="s">
        <v>94</v>
      </c>
      <c r="AI8">
        <v>0</v>
      </c>
      <c r="AJ8">
        <v>30</v>
      </c>
    </row>
    <row r="9" spans="1:36" x14ac:dyDescent="0.25">
      <c r="A9" t="s">
        <v>610</v>
      </c>
      <c r="B9">
        <v>7</v>
      </c>
      <c r="C9" t="s">
        <v>53</v>
      </c>
      <c r="D9">
        <v>2</v>
      </c>
      <c r="E9">
        <v>1</v>
      </c>
      <c r="F9">
        <v>2</v>
      </c>
      <c r="G9" t="s">
        <v>111</v>
      </c>
      <c r="H9" t="s">
        <v>113</v>
      </c>
      <c r="I9" t="s">
        <v>97</v>
      </c>
      <c r="J9" t="s">
        <v>116</v>
      </c>
      <c r="K9" t="s">
        <v>56</v>
      </c>
      <c r="L9">
        <v>3</v>
      </c>
      <c r="N9">
        <v>1</v>
      </c>
      <c r="O9" t="s">
        <v>68</v>
      </c>
      <c r="P9" t="s">
        <v>122</v>
      </c>
      <c r="Q9" t="s">
        <v>123</v>
      </c>
      <c r="R9" t="s">
        <v>125</v>
      </c>
      <c r="S9" t="s">
        <v>33</v>
      </c>
      <c r="T9">
        <v>1</v>
      </c>
      <c r="V9">
        <v>3</v>
      </c>
      <c r="W9" t="s">
        <v>65</v>
      </c>
      <c r="AA9" t="s">
        <v>63</v>
      </c>
      <c r="AB9">
        <v>2</v>
      </c>
      <c r="AD9">
        <v>2</v>
      </c>
      <c r="AE9" t="s">
        <v>145</v>
      </c>
      <c r="AF9" t="s">
        <v>91</v>
      </c>
      <c r="AG9" t="s">
        <v>147</v>
      </c>
      <c r="AH9" t="s">
        <v>149</v>
      </c>
      <c r="AI9">
        <v>0</v>
      </c>
      <c r="AJ9">
        <v>22</v>
      </c>
    </row>
    <row r="10" spans="1:36" x14ac:dyDescent="0.25">
      <c r="A10" s="36" t="s">
        <v>611</v>
      </c>
      <c r="B10">
        <v>8</v>
      </c>
      <c r="C10" t="s">
        <v>53</v>
      </c>
      <c r="D10">
        <v>2</v>
      </c>
      <c r="E10">
        <v>1</v>
      </c>
      <c r="F10">
        <v>1</v>
      </c>
      <c r="G10" t="s">
        <v>111</v>
      </c>
      <c r="H10" t="s">
        <v>83</v>
      </c>
      <c r="I10" t="s">
        <v>114</v>
      </c>
      <c r="K10" t="s">
        <v>56</v>
      </c>
      <c r="L10">
        <v>1</v>
      </c>
      <c r="N10">
        <v>1</v>
      </c>
      <c r="O10" t="s">
        <v>57</v>
      </c>
      <c r="P10" t="s">
        <v>121</v>
      </c>
      <c r="Q10" t="s">
        <v>85</v>
      </c>
      <c r="S10" t="s">
        <v>33</v>
      </c>
      <c r="T10">
        <v>2</v>
      </c>
      <c r="V10">
        <v>2</v>
      </c>
      <c r="W10" t="s">
        <v>46</v>
      </c>
      <c r="AA10" t="s">
        <v>38</v>
      </c>
      <c r="AB10">
        <v>1</v>
      </c>
      <c r="AC10">
        <v>1</v>
      </c>
      <c r="AD10">
        <v>1</v>
      </c>
      <c r="AE10" t="s">
        <v>152</v>
      </c>
      <c r="AF10" t="s">
        <v>96</v>
      </c>
      <c r="AG10" t="s">
        <v>154</v>
      </c>
      <c r="AH10" t="s">
        <v>42</v>
      </c>
      <c r="AI10">
        <v>0</v>
      </c>
      <c r="AJ10">
        <v>14</v>
      </c>
    </row>
    <row r="11" spans="1:36" x14ac:dyDescent="0.25">
      <c r="A11" t="s">
        <v>612</v>
      </c>
      <c r="B11">
        <v>9</v>
      </c>
      <c r="C11" t="s">
        <v>53</v>
      </c>
      <c r="D11">
        <v>1</v>
      </c>
      <c r="E11">
        <v>2</v>
      </c>
      <c r="F11">
        <v>3</v>
      </c>
      <c r="G11" t="s">
        <v>112</v>
      </c>
      <c r="H11" t="s">
        <v>55</v>
      </c>
      <c r="I11" t="s">
        <v>97</v>
      </c>
      <c r="K11" t="s">
        <v>56</v>
      </c>
      <c r="L11">
        <v>2</v>
      </c>
      <c r="N11">
        <v>3</v>
      </c>
      <c r="O11" t="s">
        <v>120</v>
      </c>
      <c r="P11" t="s">
        <v>69</v>
      </c>
      <c r="Q11" t="s">
        <v>87</v>
      </c>
      <c r="S11" t="s">
        <v>43</v>
      </c>
      <c r="T11">
        <v>1</v>
      </c>
      <c r="V11">
        <v>1</v>
      </c>
      <c r="W11" t="s">
        <v>73</v>
      </c>
      <c r="X11" t="s">
        <v>99</v>
      </c>
      <c r="Y11" t="s">
        <v>75</v>
      </c>
      <c r="AA11" t="s">
        <v>45</v>
      </c>
      <c r="AB11">
        <v>3</v>
      </c>
      <c r="AD11">
        <v>1</v>
      </c>
      <c r="AE11" t="s">
        <v>140</v>
      </c>
      <c r="AF11" t="s">
        <v>141</v>
      </c>
      <c r="AG11" t="s">
        <v>102</v>
      </c>
      <c r="AH11" t="s">
        <v>94</v>
      </c>
      <c r="AI11">
        <v>0</v>
      </c>
      <c r="AJ11">
        <v>21</v>
      </c>
    </row>
    <row r="12" spans="1:36" x14ac:dyDescent="0.25">
      <c r="A12" t="s">
        <v>613</v>
      </c>
      <c r="B12">
        <v>10</v>
      </c>
      <c r="C12" t="s">
        <v>43</v>
      </c>
      <c r="D12">
        <v>3</v>
      </c>
      <c r="F12">
        <v>2</v>
      </c>
      <c r="G12" t="s">
        <v>44</v>
      </c>
      <c r="H12" t="s">
        <v>99</v>
      </c>
      <c r="I12" t="s">
        <v>75</v>
      </c>
      <c r="J12" t="s">
        <v>138</v>
      </c>
      <c r="K12" t="s">
        <v>63</v>
      </c>
      <c r="L12">
        <v>3</v>
      </c>
      <c r="N12">
        <v>2</v>
      </c>
      <c r="O12" t="s">
        <v>103</v>
      </c>
      <c r="P12" t="s">
        <v>95</v>
      </c>
      <c r="Q12" t="s">
        <v>148</v>
      </c>
      <c r="R12" t="s">
        <v>151</v>
      </c>
      <c r="S12" t="s">
        <v>53</v>
      </c>
      <c r="T12">
        <v>3</v>
      </c>
      <c r="U12">
        <v>2</v>
      </c>
      <c r="V12">
        <v>1</v>
      </c>
      <c r="W12" t="s">
        <v>112</v>
      </c>
      <c r="X12" t="s">
        <v>55</v>
      </c>
      <c r="Y12" t="s">
        <v>105</v>
      </c>
      <c r="Z12" t="s">
        <v>98</v>
      </c>
      <c r="AA12" t="s">
        <v>56</v>
      </c>
      <c r="AB12">
        <v>2</v>
      </c>
      <c r="AD12">
        <v>1</v>
      </c>
      <c r="AE12" t="s">
        <v>120</v>
      </c>
      <c r="AI12">
        <v>0</v>
      </c>
      <c r="AJ12">
        <v>24</v>
      </c>
    </row>
    <row r="13" spans="1:36" x14ac:dyDescent="0.25">
      <c r="A13" t="s">
        <v>614</v>
      </c>
      <c r="B13">
        <v>11</v>
      </c>
      <c r="C13" t="s">
        <v>53</v>
      </c>
      <c r="D13">
        <v>2</v>
      </c>
      <c r="E13">
        <v>3</v>
      </c>
      <c r="F13">
        <v>3</v>
      </c>
      <c r="G13" t="s">
        <v>112</v>
      </c>
      <c r="H13" t="s">
        <v>55</v>
      </c>
      <c r="I13" t="s">
        <v>97</v>
      </c>
      <c r="J13" t="s">
        <v>115</v>
      </c>
      <c r="K13" t="s">
        <v>56</v>
      </c>
      <c r="L13">
        <v>3</v>
      </c>
      <c r="N13">
        <v>2</v>
      </c>
      <c r="O13" t="s">
        <v>120</v>
      </c>
      <c r="P13" t="s">
        <v>121</v>
      </c>
      <c r="Q13" t="s">
        <v>87</v>
      </c>
      <c r="S13" t="s">
        <v>43</v>
      </c>
      <c r="T13">
        <v>2</v>
      </c>
      <c r="V13">
        <v>1</v>
      </c>
      <c r="W13" t="s">
        <v>73</v>
      </c>
      <c r="X13" t="s">
        <v>99</v>
      </c>
      <c r="Y13" t="s">
        <v>137</v>
      </c>
      <c r="Z13" t="s">
        <v>101</v>
      </c>
      <c r="AA13" t="s">
        <v>38</v>
      </c>
      <c r="AB13">
        <v>3</v>
      </c>
      <c r="AC13">
        <v>3</v>
      </c>
      <c r="AD13">
        <v>1</v>
      </c>
      <c r="AE13" t="s">
        <v>152</v>
      </c>
      <c r="AF13" t="s">
        <v>40</v>
      </c>
      <c r="AG13" t="s">
        <v>153</v>
      </c>
      <c r="AH13" t="s">
        <v>155</v>
      </c>
      <c r="AI13">
        <v>0</v>
      </c>
      <c r="AJ13">
        <v>29</v>
      </c>
    </row>
    <row r="14" spans="1:36" x14ac:dyDescent="0.25">
      <c r="A14" t="s">
        <v>615</v>
      </c>
      <c r="B14">
        <v>12</v>
      </c>
      <c r="C14" t="s">
        <v>45</v>
      </c>
      <c r="D14">
        <v>3</v>
      </c>
      <c r="F14">
        <v>1</v>
      </c>
      <c r="G14" t="s">
        <v>86</v>
      </c>
      <c r="K14" t="s">
        <v>63</v>
      </c>
      <c r="L14">
        <v>1</v>
      </c>
      <c r="N14">
        <v>1</v>
      </c>
      <c r="O14" t="s">
        <v>103</v>
      </c>
      <c r="P14" t="s">
        <v>95</v>
      </c>
      <c r="Q14" t="s">
        <v>104</v>
      </c>
      <c r="R14" t="s">
        <v>149</v>
      </c>
      <c r="S14" t="s">
        <v>53</v>
      </c>
      <c r="T14">
        <v>1</v>
      </c>
      <c r="U14">
        <v>1</v>
      </c>
      <c r="V14">
        <v>2</v>
      </c>
      <c r="W14" t="s">
        <v>111</v>
      </c>
      <c r="X14" t="s">
        <v>83</v>
      </c>
      <c r="AA14" t="s">
        <v>56</v>
      </c>
      <c r="AB14">
        <v>2</v>
      </c>
      <c r="AD14">
        <v>1</v>
      </c>
      <c r="AE14" t="s">
        <v>57</v>
      </c>
      <c r="AF14" t="s">
        <v>122</v>
      </c>
      <c r="AG14" t="s">
        <v>85</v>
      </c>
      <c r="AI14">
        <v>0</v>
      </c>
      <c r="AJ14">
        <v>16</v>
      </c>
    </row>
    <row r="15" spans="1:36" x14ac:dyDescent="0.25">
      <c r="A15" s="36" t="s">
        <v>616</v>
      </c>
      <c r="B15">
        <v>13</v>
      </c>
      <c r="C15" t="s">
        <v>53</v>
      </c>
      <c r="D15">
        <v>3</v>
      </c>
      <c r="E15">
        <v>3</v>
      </c>
      <c r="F15">
        <v>3</v>
      </c>
      <c r="G15" t="s">
        <v>112</v>
      </c>
      <c r="H15" t="s">
        <v>55</v>
      </c>
      <c r="I15" t="s">
        <v>97</v>
      </c>
      <c r="J15" t="s">
        <v>98</v>
      </c>
      <c r="K15" t="s">
        <v>56</v>
      </c>
      <c r="L15">
        <v>1</v>
      </c>
      <c r="N15">
        <v>2</v>
      </c>
      <c r="O15" t="s">
        <v>57</v>
      </c>
      <c r="S15" t="s">
        <v>45</v>
      </c>
      <c r="T15">
        <v>3</v>
      </c>
      <c r="V15">
        <v>1</v>
      </c>
      <c r="W15" t="s">
        <v>86</v>
      </c>
      <c r="X15" t="s">
        <v>141</v>
      </c>
      <c r="Y15" t="s">
        <v>93</v>
      </c>
      <c r="AA15" t="s">
        <v>38</v>
      </c>
      <c r="AB15">
        <v>3</v>
      </c>
      <c r="AC15">
        <v>3</v>
      </c>
      <c r="AD15">
        <v>3</v>
      </c>
      <c r="AE15" t="s">
        <v>152</v>
      </c>
      <c r="AF15" t="s">
        <v>40</v>
      </c>
      <c r="AG15" t="s">
        <v>154</v>
      </c>
      <c r="AH15" t="s">
        <v>155</v>
      </c>
      <c r="AI15">
        <v>0</v>
      </c>
      <c r="AJ15">
        <v>29</v>
      </c>
    </row>
    <row r="16" spans="1:36" x14ac:dyDescent="0.25">
      <c r="A16" t="s">
        <v>617</v>
      </c>
      <c r="B16">
        <v>14</v>
      </c>
      <c r="C16" t="s">
        <v>53</v>
      </c>
      <c r="D16">
        <v>2</v>
      </c>
      <c r="E16">
        <v>1</v>
      </c>
      <c r="F16">
        <v>1</v>
      </c>
      <c r="G16" t="s">
        <v>111</v>
      </c>
      <c r="H16" t="s">
        <v>83</v>
      </c>
      <c r="K16" t="s">
        <v>56</v>
      </c>
      <c r="L16">
        <v>3</v>
      </c>
      <c r="N16">
        <v>1</v>
      </c>
      <c r="O16" t="s">
        <v>57</v>
      </c>
      <c r="P16" t="s">
        <v>122</v>
      </c>
      <c r="S16" t="s">
        <v>63</v>
      </c>
      <c r="T16">
        <v>1</v>
      </c>
      <c r="V16">
        <v>1</v>
      </c>
      <c r="W16" t="s">
        <v>103</v>
      </c>
      <c r="X16" t="s">
        <v>95</v>
      </c>
      <c r="AA16" t="s">
        <v>38</v>
      </c>
      <c r="AB16">
        <v>3</v>
      </c>
      <c r="AC16">
        <v>2</v>
      </c>
      <c r="AD16">
        <v>1</v>
      </c>
      <c r="AE16" t="s">
        <v>152</v>
      </c>
      <c r="AI16">
        <v>0</v>
      </c>
      <c r="AJ16">
        <v>13</v>
      </c>
    </row>
    <row r="17" spans="1:36" x14ac:dyDescent="0.25">
      <c r="A17" t="s">
        <v>618</v>
      </c>
      <c r="B17">
        <v>15</v>
      </c>
      <c r="C17" t="s">
        <v>56</v>
      </c>
      <c r="D17">
        <v>3</v>
      </c>
      <c r="F17">
        <v>1</v>
      </c>
      <c r="G17" t="s">
        <v>57</v>
      </c>
      <c r="H17" t="s">
        <v>122</v>
      </c>
      <c r="K17" t="s">
        <v>33</v>
      </c>
      <c r="L17">
        <v>1</v>
      </c>
      <c r="N17">
        <v>1</v>
      </c>
      <c r="O17" t="s">
        <v>65</v>
      </c>
      <c r="P17" t="s">
        <v>130</v>
      </c>
      <c r="Q17" t="s">
        <v>36</v>
      </c>
      <c r="R17" t="s">
        <v>134</v>
      </c>
      <c r="S17" t="s">
        <v>53</v>
      </c>
      <c r="T17">
        <v>1</v>
      </c>
      <c r="U17">
        <v>1</v>
      </c>
      <c r="V17">
        <v>2</v>
      </c>
      <c r="W17" t="s">
        <v>112</v>
      </c>
      <c r="X17" t="s">
        <v>113</v>
      </c>
      <c r="AA17" t="s">
        <v>48</v>
      </c>
      <c r="AB17">
        <v>2</v>
      </c>
      <c r="AD17">
        <v>1</v>
      </c>
      <c r="AE17" t="s">
        <v>126</v>
      </c>
      <c r="AF17" t="s">
        <v>71</v>
      </c>
      <c r="AG17" t="s">
        <v>127</v>
      </c>
      <c r="AI17">
        <v>0</v>
      </c>
      <c r="AJ17">
        <v>15</v>
      </c>
    </row>
    <row r="18" spans="1:36" x14ac:dyDescent="0.25">
      <c r="A18" t="s">
        <v>619</v>
      </c>
      <c r="B18">
        <v>16</v>
      </c>
      <c r="C18" t="s">
        <v>56</v>
      </c>
      <c r="D18">
        <v>3</v>
      </c>
      <c r="F18">
        <v>1</v>
      </c>
      <c r="G18" t="s">
        <v>120</v>
      </c>
      <c r="H18" t="s">
        <v>121</v>
      </c>
      <c r="I18" t="s">
        <v>123</v>
      </c>
      <c r="K18" t="s">
        <v>43</v>
      </c>
      <c r="L18">
        <v>3</v>
      </c>
      <c r="N18">
        <v>3</v>
      </c>
      <c r="O18" t="s">
        <v>44</v>
      </c>
      <c r="P18" t="s">
        <v>99</v>
      </c>
      <c r="Q18" t="s">
        <v>75</v>
      </c>
      <c r="R18" t="s">
        <v>139</v>
      </c>
      <c r="S18" t="s">
        <v>53</v>
      </c>
      <c r="T18">
        <v>1</v>
      </c>
      <c r="U18">
        <v>3</v>
      </c>
      <c r="V18">
        <v>3</v>
      </c>
      <c r="W18" t="s">
        <v>112</v>
      </c>
      <c r="X18" t="s">
        <v>55</v>
      </c>
      <c r="Y18" t="s">
        <v>105</v>
      </c>
      <c r="AA18" t="s">
        <v>48</v>
      </c>
      <c r="AB18">
        <v>1</v>
      </c>
      <c r="AD18">
        <v>1</v>
      </c>
      <c r="AE18" t="s">
        <v>126</v>
      </c>
      <c r="AF18" t="s">
        <v>84</v>
      </c>
      <c r="AI18">
        <v>0</v>
      </c>
      <c r="AJ18">
        <v>22</v>
      </c>
    </row>
    <row r="19" spans="1:36" x14ac:dyDescent="0.25">
      <c r="A19" t="s">
        <v>620</v>
      </c>
      <c r="B19">
        <v>17</v>
      </c>
      <c r="C19" t="s">
        <v>56</v>
      </c>
      <c r="D19">
        <v>3</v>
      </c>
      <c r="F19">
        <v>1</v>
      </c>
      <c r="G19" t="s">
        <v>120</v>
      </c>
      <c r="H19" t="s">
        <v>122</v>
      </c>
      <c r="K19" t="s">
        <v>45</v>
      </c>
      <c r="L19">
        <v>3</v>
      </c>
      <c r="N19">
        <v>1</v>
      </c>
      <c r="O19" t="s">
        <v>86</v>
      </c>
      <c r="P19" t="s">
        <v>76</v>
      </c>
      <c r="S19" t="s">
        <v>53</v>
      </c>
      <c r="T19">
        <v>1</v>
      </c>
      <c r="U19">
        <v>1</v>
      </c>
      <c r="V19">
        <v>1</v>
      </c>
      <c r="W19" t="s">
        <v>112</v>
      </c>
      <c r="X19" t="s">
        <v>55</v>
      </c>
      <c r="Y19" t="s">
        <v>97</v>
      </c>
      <c r="AA19" t="s">
        <v>48</v>
      </c>
      <c r="AB19">
        <v>1</v>
      </c>
      <c r="AD19">
        <v>1</v>
      </c>
      <c r="AE19" t="s">
        <v>126</v>
      </c>
      <c r="AF19" t="s">
        <v>84</v>
      </c>
      <c r="AG19" t="s">
        <v>127</v>
      </c>
      <c r="AH19" t="s">
        <v>52</v>
      </c>
      <c r="AI19">
        <v>0</v>
      </c>
      <c r="AJ19">
        <v>16</v>
      </c>
    </row>
    <row r="20" spans="1:36" x14ac:dyDescent="0.25">
      <c r="A20" t="s">
        <v>621</v>
      </c>
      <c r="B20">
        <v>18</v>
      </c>
      <c r="C20" t="s">
        <v>56</v>
      </c>
      <c r="D20">
        <v>3</v>
      </c>
      <c r="F20">
        <v>1</v>
      </c>
      <c r="G20" t="s">
        <v>57</v>
      </c>
      <c r="H20" t="s">
        <v>122</v>
      </c>
      <c r="I20" t="s">
        <v>87</v>
      </c>
      <c r="K20" t="s">
        <v>63</v>
      </c>
      <c r="L20">
        <v>1</v>
      </c>
      <c r="N20">
        <v>1</v>
      </c>
      <c r="O20" t="s">
        <v>72</v>
      </c>
      <c r="P20" t="s">
        <v>95</v>
      </c>
      <c r="Q20" t="s">
        <v>148</v>
      </c>
      <c r="R20" t="s">
        <v>151</v>
      </c>
      <c r="S20" t="s">
        <v>53</v>
      </c>
      <c r="T20">
        <v>1</v>
      </c>
      <c r="U20">
        <v>1</v>
      </c>
      <c r="V20">
        <v>2</v>
      </c>
      <c r="W20" t="s">
        <v>111</v>
      </c>
      <c r="X20" t="s">
        <v>113</v>
      </c>
      <c r="AA20" t="s">
        <v>48</v>
      </c>
      <c r="AB20">
        <v>2</v>
      </c>
      <c r="AD20">
        <v>1</v>
      </c>
      <c r="AE20" t="s">
        <v>89</v>
      </c>
      <c r="AF20" t="s">
        <v>50</v>
      </c>
      <c r="AG20" t="s">
        <v>127</v>
      </c>
      <c r="AH20" t="s">
        <v>52</v>
      </c>
      <c r="AI20">
        <v>0</v>
      </c>
      <c r="AJ20">
        <v>17</v>
      </c>
    </row>
    <row r="21" spans="1:36" x14ac:dyDescent="0.25">
      <c r="A21" t="s">
        <v>622</v>
      </c>
      <c r="B21">
        <v>19</v>
      </c>
      <c r="C21" t="s">
        <v>53</v>
      </c>
      <c r="D21">
        <v>3</v>
      </c>
      <c r="E21">
        <v>1</v>
      </c>
      <c r="F21">
        <v>3</v>
      </c>
      <c r="G21" t="s">
        <v>111</v>
      </c>
      <c r="H21" t="s">
        <v>83</v>
      </c>
      <c r="I21" t="s">
        <v>105</v>
      </c>
      <c r="K21" t="s">
        <v>48</v>
      </c>
      <c r="L21">
        <v>3</v>
      </c>
      <c r="N21">
        <v>1</v>
      </c>
      <c r="O21" t="s">
        <v>89</v>
      </c>
      <c r="P21" t="s">
        <v>84</v>
      </c>
      <c r="Q21" t="s">
        <v>90</v>
      </c>
      <c r="R21" t="s">
        <v>129</v>
      </c>
      <c r="S21" t="s">
        <v>56</v>
      </c>
      <c r="T21">
        <v>3</v>
      </c>
      <c r="V21">
        <v>1</v>
      </c>
      <c r="W21" t="s">
        <v>57</v>
      </c>
      <c r="X21" t="s">
        <v>122</v>
      </c>
      <c r="AA21" t="s">
        <v>38</v>
      </c>
      <c r="AB21">
        <v>3</v>
      </c>
      <c r="AC21">
        <v>1</v>
      </c>
      <c r="AD21">
        <v>3</v>
      </c>
      <c r="AE21" t="s">
        <v>39</v>
      </c>
      <c r="AF21" t="s">
        <v>96</v>
      </c>
      <c r="AG21" t="s">
        <v>41</v>
      </c>
      <c r="AH21" t="s">
        <v>42</v>
      </c>
      <c r="AI21">
        <v>0</v>
      </c>
      <c r="AJ21">
        <v>27</v>
      </c>
    </row>
    <row r="22" spans="1:36" x14ac:dyDescent="0.25">
      <c r="A22" t="s">
        <v>623</v>
      </c>
      <c r="B22">
        <v>20</v>
      </c>
      <c r="C22" t="s">
        <v>53</v>
      </c>
      <c r="D22">
        <v>2</v>
      </c>
      <c r="E22">
        <v>2</v>
      </c>
      <c r="F22">
        <v>1</v>
      </c>
      <c r="G22" t="s">
        <v>112</v>
      </c>
      <c r="H22" t="s">
        <v>113</v>
      </c>
      <c r="I22" t="s">
        <v>114</v>
      </c>
      <c r="J22" t="s">
        <v>116</v>
      </c>
      <c r="K22" t="s">
        <v>48</v>
      </c>
      <c r="L22">
        <v>2</v>
      </c>
      <c r="N22">
        <v>1</v>
      </c>
      <c r="O22" t="s">
        <v>126</v>
      </c>
      <c r="P22" t="s">
        <v>50</v>
      </c>
      <c r="Q22" t="s">
        <v>51</v>
      </c>
      <c r="R22" t="s">
        <v>129</v>
      </c>
      <c r="S22" t="s">
        <v>33</v>
      </c>
      <c r="T22">
        <v>2</v>
      </c>
      <c r="V22">
        <v>2</v>
      </c>
      <c r="W22" t="s">
        <v>46</v>
      </c>
      <c r="X22" t="s">
        <v>130</v>
      </c>
      <c r="AA22" t="s">
        <v>43</v>
      </c>
      <c r="AB22">
        <v>3</v>
      </c>
      <c r="AD22">
        <v>1</v>
      </c>
      <c r="AE22" t="s">
        <v>135</v>
      </c>
      <c r="AF22" t="s">
        <v>74</v>
      </c>
      <c r="AG22" t="s">
        <v>75</v>
      </c>
      <c r="AI22">
        <v>0</v>
      </c>
      <c r="AJ22">
        <v>20</v>
      </c>
    </row>
    <row r="23" spans="1:36" x14ac:dyDescent="0.25">
      <c r="A23" t="s">
        <v>624</v>
      </c>
      <c r="B23">
        <v>21</v>
      </c>
      <c r="C23" t="s">
        <v>33</v>
      </c>
      <c r="D23">
        <v>2</v>
      </c>
      <c r="F23">
        <v>1</v>
      </c>
      <c r="G23" t="s">
        <v>65</v>
      </c>
      <c r="H23" t="s">
        <v>130</v>
      </c>
      <c r="I23" t="s">
        <v>36</v>
      </c>
      <c r="J23" t="s">
        <v>133</v>
      </c>
      <c r="K23" t="s">
        <v>45</v>
      </c>
      <c r="L23">
        <v>3</v>
      </c>
      <c r="N23">
        <v>1</v>
      </c>
      <c r="O23" t="s">
        <v>140</v>
      </c>
      <c r="P23" t="s">
        <v>141</v>
      </c>
      <c r="Q23" t="s">
        <v>93</v>
      </c>
      <c r="R23" t="s">
        <v>94</v>
      </c>
      <c r="S23" t="s">
        <v>53</v>
      </c>
      <c r="T23">
        <v>1</v>
      </c>
      <c r="U23">
        <v>1</v>
      </c>
      <c r="V23">
        <v>2</v>
      </c>
      <c r="W23" t="s">
        <v>112</v>
      </c>
      <c r="X23" t="s">
        <v>113</v>
      </c>
      <c r="AA23" t="s">
        <v>48</v>
      </c>
      <c r="AB23">
        <v>1</v>
      </c>
      <c r="AD23">
        <v>2</v>
      </c>
      <c r="AE23" t="s">
        <v>126</v>
      </c>
      <c r="AF23" t="s">
        <v>50</v>
      </c>
      <c r="AG23" t="s">
        <v>127</v>
      </c>
      <c r="AH23" t="s">
        <v>129</v>
      </c>
      <c r="AI23">
        <v>0</v>
      </c>
      <c r="AJ23">
        <v>19</v>
      </c>
    </row>
    <row r="24" spans="1:36" x14ac:dyDescent="0.25">
      <c r="A24" t="s">
        <v>625</v>
      </c>
      <c r="B24">
        <v>22</v>
      </c>
      <c r="C24" t="s">
        <v>33</v>
      </c>
      <c r="D24">
        <v>1</v>
      </c>
      <c r="F24">
        <v>2</v>
      </c>
      <c r="G24" t="s">
        <v>65</v>
      </c>
      <c r="H24" t="s">
        <v>66</v>
      </c>
      <c r="K24" t="s">
        <v>63</v>
      </c>
      <c r="L24">
        <v>1</v>
      </c>
      <c r="N24">
        <v>1</v>
      </c>
      <c r="O24" t="s">
        <v>145</v>
      </c>
      <c r="P24" t="s">
        <v>95</v>
      </c>
      <c r="Q24" t="s">
        <v>147</v>
      </c>
      <c r="R24" t="s">
        <v>149</v>
      </c>
      <c r="S24" t="s">
        <v>53</v>
      </c>
      <c r="T24">
        <v>1</v>
      </c>
      <c r="U24">
        <v>3</v>
      </c>
      <c r="V24">
        <v>1</v>
      </c>
      <c r="W24" t="s">
        <v>111</v>
      </c>
      <c r="X24" t="s">
        <v>113</v>
      </c>
      <c r="Y24" t="s">
        <v>105</v>
      </c>
      <c r="AA24" t="s">
        <v>48</v>
      </c>
      <c r="AB24">
        <v>2</v>
      </c>
      <c r="AD24">
        <v>1</v>
      </c>
      <c r="AE24" t="s">
        <v>89</v>
      </c>
      <c r="AI24">
        <v>0</v>
      </c>
      <c r="AJ24">
        <v>15</v>
      </c>
    </row>
    <row r="25" spans="1:36" x14ac:dyDescent="0.25">
      <c r="A25" t="s">
        <v>626</v>
      </c>
      <c r="B25">
        <v>23</v>
      </c>
      <c r="C25" t="s">
        <v>53</v>
      </c>
      <c r="D25">
        <v>1</v>
      </c>
      <c r="E25">
        <v>1</v>
      </c>
      <c r="F25">
        <v>2</v>
      </c>
      <c r="G25" t="s">
        <v>111</v>
      </c>
      <c r="H25" t="s">
        <v>83</v>
      </c>
      <c r="I25" t="s">
        <v>105</v>
      </c>
      <c r="K25" t="s">
        <v>48</v>
      </c>
      <c r="L25">
        <v>1</v>
      </c>
      <c r="N25">
        <v>1</v>
      </c>
      <c r="O25" t="s">
        <v>89</v>
      </c>
      <c r="P25" t="s">
        <v>71</v>
      </c>
      <c r="Q25" t="s">
        <v>51</v>
      </c>
      <c r="S25" t="s">
        <v>33</v>
      </c>
      <c r="T25">
        <v>1</v>
      </c>
      <c r="V25">
        <v>3</v>
      </c>
      <c r="W25" t="s">
        <v>34</v>
      </c>
      <c r="AA25" t="s">
        <v>38</v>
      </c>
      <c r="AB25">
        <v>3</v>
      </c>
      <c r="AC25">
        <v>1</v>
      </c>
      <c r="AD25">
        <v>1</v>
      </c>
      <c r="AE25" t="s">
        <v>152</v>
      </c>
      <c r="AF25" t="s">
        <v>96</v>
      </c>
      <c r="AG25" t="s">
        <v>41</v>
      </c>
      <c r="AI25">
        <v>0</v>
      </c>
      <c r="AJ25">
        <v>16</v>
      </c>
    </row>
    <row r="26" spans="1:36" x14ac:dyDescent="0.25">
      <c r="A26" t="s">
        <v>627</v>
      </c>
      <c r="B26">
        <v>24</v>
      </c>
      <c r="C26" t="s">
        <v>43</v>
      </c>
      <c r="D26">
        <v>3</v>
      </c>
      <c r="F26">
        <v>3</v>
      </c>
      <c r="G26" t="s">
        <v>44</v>
      </c>
      <c r="H26" t="s">
        <v>99</v>
      </c>
      <c r="I26" t="s">
        <v>75</v>
      </c>
      <c r="J26" t="s">
        <v>138</v>
      </c>
      <c r="K26" t="s">
        <v>45</v>
      </c>
      <c r="L26">
        <v>3</v>
      </c>
      <c r="N26">
        <v>3</v>
      </c>
      <c r="O26" t="s">
        <v>140</v>
      </c>
      <c r="P26" t="s">
        <v>141</v>
      </c>
      <c r="Q26" t="s">
        <v>93</v>
      </c>
      <c r="R26" t="s">
        <v>94</v>
      </c>
      <c r="S26" t="s">
        <v>53</v>
      </c>
      <c r="T26">
        <v>1</v>
      </c>
      <c r="U26">
        <v>3</v>
      </c>
      <c r="V26">
        <v>3</v>
      </c>
      <c r="W26" t="s">
        <v>112</v>
      </c>
      <c r="X26" t="s">
        <v>55</v>
      </c>
      <c r="Y26" t="s">
        <v>97</v>
      </c>
      <c r="AA26" t="s">
        <v>48</v>
      </c>
      <c r="AB26">
        <v>1</v>
      </c>
      <c r="AD26">
        <v>2</v>
      </c>
      <c r="AE26" t="s">
        <v>126</v>
      </c>
      <c r="AI26">
        <v>0</v>
      </c>
      <c r="AJ26">
        <v>25</v>
      </c>
    </row>
    <row r="27" spans="1:36" x14ac:dyDescent="0.25">
      <c r="A27" t="s">
        <v>628</v>
      </c>
      <c r="B27">
        <v>25</v>
      </c>
      <c r="C27" t="s">
        <v>43</v>
      </c>
      <c r="D27">
        <v>2</v>
      </c>
      <c r="F27">
        <v>2</v>
      </c>
      <c r="G27" t="s">
        <v>44</v>
      </c>
      <c r="H27" t="s">
        <v>99</v>
      </c>
      <c r="K27" t="s">
        <v>63</v>
      </c>
      <c r="L27">
        <v>1</v>
      </c>
      <c r="N27">
        <v>1</v>
      </c>
      <c r="O27" t="s">
        <v>145</v>
      </c>
      <c r="P27" t="s">
        <v>95</v>
      </c>
      <c r="Q27" t="s">
        <v>147</v>
      </c>
      <c r="S27" t="s">
        <v>53</v>
      </c>
      <c r="T27">
        <v>1</v>
      </c>
      <c r="U27">
        <v>1</v>
      </c>
      <c r="V27">
        <v>1</v>
      </c>
      <c r="W27" t="s">
        <v>111</v>
      </c>
      <c r="X27" t="s">
        <v>83</v>
      </c>
      <c r="Y27" t="s">
        <v>105</v>
      </c>
      <c r="Z27" t="s">
        <v>98</v>
      </c>
      <c r="AA27" t="s">
        <v>48</v>
      </c>
      <c r="AB27">
        <v>1</v>
      </c>
      <c r="AD27">
        <v>1</v>
      </c>
      <c r="AE27" t="s">
        <v>89</v>
      </c>
      <c r="AF27" t="s">
        <v>50</v>
      </c>
      <c r="AI27">
        <v>0</v>
      </c>
      <c r="AJ27">
        <v>14</v>
      </c>
    </row>
    <row r="28" spans="1:36" x14ac:dyDescent="0.25">
      <c r="A28" t="s">
        <v>629</v>
      </c>
      <c r="B28">
        <v>26</v>
      </c>
      <c r="C28" t="s">
        <v>53</v>
      </c>
      <c r="D28">
        <v>2</v>
      </c>
      <c r="E28">
        <v>1</v>
      </c>
      <c r="F28">
        <v>2</v>
      </c>
      <c r="G28" t="s">
        <v>112</v>
      </c>
      <c r="H28" t="s">
        <v>55</v>
      </c>
      <c r="I28" t="s">
        <v>105</v>
      </c>
      <c r="J28" t="s">
        <v>116</v>
      </c>
      <c r="K28" t="s">
        <v>48</v>
      </c>
      <c r="L28">
        <v>2</v>
      </c>
      <c r="N28">
        <v>2</v>
      </c>
      <c r="O28" t="s">
        <v>126</v>
      </c>
      <c r="P28" t="s">
        <v>84</v>
      </c>
      <c r="Q28" t="s">
        <v>90</v>
      </c>
      <c r="R28" t="s">
        <v>128</v>
      </c>
      <c r="S28" t="s">
        <v>43</v>
      </c>
      <c r="T28">
        <v>3</v>
      </c>
      <c r="V28">
        <v>2</v>
      </c>
      <c r="W28" t="s">
        <v>44</v>
      </c>
      <c r="X28" t="s">
        <v>136</v>
      </c>
      <c r="Y28" t="s">
        <v>100</v>
      </c>
      <c r="AA28" t="s">
        <v>38</v>
      </c>
      <c r="AB28">
        <v>3</v>
      </c>
      <c r="AC28">
        <v>2</v>
      </c>
      <c r="AD28">
        <v>2</v>
      </c>
      <c r="AE28" t="s">
        <v>67</v>
      </c>
      <c r="AF28" t="s">
        <v>40</v>
      </c>
      <c r="AI28">
        <v>0</v>
      </c>
      <c r="AJ28">
        <v>26</v>
      </c>
    </row>
    <row r="29" spans="1:36" x14ac:dyDescent="0.25">
      <c r="A29" t="s">
        <v>630</v>
      </c>
      <c r="B29">
        <v>27</v>
      </c>
      <c r="C29" t="s">
        <v>45</v>
      </c>
      <c r="D29">
        <v>2</v>
      </c>
      <c r="F29">
        <v>1</v>
      </c>
      <c r="G29" t="s">
        <v>86</v>
      </c>
      <c r="H29" t="s">
        <v>76</v>
      </c>
      <c r="K29" t="s">
        <v>63</v>
      </c>
      <c r="L29">
        <v>1</v>
      </c>
      <c r="N29">
        <v>1</v>
      </c>
      <c r="O29" t="s">
        <v>145</v>
      </c>
      <c r="P29" t="s">
        <v>95</v>
      </c>
      <c r="Q29" t="s">
        <v>147</v>
      </c>
      <c r="R29" t="s">
        <v>149</v>
      </c>
      <c r="S29" t="s">
        <v>53</v>
      </c>
      <c r="T29">
        <v>2</v>
      </c>
      <c r="U29">
        <v>1</v>
      </c>
      <c r="V29">
        <v>1</v>
      </c>
      <c r="W29" t="s">
        <v>111</v>
      </c>
      <c r="X29" t="s">
        <v>83</v>
      </c>
      <c r="Y29" t="s">
        <v>105</v>
      </c>
      <c r="AA29" t="s">
        <v>48</v>
      </c>
      <c r="AB29">
        <v>1</v>
      </c>
      <c r="AD29">
        <v>1</v>
      </c>
      <c r="AE29" t="s">
        <v>89</v>
      </c>
      <c r="AF29" t="s">
        <v>50</v>
      </c>
      <c r="AI29">
        <v>0</v>
      </c>
      <c r="AJ29">
        <v>15</v>
      </c>
    </row>
    <row r="30" spans="1:36" x14ac:dyDescent="0.25">
      <c r="A30" t="s">
        <v>631</v>
      </c>
      <c r="B30">
        <v>28</v>
      </c>
      <c r="C30" t="s">
        <v>53</v>
      </c>
      <c r="D30">
        <v>2</v>
      </c>
      <c r="E30">
        <v>2</v>
      </c>
      <c r="F30">
        <v>3</v>
      </c>
      <c r="G30" t="s">
        <v>112</v>
      </c>
      <c r="H30" t="s">
        <v>55</v>
      </c>
      <c r="I30" t="s">
        <v>97</v>
      </c>
      <c r="K30" t="s">
        <v>48</v>
      </c>
      <c r="L30">
        <v>1</v>
      </c>
      <c r="N30">
        <v>1</v>
      </c>
      <c r="O30" t="s">
        <v>89</v>
      </c>
      <c r="P30" t="s">
        <v>50</v>
      </c>
      <c r="S30" t="s">
        <v>45</v>
      </c>
      <c r="T30">
        <v>3</v>
      </c>
      <c r="V30">
        <v>1</v>
      </c>
      <c r="W30" t="s">
        <v>86</v>
      </c>
      <c r="X30" t="s">
        <v>76</v>
      </c>
      <c r="Y30" t="s">
        <v>93</v>
      </c>
      <c r="AA30" t="s">
        <v>38</v>
      </c>
      <c r="AB30">
        <v>3</v>
      </c>
      <c r="AC30">
        <v>2</v>
      </c>
      <c r="AD30">
        <v>2</v>
      </c>
      <c r="AE30" t="s">
        <v>152</v>
      </c>
      <c r="AF30" t="s">
        <v>40</v>
      </c>
      <c r="AG30" t="s">
        <v>154</v>
      </c>
      <c r="AH30" t="s">
        <v>155</v>
      </c>
      <c r="AI30">
        <v>0</v>
      </c>
      <c r="AJ30">
        <v>23</v>
      </c>
    </row>
    <row r="31" spans="1:36" x14ac:dyDescent="0.25">
      <c r="A31" t="s">
        <v>632</v>
      </c>
      <c r="B31">
        <v>29</v>
      </c>
      <c r="C31" t="s">
        <v>63</v>
      </c>
      <c r="D31">
        <v>1</v>
      </c>
      <c r="F31">
        <v>1</v>
      </c>
      <c r="G31" t="s">
        <v>103</v>
      </c>
      <c r="H31" t="s">
        <v>95</v>
      </c>
      <c r="I31" t="s">
        <v>147</v>
      </c>
      <c r="K31" t="s">
        <v>38</v>
      </c>
      <c r="L31">
        <v>2</v>
      </c>
      <c r="M31">
        <v>1</v>
      </c>
      <c r="N31">
        <v>2</v>
      </c>
      <c r="O31" t="s">
        <v>39</v>
      </c>
      <c r="P31" t="s">
        <v>40</v>
      </c>
      <c r="S31" t="s">
        <v>53</v>
      </c>
      <c r="T31">
        <v>2</v>
      </c>
      <c r="U31">
        <v>1</v>
      </c>
      <c r="V31">
        <v>1</v>
      </c>
      <c r="W31" t="s">
        <v>111</v>
      </c>
      <c r="X31" t="s">
        <v>83</v>
      </c>
      <c r="Y31" t="s">
        <v>97</v>
      </c>
      <c r="AA31" t="s">
        <v>48</v>
      </c>
      <c r="AB31">
        <v>1</v>
      </c>
      <c r="AD31">
        <v>1</v>
      </c>
      <c r="AE31" t="s">
        <v>89</v>
      </c>
      <c r="AF31" t="s">
        <v>50</v>
      </c>
      <c r="AI31">
        <v>0</v>
      </c>
      <c r="AJ31">
        <v>14</v>
      </c>
    </row>
    <row r="32" spans="1:36" x14ac:dyDescent="0.25">
      <c r="A32" t="s">
        <v>633</v>
      </c>
      <c r="B32">
        <v>30</v>
      </c>
      <c r="C32" t="s">
        <v>53</v>
      </c>
      <c r="D32">
        <v>1</v>
      </c>
      <c r="E32">
        <v>1</v>
      </c>
      <c r="F32">
        <v>2</v>
      </c>
      <c r="G32" t="s">
        <v>112</v>
      </c>
      <c r="H32" t="s">
        <v>113</v>
      </c>
      <c r="I32" t="s">
        <v>114</v>
      </c>
      <c r="J32" t="s">
        <v>116</v>
      </c>
      <c r="K32" t="s">
        <v>33</v>
      </c>
      <c r="L32">
        <v>2</v>
      </c>
      <c r="N32">
        <v>3</v>
      </c>
      <c r="O32" t="s">
        <v>34</v>
      </c>
      <c r="P32" t="s">
        <v>66</v>
      </c>
      <c r="Q32" t="s">
        <v>132</v>
      </c>
      <c r="S32" t="s">
        <v>56</v>
      </c>
      <c r="T32">
        <v>3</v>
      </c>
      <c r="V32">
        <v>1</v>
      </c>
      <c r="W32" t="s">
        <v>57</v>
      </c>
      <c r="AA32" t="s">
        <v>48</v>
      </c>
      <c r="AB32">
        <v>1</v>
      </c>
      <c r="AD32">
        <v>2</v>
      </c>
      <c r="AE32" t="s">
        <v>89</v>
      </c>
      <c r="AF32" t="s">
        <v>50</v>
      </c>
      <c r="AG32" t="s">
        <v>127</v>
      </c>
      <c r="AH32" t="s">
        <v>52</v>
      </c>
      <c r="AI32">
        <v>0</v>
      </c>
      <c r="AJ32">
        <v>20</v>
      </c>
    </row>
    <row r="33" spans="1:36" x14ac:dyDescent="0.25">
      <c r="A33" t="s">
        <v>634</v>
      </c>
      <c r="B33">
        <v>31</v>
      </c>
      <c r="C33" t="s">
        <v>53</v>
      </c>
      <c r="D33">
        <v>1</v>
      </c>
      <c r="E33">
        <v>1</v>
      </c>
      <c r="F33">
        <v>1</v>
      </c>
      <c r="G33" t="s">
        <v>112</v>
      </c>
      <c r="H33" t="s">
        <v>113</v>
      </c>
      <c r="I33" t="s">
        <v>97</v>
      </c>
      <c r="J33" t="s">
        <v>116</v>
      </c>
      <c r="K33" t="s">
        <v>33</v>
      </c>
      <c r="L33">
        <v>2</v>
      </c>
      <c r="N33">
        <v>2</v>
      </c>
      <c r="O33" t="s">
        <v>46</v>
      </c>
      <c r="P33" t="s">
        <v>66</v>
      </c>
      <c r="Q33" t="s">
        <v>36</v>
      </c>
      <c r="S33" t="s">
        <v>56</v>
      </c>
      <c r="T33">
        <v>3</v>
      </c>
      <c r="V33">
        <v>2</v>
      </c>
      <c r="W33" t="s">
        <v>120</v>
      </c>
      <c r="AA33" t="s">
        <v>43</v>
      </c>
      <c r="AB33">
        <v>3</v>
      </c>
      <c r="AD33">
        <v>1</v>
      </c>
      <c r="AE33" t="s">
        <v>44</v>
      </c>
      <c r="AI33">
        <v>0</v>
      </c>
      <c r="AJ33">
        <v>16</v>
      </c>
    </row>
    <row r="34" spans="1:36" x14ac:dyDescent="0.25">
      <c r="A34" t="s">
        <v>635</v>
      </c>
      <c r="B34">
        <v>32</v>
      </c>
      <c r="C34" t="s">
        <v>56</v>
      </c>
      <c r="D34">
        <v>2</v>
      </c>
      <c r="F34">
        <v>1</v>
      </c>
      <c r="G34" t="s">
        <v>120</v>
      </c>
      <c r="H34" t="s">
        <v>69</v>
      </c>
      <c r="K34" t="s">
        <v>45</v>
      </c>
      <c r="L34">
        <v>3</v>
      </c>
      <c r="N34">
        <v>1</v>
      </c>
      <c r="O34" t="s">
        <v>86</v>
      </c>
      <c r="P34" t="s">
        <v>76</v>
      </c>
      <c r="Q34" t="s">
        <v>142</v>
      </c>
      <c r="R34" t="s">
        <v>144</v>
      </c>
      <c r="S34" t="s">
        <v>53</v>
      </c>
      <c r="T34">
        <v>1</v>
      </c>
      <c r="U34">
        <v>1</v>
      </c>
      <c r="V34">
        <v>1</v>
      </c>
      <c r="W34" t="s">
        <v>112</v>
      </c>
      <c r="X34" t="s">
        <v>113</v>
      </c>
      <c r="Y34" t="s">
        <v>97</v>
      </c>
      <c r="AA34" t="s">
        <v>33</v>
      </c>
      <c r="AB34">
        <v>2</v>
      </c>
      <c r="AD34">
        <v>3</v>
      </c>
      <c r="AE34" t="s">
        <v>46</v>
      </c>
      <c r="AF34" t="s">
        <v>66</v>
      </c>
      <c r="AG34" t="s">
        <v>131</v>
      </c>
      <c r="AI34">
        <v>0</v>
      </c>
      <c r="AJ34">
        <v>19</v>
      </c>
    </row>
    <row r="35" spans="1:36" x14ac:dyDescent="0.25">
      <c r="A35" t="s">
        <v>636</v>
      </c>
      <c r="B35">
        <v>33</v>
      </c>
      <c r="C35" t="s">
        <v>53</v>
      </c>
      <c r="D35">
        <v>1</v>
      </c>
      <c r="E35">
        <v>2</v>
      </c>
      <c r="F35">
        <v>1</v>
      </c>
      <c r="G35" t="s">
        <v>112</v>
      </c>
      <c r="H35" t="s">
        <v>113</v>
      </c>
      <c r="K35" t="s">
        <v>33</v>
      </c>
      <c r="L35">
        <v>2</v>
      </c>
      <c r="N35">
        <v>1</v>
      </c>
      <c r="O35" t="s">
        <v>34</v>
      </c>
      <c r="P35" t="s">
        <v>66</v>
      </c>
      <c r="Q35" t="s">
        <v>36</v>
      </c>
      <c r="R35" t="s">
        <v>134</v>
      </c>
      <c r="S35" t="s">
        <v>56</v>
      </c>
      <c r="T35">
        <v>2</v>
      </c>
      <c r="V35">
        <v>1</v>
      </c>
      <c r="W35" t="s">
        <v>57</v>
      </c>
      <c r="X35" t="s">
        <v>122</v>
      </c>
      <c r="AA35" t="s">
        <v>63</v>
      </c>
      <c r="AB35">
        <v>2</v>
      </c>
      <c r="AD35">
        <v>1</v>
      </c>
      <c r="AE35" t="s">
        <v>145</v>
      </c>
      <c r="AF35" t="s">
        <v>95</v>
      </c>
      <c r="AG35" t="s">
        <v>104</v>
      </c>
      <c r="AH35" t="s">
        <v>149</v>
      </c>
      <c r="AI35">
        <v>0</v>
      </c>
      <c r="AJ35">
        <v>17</v>
      </c>
    </row>
    <row r="36" spans="1:36" x14ac:dyDescent="0.25">
      <c r="A36" t="s">
        <v>637</v>
      </c>
      <c r="B36">
        <v>34</v>
      </c>
      <c r="C36" t="s">
        <v>56</v>
      </c>
      <c r="D36">
        <v>3</v>
      </c>
      <c r="F36">
        <v>1</v>
      </c>
      <c r="G36" t="s">
        <v>120</v>
      </c>
      <c r="H36" t="s">
        <v>121</v>
      </c>
      <c r="K36" t="s">
        <v>38</v>
      </c>
      <c r="L36">
        <v>3</v>
      </c>
      <c r="M36">
        <v>1</v>
      </c>
      <c r="N36">
        <v>1</v>
      </c>
      <c r="O36" t="s">
        <v>67</v>
      </c>
      <c r="P36" t="s">
        <v>96</v>
      </c>
      <c r="Q36" t="s">
        <v>41</v>
      </c>
      <c r="S36" t="s">
        <v>53</v>
      </c>
      <c r="T36">
        <v>1</v>
      </c>
      <c r="U36">
        <v>2</v>
      </c>
      <c r="V36">
        <v>1</v>
      </c>
      <c r="W36" t="s">
        <v>112</v>
      </c>
      <c r="X36" t="s">
        <v>83</v>
      </c>
      <c r="Y36" t="s">
        <v>97</v>
      </c>
      <c r="AA36" t="s">
        <v>33</v>
      </c>
      <c r="AB36">
        <v>1</v>
      </c>
      <c r="AD36">
        <v>2</v>
      </c>
      <c r="AE36" t="s">
        <v>65</v>
      </c>
      <c r="AF36" t="s">
        <v>66</v>
      </c>
      <c r="AI36">
        <v>0</v>
      </c>
      <c r="AJ36">
        <v>16</v>
      </c>
    </row>
    <row r="37" spans="1:36" x14ac:dyDescent="0.25">
      <c r="A37" t="s">
        <v>638</v>
      </c>
      <c r="B37">
        <v>35</v>
      </c>
      <c r="C37" t="s">
        <v>48</v>
      </c>
      <c r="D37">
        <v>3</v>
      </c>
      <c r="F37">
        <v>3</v>
      </c>
      <c r="G37" t="s">
        <v>49</v>
      </c>
      <c r="H37" t="s">
        <v>50</v>
      </c>
      <c r="I37" t="s">
        <v>51</v>
      </c>
      <c r="J37" t="s">
        <v>129</v>
      </c>
      <c r="K37" t="s">
        <v>43</v>
      </c>
      <c r="L37">
        <v>3</v>
      </c>
      <c r="N37">
        <v>3</v>
      </c>
      <c r="O37" t="s">
        <v>44</v>
      </c>
      <c r="P37" t="s">
        <v>136</v>
      </c>
      <c r="S37" t="s">
        <v>53</v>
      </c>
      <c r="T37">
        <v>1</v>
      </c>
      <c r="U37">
        <v>1</v>
      </c>
      <c r="V37">
        <v>2</v>
      </c>
      <c r="W37" t="s">
        <v>112</v>
      </c>
      <c r="X37" t="s">
        <v>113</v>
      </c>
      <c r="AA37" t="s">
        <v>33</v>
      </c>
      <c r="AB37">
        <v>3</v>
      </c>
      <c r="AD37">
        <v>3</v>
      </c>
      <c r="AE37" t="s">
        <v>34</v>
      </c>
      <c r="AF37" t="s">
        <v>66</v>
      </c>
      <c r="AG37" t="s">
        <v>131</v>
      </c>
      <c r="AH37" t="s">
        <v>37</v>
      </c>
      <c r="AI37">
        <v>0</v>
      </c>
      <c r="AJ37">
        <v>25</v>
      </c>
    </row>
    <row r="38" spans="1:36" x14ac:dyDescent="0.25">
      <c r="A38" t="s">
        <v>639</v>
      </c>
      <c r="B38">
        <v>36</v>
      </c>
      <c r="C38" t="s">
        <v>53</v>
      </c>
      <c r="D38">
        <v>3</v>
      </c>
      <c r="E38">
        <v>1</v>
      </c>
      <c r="F38">
        <v>2</v>
      </c>
      <c r="G38" t="s">
        <v>112</v>
      </c>
      <c r="H38" t="s">
        <v>113</v>
      </c>
      <c r="I38" t="s">
        <v>114</v>
      </c>
      <c r="J38" t="s">
        <v>98</v>
      </c>
      <c r="K38" t="s">
        <v>33</v>
      </c>
      <c r="L38">
        <v>2</v>
      </c>
      <c r="N38">
        <v>2</v>
      </c>
      <c r="O38" t="s">
        <v>34</v>
      </c>
      <c r="P38" t="s">
        <v>66</v>
      </c>
      <c r="Q38" t="s">
        <v>131</v>
      </c>
      <c r="S38" t="s">
        <v>48</v>
      </c>
      <c r="T38">
        <v>3</v>
      </c>
      <c r="V38">
        <v>1</v>
      </c>
      <c r="W38" t="s">
        <v>49</v>
      </c>
      <c r="X38" t="s">
        <v>50</v>
      </c>
      <c r="Y38" t="s">
        <v>127</v>
      </c>
      <c r="Z38" t="s">
        <v>129</v>
      </c>
      <c r="AA38" t="s">
        <v>45</v>
      </c>
      <c r="AB38">
        <v>3</v>
      </c>
      <c r="AD38">
        <v>1</v>
      </c>
      <c r="AE38" t="s">
        <v>140</v>
      </c>
      <c r="AF38" t="s">
        <v>141</v>
      </c>
      <c r="AI38">
        <v>0</v>
      </c>
      <c r="AJ38">
        <v>22</v>
      </c>
    </row>
    <row r="39" spans="1:36" x14ac:dyDescent="0.25">
      <c r="A39" t="s">
        <v>640</v>
      </c>
      <c r="B39">
        <v>37</v>
      </c>
      <c r="C39" t="s">
        <v>53</v>
      </c>
      <c r="D39">
        <v>1</v>
      </c>
      <c r="E39">
        <v>3</v>
      </c>
      <c r="F39">
        <v>1</v>
      </c>
      <c r="G39" t="s">
        <v>111</v>
      </c>
      <c r="H39" t="s">
        <v>113</v>
      </c>
      <c r="I39" t="s">
        <v>97</v>
      </c>
      <c r="J39" t="s">
        <v>116</v>
      </c>
      <c r="K39" t="s">
        <v>33</v>
      </c>
      <c r="L39">
        <v>3</v>
      </c>
      <c r="N39">
        <v>2</v>
      </c>
      <c r="O39" t="s">
        <v>34</v>
      </c>
      <c r="P39" t="s">
        <v>66</v>
      </c>
      <c r="Q39" t="s">
        <v>132</v>
      </c>
      <c r="R39" t="s">
        <v>133</v>
      </c>
      <c r="S39" t="s">
        <v>48</v>
      </c>
      <c r="T39">
        <v>1</v>
      </c>
      <c r="V39">
        <v>1</v>
      </c>
      <c r="W39" t="s">
        <v>89</v>
      </c>
      <c r="X39" t="s">
        <v>50</v>
      </c>
      <c r="AA39" t="s">
        <v>63</v>
      </c>
      <c r="AB39">
        <v>3</v>
      </c>
      <c r="AD39">
        <v>1</v>
      </c>
      <c r="AE39" t="s">
        <v>72</v>
      </c>
      <c r="AF39" t="s">
        <v>95</v>
      </c>
      <c r="AG39" t="s">
        <v>147</v>
      </c>
      <c r="AH39" t="s">
        <v>151</v>
      </c>
      <c r="AI39">
        <v>0</v>
      </c>
      <c r="AJ39">
        <v>21</v>
      </c>
    </row>
    <row r="40" spans="1:36" x14ac:dyDescent="0.25">
      <c r="A40" t="s">
        <v>641</v>
      </c>
      <c r="B40">
        <v>38</v>
      </c>
      <c r="C40" t="s">
        <v>53</v>
      </c>
      <c r="D40">
        <v>3</v>
      </c>
      <c r="E40">
        <v>2</v>
      </c>
      <c r="F40">
        <v>1</v>
      </c>
      <c r="G40" t="s">
        <v>112</v>
      </c>
      <c r="H40" t="s">
        <v>55</v>
      </c>
      <c r="I40" t="s">
        <v>97</v>
      </c>
      <c r="J40" t="s">
        <v>115</v>
      </c>
      <c r="K40" t="s">
        <v>33</v>
      </c>
      <c r="L40">
        <v>3</v>
      </c>
      <c r="N40">
        <v>3</v>
      </c>
      <c r="O40" t="s">
        <v>65</v>
      </c>
      <c r="P40" t="s">
        <v>66</v>
      </c>
      <c r="Q40" t="s">
        <v>131</v>
      </c>
      <c r="R40" t="s">
        <v>133</v>
      </c>
      <c r="S40" t="s">
        <v>48</v>
      </c>
      <c r="T40">
        <v>1</v>
      </c>
      <c r="V40">
        <v>1</v>
      </c>
      <c r="W40" t="s">
        <v>89</v>
      </c>
      <c r="X40" t="s">
        <v>84</v>
      </c>
      <c r="Y40" t="s">
        <v>127</v>
      </c>
      <c r="AA40" t="s">
        <v>38</v>
      </c>
      <c r="AB40">
        <v>3</v>
      </c>
      <c r="AC40">
        <v>2</v>
      </c>
      <c r="AD40">
        <v>2</v>
      </c>
      <c r="AE40" t="s">
        <v>152</v>
      </c>
      <c r="AF40" t="s">
        <v>40</v>
      </c>
      <c r="AG40" t="s">
        <v>154</v>
      </c>
      <c r="AH40" t="s">
        <v>155</v>
      </c>
      <c r="AI40">
        <v>0</v>
      </c>
      <c r="AJ40">
        <v>26</v>
      </c>
    </row>
    <row r="41" spans="1:36" x14ac:dyDescent="0.25">
      <c r="A41" t="s">
        <v>642</v>
      </c>
      <c r="B41">
        <v>39</v>
      </c>
      <c r="C41" t="s">
        <v>43</v>
      </c>
      <c r="D41">
        <v>2</v>
      </c>
      <c r="F41">
        <v>1</v>
      </c>
      <c r="G41" t="s">
        <v>135</v>
      </c>
      <c r="H41" t="s">
        <v>99</v>
      </c>
      <c r="K41" t="s">
        <v>45</v>
      </c>
      <c r="L41">
        <v>3</v>
      </c>
      <c r="N41">
        <v>1</v>
      </c>
      <c r="O41" t="s">
        <v>86</v>
      </c>
      <c r="P41" t="s">
        <v>76</v>
      </c>
      <c r="S41" t="s">
        <v>53</v>
      </c>
      <c r="T41">
        <v>1</v>
      </c>
      <c r="U41">
        <v>1</v>
      </c>
      <c r="V41">
        <v>3</v>
      </c>
      <c r="W41" t="s">
        <v>112</v>
      </c>
      <c r="AA41" t="s">
        <v>33</v>
      </c>
      <c r="AB41">
        <v>1</v>
      </c>
      <c r="AD41">
        <v>1</v>
      </c>
      <c r="AE41" t="s">
        <v>65</v>
      </c>
      <c r="AI41">
        <v>0</v>
      </c>
      <c r="AJ41">
        <v>11</v>
      </c>
    </row>
    <row r="42" spans="1:36" x14ac:dyDescent="0.25">
      <c r="A42" t="s">
        <v>643</v>
      </c>
      <c r="B42">
        <v>40</v>
      </c>
      <c r="C42" t="s">
        <v>43</v>
      </c>
      <c r="D42">
        <v>2</v>
      </c>
      <c r="F42">
        <v>1</v>
      </c>
      <c r="G42" t="s">
        <v>44</v>
      </c>
      <c r="H42" t="s">
        <v>99</v>
      </c>
      <c r="I42" t="s">
        <v>75</v>
      </c>
      <c r="J42" t="s">
        <v>138</v>
      </c>
      <c r="K42" t="s">
        <v>63</v>
      </c>
      <c r="L42">
        <v>1</v>
      </c>
      <c r="N42">
        <v>1</v>
      </c>
      <c r="O42" t="s">
        <v>72</v>
      </c>
      <c r="P42" t="s">
        <v>95</v>
      </c>
      <c r="Q42" t="s">
        <v>148</v>
      </c>
      <c r="R42" t="s">
        <v>151</v>
      </c>
      <c r="S42" t="s">
        <v>53</v>
      </c>
      <c r="T42">
        <v>2</v>
      </c>
      <c r="U42">
        <v>1</v>
      </c>
      <c r="V42">
        <v>1</v>
      </c>
      <c r="W42" t="s">
        <v>112</v>
      </c>
      <c r="X42" t="s">
        <v>55</v>
      </c>
      <c r="Y42" t="s">
        <v>105</v>
      </c>
      <c r="AA42" t="s">
        <v>33</v>
      </c>
      <c r="AB42">
        <v>1</v>
      </c>
      <c r="AD42">
        <v>1</v>
      </c>
      <c r="AE42" t="s">
        <v>34</v>
      </c>
      <c r="AI42">
        <v>0</v>
      </c>
      <c r="AJ42">
        <v>14</v>
      </c>
    </row>
    <row r="43" spans="1:36" x14ac:dyDescent="0.25">
      <c r="A43" t="s">
        <v>644</v>
      </c>
      <c r="B43">
        <v>41</v>
      </c>
      <c r="C43" t="s">
        <v>43</v>
      </c>
      <c r="D43">
        <v>3</v>
      </c>
      <c r="F43">
        <v>2</v>
      </c>
      <c r="G43" t="s">
        <v>135</v>
      </c>
      <c r="H43" t="s">
        <v>136</v>
      </c>
      <c r="K43" t="s">
        <v>38</v>
      </c>
      <c r="L43">
        <v>3</v>
      </c>
      <c r="M43">
        <v>1</v>
      </c>
      <c r="N43">
        <v>2</v>
      </c>
      <c r="O43" t="s">
        <v>67</v>
      </c>
      <c r="P43" t="s">
        <v>40</v>
      </c>
      <c r="S43" t="s">
        <v>53</v>
      </c>
      <c r="T43">
        <v>1</v>
      </c>
      <c r="U43">
        <v>1</v>
      </c>
      <c r="V43">
        <v>1</v>
      </c>
      <c r="W43" t="s">
        <v>112</v>
      </c>
      <c r="X43" t="s">
        <v>113</v>
      </c>
      <c r="Y43" t="s">
        <v>97</v>
      </c>
      <c r="AA43" t="s">
        <v>33</v>
      </c>
      <c r="AB43">
        <v>2</v>
      </c>
      <c r="AD43">
        <v>2</v>
      </c>
      <c r="AE43" t="s">
        <v>65</v>
      </c>
      <c r="AF43" t="s">
        <v>66</v>
      </c>
      <c r="AG43" t="s">
        <v>36</v>
      </c>
      <c r="AI43">
        <v>0</v>
      </c>
      <c r="AJ43">
        <v>19</v>
      </c>
    </row>
    <row r="44" spans="1:36" x14ac:dyDescent="0.25">
      <c r="A44" t="s">
        <v>645</v>
      </c>
      <c r="B44">
        <v>42</v>
      </c>
      <c r="C44" t="s">
        <v>45</v>
      </c>
      <c r="D44">
        <v>3</v>
      </c>
      <c r="F44">
        <v>2</v>
      </c>
      <c r="G44" t="s">
        <v>86</v>
      </c>
      <c r="H44" t="s">
        <v>76</v>
      </c>
      <c r="K44" t="s">
        <v>63</v>
      </c>
      <c r="L44">
        <v>2</v>
      </c>
      <c r="N44">
        <v>1</v>
      </c>
      <c r="O44" t="s">
        <v>72</v>
      </c>
      <c r="P44" t="s">
        <v>95</v>
      </c>
      <c r="Q44" t="s">
        <v>148</v>
      </c>
      <c r="R44" t="s">
        <v>150</v>
      </c>
      <c r="S44" t="s">
        <v>53</v>
      </c>
      <c r="T44">
        <v>1</v>
      </c>
      <c r="U44">
        <v>1</v>
      </c>
      <c r="V44">
        <v>3</v>
      </c>
      <c r="W44" t="s">
        <v>112</v>
      </c>
      <c r="X44" t="s">
        <v>55</v>
      </c>
      <c r="Y44" t="s">
        <v>97</v>
      </c>
      <c r="AA44" t="s">
        <v>33</v>
      </c>
      <c r="AB44">
        <v>1</v>
      </c>
      <c r="AD44">
        <v>1</v>
      </c>
      <c r="AE44" t="s">
        <v>34</v>
      </c>
      <c r="AI44">
        <v>0</v>
      </c>
      <c r="AJ44">
        <v>17</v>
      </c>
    </row>
    <row r="45" spans="1:36" x14ac:dyDescent="0.25">
      <c r="A45" t="s">
        <v>646</v>
      </c>
      <c r="B45">
        <v>43</v>
      </c>
      <c r="C45" t="s">
        <v>45</v>
      </c>
      <c r="D45">
        <v>3</v>
      </c>
      <c r="F45">
        <v>1</v>
      </c>
      <c r="G45" t="s">
        <v>140</v>
      </c>
      <c r="H45" t="s">
        <v>141</v>
      </c>
      <c r="I45" t="s">
        <v>93</v>
      </c>
      <c r="K45" t="s">
        <v>38</v>
      </c>
      <c r="L45">
        <v>3</v>
      </c>
      <c r="M45">
        <v>2</v>
      </c>
      <c r="N45">
        <v>2</v>
      </c>
      <c r="O45" t="s">
        <v>152</v>
      </c>
      <c r="P45" t="s">
        <v>40</v>
      </c>
      <c r="Q45" t="s">
        <v>41</v>
      </c>
      <c r="S45" t="s">
        <v>53</v>
      </c>
      <c r="T45">
        <v>2</v>
      </c>
      <c r="U45">
        <v>2</v>
      </c>
      <c r="V45">
        <v>1</v>
      </c>
      <c r="W45" t="s">
        <v>112</v>
      </c>
      <c r="X45" t="s">
        <v>55</v>
      </c>
      <c r="Y45" t="s">
        <v>97</v>
      </c>
      <c r="Z45" t="s">
        <v>115</v>
      </c>
      <c r="AA45" t="s">
        <v>33</v>
      </c>
      <c r="AB45">
        <v>1</v>
      </c>
      <c r="AD45">
        <v>1</v>
      </c>
      <c r="AE45" t="s">
        <v>46</v>
      </c>
      <c r="AI45">
        <v>0</v>
      </c>
      <c r="AJ45">
        <v>20</v>
      </c>
    </row>
    <row r="46" spans="1:36" x14ac:dyDescent="0.25">
      <c r="A46" t="s">
        <v>647</v>
      </c>
      <c r="B46">
        <v>44</v>
      </c>
      <c r="C46" t="s">
        <v>63</v>
      </c>
      <c r="D46">
        <v>1</v>
      </c>
      <c r="F46">
        <v>1</v>
      </c>
      <c r="G46" t="s">
        <v>72</v>
      </c>
      <c r="H46" t="s">
        <v>95</v>
      </c>
      <c r="I46" t="s">
        <v>104</v>
      </c>
      <c r="J46" t="s">
        <v>149</v>
      </c>
      <c r="K46" t="s">
        <v>38</v>
      </c>
      <c r="L46">
        <v>2</v>
      </c>
      <c r="M46">
        <v>1</v>
      </c>
      <c r="N46">
        <v>2</v>
      </c>
      <c r="O46" t="s">
        <v>67</v>
      </c>
      <c r="P46" t="s">
        <v>96</v>
      </c>
      <c r="S46" t="s">
        <v>53</v>
      </c>
      <c r="T46">
        <v>2</v>
      </c>
      <c r="U46">
        <v>1</v>
      </c>
      <c r="V46">
        <v>1</v>
      </c>
      <c r="W46" t="s">
        <v>111</v>
      </c>
      <c r="X46" t="s">
        <v>83</v>
      </c>
      <c r="Y46" t="s">
        <v>105</v>
      </c>
      <c r="AA46" t="s">
        <v>33</v>
      </c>
      <c r="AB46">
        <v>1</v>
      </c>
      <c r="AD46">
        <v>1</v>
      </c>
      <c r="AE46" t="s">
        <v>65</v>
      </c>
      <c r="AI46">
        <v>0</v>
      </c>
      <c r="AJ46">
        <v>13</v>
      </c>
    </row>
    <row r="47" spans="1:36" x14ac:dyDescent="0.25">
      <c r="A47" t="s">
        <v>648</v>
      </c>
      <c r="B47">
        <v>45</v>
      </c>
      <c r="C47" t="s">
        <v>53</v>
      </c>
      <c r="D47">
        <v>3</v>
      </c>
      <c r="E47">
        <v>1</v>
      </c>
      <c r="F47">
        <v>2</v>
      </c>
      <c r="G47" t="s">
        <v>112</v>
      </c>
      <c r="H47" t="s">
        <v>55</v>
      </c>
      <c r="I47" t="s">
        <v>105</v>
      </c>
      <c r="J47" t="s">
        <v>98</v>
      </c>
      <c r="K47" t="s">
        <v>43</v>
      </c>
      <c r="L47">
        <v>3</v>
      </c>
      <c r="N47">
        <v>2</v>
      </c>
      <c r="O47" t="s">
        <v>44</v>
      </c>
      <c r="P47" t="s">
        <v>136</v>
      </c>
      <c r="Q47" t="s">
        <v>137</v>
      </c>
      <c r="R47" t="s">
        <v>138</v>
      </c>
      <c r="S47" t="s">
        <v>56</v>
      </c>
      <c r="T47">
        <v>2</v>
      </c>
      <c r="V47">
        <v>1</v>
      </c>
      <c r="W47" t="s">
        <v>120</v>
      </c>
      <c r="X47" t="s">
        <v>121</v>
      </c>
      <c r="Y47" t="s">
        <v>87</v>
      </c>
      <c r="AA47" t="s">
        <v>48</v>
      </c>
      <c r="AB47">
        <v>3</v>
      </c>
      <c r="AD47">
        <v>2</v>
      </c>
      <c r="AE47" t="s">
        <v>49</v>
      </c>
      <c r="AF47" t="s">
        <v>71</v>
      </c>
      <c r="AG47" t="s">
        <v>90</v>
      </c>
      <c r="AH47" t="s">
        <v>129</v>
      </c>
      <c r="AI47">
        <v>0</v>
      </c>
      <c r="AJ47">
        <v>26</v>
      </c>
    </row>
    <row r="48" spans="1:36" x14ac:dyDescent="0.25">
      <c r="A48" t="s">
        <v>649</v>
      </c>
      <c r="B48">
        <v>46</v>
      </c>
      <c r="C48" t="s">
        <v>53</v>
      </c>
      <c r="D48">
        <v>1</v>
      </c>
      <c r="E48">
        <v>1</v>
      </c>
      <c r="F48">
        <v>1</v>
      </c>
      <c r="G48" t="s">
        <v>111</v>
      </c>
      <c r="H48" t="s">
        <v>113</v>
      </c>
      <c r="I48" t="s">
        <v>97</v>
      </c>
      <c r="J48" t="s">
        <v>116</v>
      </c>
      <c r="K48" t="s">
        <v>43</v>
      </c>
      <c r="L48">
        <v>2</v>
      </c>
      <c r="N48">
        <v>1</v>
      </c>
      <c r="O48" t="s">
        <v>44</v>
      </c>
      <c r="P48" t="s">
        <v>99</v>
      </c>
      <c r="Q48" t="s">
        <v>75</v>
      </c>
      <c r="S48" t="s">
        <v>56</v>
      </c>
      <c r="T48">
        <v>1</v>
      </c>
      <c r="V48">
        <v>1</v>
      </c>
      <c r="W48" t="s">
        <v>120</v>
      </c>
      <c r="X48" t="s">
        <v>121</v>
      </c>
      <c r="Y48" t="s">
        <v>87</v>
      </c>
      <c r="AA48" t="s">
        <v>33</v>
      </c>
      <c r="AB48">
        <v>2</v>
      </c>
      <c r="AD48">
        <v>1</v>
      </c>
      <c r="AE48" t="s">
        <v>34</v>
      </c>
      <c r="AI48">
        <v>0</v>
      </c>
      <c r="AJ48">
        <v>13</v>
      </c>
    </row>
    <row r="49" spans="1:36" x14ac:dyDescent="0.25">
      <c r="A49" t="s">
        <v>650</v>
      </c>
      <c r="B49">
        <v>47</v>
      </c>
      <c r="C49" t="s">
        <v>56</v>
      </c>
      <c r="D49">
        <v>3</v>
      </c>
      <c r="F49">
        <v>3</v>
      </c>
      <c r="G49" t="s">
        <v>120</v>
      </c>
      <c r="H49" t="s">
        <v>121</v>
      </c>
      <c r="I49" t="s">
        <v>87</v>
      </c>
      <c r="J49" t="s">
        <v>124</v>
      </c>
      <c r="K49" t="s">
        <v>45</v>
      </c>
      <c r="L49">
        <v>3</v>
      </c>
      <c r="N49">
        <v>1</v>
      </c>
      <c r="O49" t="s">
        <v>140</v>
      </c>
      <c r="S49" t="s">
        <v>53</v>
      </c>
      <c r="T49">
        <v>2</v>
      </c>
      <c r="U49">
        <v>2</v>
      </c>
      <c r="V49">
        <v>3</v>
      </c>
      <c r="W49" t="s">
        <v>112</v>
      </c>
      <c r="X49" t="s">
        <v>55</v>
      </c>
      <c r="Y49" t="s">
        <v>97</v>
      </c>
      <c r="Z49" t="s">
        <v>116</v>
      </c>
      <c r="AA49" t="s">
        <v>43</v>
      </c>
      <c r="AB49">
        <v>3</v>
      </c>
      <c r="AD49">
        <v>2</v>
      </c>
      <c r="AE49" t="s">
        <v>44</v>
      </c>
      <c r="AF49" t="s">
        <v>136</v>
      </c>
      <c r="AG49" t="s">
        <v>75</v>
      </c>
      <c r="AH49" t="s">
        <v>139</v>
      </c>
      <c r="AI49">
        <v>0</v>
      </c>
      <c r="AJ49">
        <v>26</v>
      </c>
    </row>
    <row r="50" spans="1:36" x14ac:dyDescent="0.25">
      <c r="A50" t="s">
        <v>651</v>
      </c>
      <c r="B50">
        <v>48</v>
      </c>
      <c r="C50" t="s">
        <v>53</v>
      </c>
      <c r="D50">
        <v>1</v>
      </c>
      <c r="E50">
        <v>2</v>
      </c>
      <c r="F50">
        <v>1</v>
      </c>
      <c r="G50" t="s">
        <v>111</v>
      </c>
      <c r="H50" t="s">
        <v>113</v>
      </c>
      <c r="I50" t="s">
        <v>97</v>
      </c>
      <c r="K50" t="s">
        <v>43</v>
      </c>
      <c r="L50">
        <v>3</v>
      </c>
      <c r="N50">
        <v>2</v>
      </c>
      <c r="O50" t="s">
        <v>44</v>
      </c>
      <c r="P50" t="s">
        <v>74</v>
      </c>
      <c r="Q50" t="s">
        <v>75</v>
      </c>
      <c r="S50" t="s">
        <v>56</v>
      </c>
      <c r="T50">
        <v>3</v>
      </c>
      <c r="V50">
        <v>1</v>
      </c>
      <c r="W50" t="s">
        <v>120</v>
      </c>
      <c r="X50" t="s">
        <v>121</v>
      </c>
      <c r="Y50" t="s">
        <v>87</v>
      </c>
      <c r="AA50" t="s">
        <v>63</v>
      </c>
      <c r="AB50">
        <v>1</v>
      </c>
      <c r="AD50">
        <v>1</v>
      </c>
      <c r="AE50" t="s">
        <v>72</v>
      </c>
      <c r="AF50" t="s">
        <v>146</v>
      </c>
      <c r="AG50" t="s">
        <v>148</v>
      </c>
      <c r="AI50">
        <v>0</v>
      </c>
      <c r="AJ50">
        <v>18</v>
      </c>
    </row>
    <row r="51" spans="1:36" x14ac:dyDescent="0.25">
      <c r="A51" t="s">
        <v>652</v>
      </c>
      <c r="B51">
        <v>49</v>
      </c>
      <c r="C51" t="s">
        <v>56</v>
      </c>
      <c r="D51">
        <v>3</v>
      </c>
      <c r="F51">
        <v>1</v>
      </c>
      <c r="G51" t="s">
        <v>57</v>
      </c>
      <c r="H51" t="s">
        <v>122</v>
      </c>
      <c r="I51" t="s">
        <v>85</v>
      </c>
      <c r="J51" t="s">
        <v>125</v>
      </c>
      <c r="K51" t="s">
        <v>38</v>
      </c>
      <c r="L51">
        <v>2</v>
      </c>
      <c r="M51">
        <v>2</v>
      </c>
      <c r="N51">
        <v>1</v>
      </c>
      <c r="O51" t="s">
        <v>152</v>
      </c>
      <c r="P51" t="s">
        <v>40</v>
      </c>
      <c r="Q51" t="s">
        <v>154</v>
      </c>
      <c r="R51" t="s">
        <v>42</v>
      </c>
      <c r="S51" t="s">
        <v>53</v>
      </c>
      <c r="T51">
        <v>1</v>
      </c>
      <c r="U51">
        <v>2</v>
      </c>
      <c r="V51">
        <v>2</v>
      </c>
      <c r="W51" t="s">
        <v>112</v>
      </c>
      <c r="X51" t="s">
        <v>55</v>
      </c>
      <c r="Y51" t="s">
        <v>97</v>
      </c>
      <c r="Z51" t="s">
        <v>115</v>
      </c>
      <c r="AA51" t="s">
        <v>43</v>
      </c>
      <c r="AB51">
        <v>1</v>
      </c>
      <c r="AD51">
        <v>1</v>
      </c>
      <c r="AE51" t="s">
        <v>44</v>
      </c>
      <c r="AI51">
        <v>0</v>
      </c>
      <c r="AJ51">
        <v>19</v>
      </c>
    </row>
    <row r="52" spans="1:36" x14ac:dyDescent="0.25">
      <c r="A52" t="s">
        <v>653</v>
      </c>
      <c r="B52">
        <v>50</v>
      </c>
      <c r="C52" t="s">
        <v>53</v>
      </c>
      <c r="D52">
        <v>2</v>
      </c>
      <c r="E52">
        <v>1</v>
      </c>
      <c r="F52">
        <v>1</v>
      </c>
      <c r="G52" t="s">
        <v>111</v>
      </c>
      <c r="H52" t="s">
        <v>83</v>
      </c>
      <c r="K52" t="s">
        <v>43</v>
      </c>
      <c r="L52">
        <v>3</v>
      </c>
      <c r="N52">
        <v>2</v>
      </c>
      <c r="O52" t="s">
        <v>44</v>
      </c>
      <c r="S52" t="s">
        <v>48</v>
      </c>
      <c r="T52">
        <v>1</v>
      </c>
      <c r="V52">
        <v>1</v>
      </c>
      <c r="W52" t="s">
        <v>126</v>
      </c>
      <c r="X52" t="s">
        <v>84</v>
      </c>
      <c r="Y52" t="s">
        <v>127</v>
      </c>
      <c r="AA52" t="s">
        <v>33</v>
      </c>
      <c r="AB52">
        <v>1</v>
      </c>
      <c r="AD52">
        <v>2</v>
      </c>
      <c r="AE52" t="s">
        <v>34</v>
      </c>
      <c r="AI52">
        <v>0</v>
      </c>
      <c r="AJ52">
        <v>12</v>
      </c>
    </row>
    <row r="53" spans="1:36" x14ac:dyDescent="0.25">
      <c r="A53" t="s">
        <v>654</v>
      </c>
      <c r="B53">
        <v>51</v>
      </c>
      <c r="C53" t="s">
        <v>48</v>
      </c>
      <c r="D53">
        <v>3</v>
      </c>
      <c r="F53">
        <v>2</v>
      </c>
      <c r="G53" t="s">
        <v>49</v>
      </c>
      <c r="H53" t="s">
        <v>71</v>
      </c>
      <c r="I53" t="s">
        <v>127</v>
      </c>
      <c r="J53" t="s">
        <v>52</v>
      </c>
      <c r="K53" t="s">
        <v>45</v>
      </c>
      <c r="L53">
        <v>3</v>
      </c>
      <c r="N53">
        <v>2</v>
      </c>
      <c r="O53" t="s">
        <v>140</v>
      </c>
      <c r="P53" t="s">
        <v>92</v>
      </c>
      <c r="Q53" t="s">
        <v>93</v>
      </c>
      <c r="R53" t="s">
        <v>94</v>
      </c>
      <c r="S53" t="s">
        <v>53</v>
      </c>
      <c r="T53">
        <v>3</v>
      </c>
      <c r="U53">
        <v>1</v>
      </c>
      <c r="V53">
        <v>3</v>
      </c>
      <c r="W53" t="s">
        <v>112</v>
      </c>
      <c r="X53" t="s">
        <v>55</v>
      </c>
      <c r="Y53" t="s">
        <v>114</v>
      </c>
      <c r="Z53" t="s">
        <v>115</v>
      </c>
      <c r="AA53" t="s">
        <v>43</v>
      </c>
      <c r="AB53">
        <v>1</v>
      </c>
      <c r="AD53">
        <v>1</v>
      </c>
      <c r="AE53" t="s">
        <v>44</v>
      </c>
      <c r="AF53" t="s">
        <v>136</v>
      </c>
      <c r="AI53">
        <v>0</v>
      </c>
      <c r="AJ53">
        <v>26</v>
      </c>
    </row>
    <row r="54" spans="1:36" x14ac:dyDescent="0.25">
      <c r="A54" t="s">
        <v>655</v>
      </c>
      <c r="B54">
        <v>52</v>
      </c>
      <c r="C54" t="s">
        <v>53</v>
      </c>
      <c r="D54">
        <v>2</v>
      </c>
      <c r="E54">
        <v>2</v>
      </c>
      <c r="F54">
        <v>1</v>
      </c>
      <c r="G54" t="s">
        <v>111</v>
      </c>
      <c r="H54" t="s">
        <v>113</v>
      </c>
      <c r="I54" t="s">
        <v>105</v>
      </c>
      <c r="J54" t="s">
        <v>116</v>
      </c>
      <c r="K54" t="s">
        <v>43</v>
      </c>
      <c r="L54">
        <v>3</v>
      </c>
      <c r="N54">
        <v>2</v>
      </c>
      <c r="O54" t="s">
        <v>44</v>
      </c>
      <c r="P54" t="s">
        <v>99</v>
      </c>
      <c r="Q54" t="s">
        <v>137</v>
      </c>
      <c r="S54" t="s">
        <v>48</v>
      </c>
      <c r="T54">
        <v>2</v>
      </c>
      <c r="V54">
        <v>1</v>
      </c>
      <c r="W54" t="s">
        <v>89</v>
      </c>
      <c r="X54" t="s">
        <v>71</v>
      </c>
      <c r="Y54" t="s">
        <v>90</v>
      </c>
      <c r="Z54" t="s">
        <v>52</v>
      </c>
      <c r="AA54" t="s">
        <v>63</v>
      </c>
      <c r="AB54">
        <v>1</v>
      </c>
      <c r="AD54">
        <v>2</v>
      </c>
      <c r="AE54" t="s">
        <v>72</v>
      </c>
      <c r="AF54" t="s">
        <v>146</v>
      </c>
      <c r="AI54">
        <v>0</v>
      </c>
      <c r="AJ54">
        <v>22</v>
      </c>
    </row>
    <row r="55" spans="1:36" x14ac:dyDescent="0.25">
      <c r="A55" t="s">
        <v>656</v>
      </c>
      <c r="B55">
        <v>53</v>
      </c>
      <c r="C55" t="s">
        <v>53</v>
      </c>
      <c r="D55">
        <v>1</v>
      </c>
      <c r="E55">
        <v>1</v>
      </c>
      <c r="F55">
        <v>2</v>
      </c>
      <c r="G55" t="s">
        <v>111</v>
      </c>
      <c r="H55" t="s">
        <v>113</v>
      </c>
      <c r="I55" t="s">
        <v>114</v>
      </c>
      <c r="K55" t="s">
        <v>43</v>
      </c>
      <c r="L55">
        <v>3</v>
      </c>
      <c r="N55">
        <v>1</v>
      </c>
      <c r="O55" t="s">
        <v>44</v>
      </c>
      <c r="P55" t="s">
        <v>99</v>
      </c>
      <c r="Q55" t="s">
        <v>75</v>
      </c>
      <c r="S55" t="s">
        <v>48</v>
      </c>
      <c r="T55">
        <v>2</v>
      </c>
      <c r="V55">
        <v>1</v>
      </c>
      <c r="W55" t="s">
        <v>89</v>
      </c>
      <c r="X55" t="s">
        <v>71</v>
      </c>
      <c r="Y55" t="s">
        <v>90</v>
      </c>
      <c r="AA55" t="s">
        <v>38</v>
      </c>
      <c r="AB55">
        <v>2</v>
      </c>
      <c r="AC55">
        <v>1</v>
      </c>
      <c r="AD55">
        <v>2</v>
      </c>
      <c r="AE55" t="s">
        <v>152</v>
      </c>
      <c r="AI55">
        <v>0</v>
      </c>
      <c r="AJ55">
        <v>16</v>
      </c>
    </row>
    <row r="56" spans="1:36" x14ac:dyDescent="0.25">
      <c r="A56" t="s">
        <v>657</v>
      </c>
      <c r="B56">
        <v>54</v>
      </c>
      <c r="C56" t="s">
        <v>53</v>
      </c>
      <c r="D56">
        <v>1</v>
      </c>
      <c r="E56">
        <v>2</v>
      </c>
      <c r="F56">
        <v>1</v>
      </c>
      <c r="G56" t="s">
        <v>112</v>
      </c>
      <c r="H56" t="s">
        <v>113</v>
      </c>
      <c r="I56" t="s">
        <v>97</v>
      </c>
      <c r="K56" t="s">
        <v>43</v>
      </c>
      <c r="L56">
        <v>3</v>
      </c>
      <c r="N56">
        <v>1</v>
      </c>
      <c r="O56" t="s">
        <v>44</v>
      </c>
      <c r="P56" t="s">
        <v>136</v>
      </c>
      <c r="Q56" t="s">
        <v>75</v>
      </c>
      <c r="S56" t="s">
        <v>33</v>
      </c>
      <c r="T56">
        <v>1</v>
      </c>
      <c r="V56">
        <v>1</v>
      </c>
      <c r="W56" t="s">
        <v>46</v>
      </c>
      <c r="X56" t="s">
        <v>130</v>
      </c>
      <c r="AA56" t="s">
        <v>45</v>
      </c>
      <c r="AB56">
        <v>3</v>
      </c>
      <c r="AD56">
        <v>1</v>
      </c>
      <c r="AE56" t="s">
        <v>140</v>
      </c>
      <c r="AF56" t="s">
        <v>76</v>
      </c>
      <c r="AG56" t="s">
        <v>102</v>
      </c>
      <c r="AI56">
        <v>0</v>
      </c>
      <c r="AJ56">
        <v>16</v>
      </c>
    </row>
    <row r="57" spans="1:36" x14ac:dyDescent="0.25">
      <c r="A57" t="s">
        <v>658</v>
      </c>
      <c r="B57">
        <v>55</v>
      </c>
      <c r="C57" t="s">
        <v>53</v>
      </c>
      <c r="D57">
        <v>3</v>
      </c>
      <c r="E57">
        <v>2</v>
      </c>
      <c r="F57">
        <v>1</v>
      </c>
      <c r="G57" t="s">
        <v>111</v>
      </c>
      <c r="H57" t="s">
        <v>83</v>
      </c>
      <c r="I57" t="s">
        <v>105</v>
      </c>
      <c r="J57" t="s">
        <v>98</v>
      </c>
      <c r="K57" t="s">
        <v>43</v>
      </c>
      <c r="L57">
        <v>3</v>
      </c>
      <c r="N57">
        <v>1</v>
      </c>
      <c r="O57" t="s">
        <v>44</v>
      </c>
      <c r="P57" t="s">
        <v>136</v>
      </c>
      <c r="Q57" t="s">
        <v>75</v>
      </c>
      <c r="R57" t="s">
        <v>139</v>
      </c>
      <c r="S57" t="s">
        <v>33</v>
      </c>
      <c r="T57">
        <v>1</v>
      </c>
      <c r="V57">
        <v>2</v>
      </c>
      <c r="W57" t="s">
        <v>34</v>
      </c>
      <c r="AA57" t="s">
        <v>63</v>
      </c>
      <c r="AB57">
        <v>3</v>
      </c>
      <c r="AD57">
        <v>1</v>
      </c>
      <c r="AE57" t="s">
        <v>145</v>
      </c>
      <c r="AF57" t="s">
        <v>146</v>
      </c>
      <c r="AG57" t="s">
        <v>147</v>
      </c>
      <c r="AH57" t="s">
        <v>149</v>
      </c>
      <c r="AI57">
        <v>0</v>
      </c>
      <c r="AJ57">
        <v>21</v>
      </c>
    </row>
    <row r="58" spans="1:36" x14ac:dyDescent="0.25">
      <c r="A58" t="s">
        <v>659</v>
      </c>
      <c r="B58">
        <v>56</v>
      </c>
      <c r="C58" t="s">
        <v>33</v>
      </c>
      <c r="D58">
        <v>2</v>
      </c>
      <c r="F58">
        <v>1</v>
      </c>
      <c r="G58" t="s">
        <v>34</v>
      </c>
      <c r="K58" t="s">
        <v>38</v>
      </c>
      <c r="L58">
        <v>3</v>
      </c>
      <c r="M58">
        <v>2</v>
      </c>
      <c r="N58">
        <v>3</v>
      </c>
      <c r="O58" t="s">
        <v>152</v>
      </c>
      <c r="P58" t="s">
        <v>40</v>
      </c>
      <c r="Q58" t="s">
        <v>41</v>
      </c>
      <c r="S58" t="s">
        <v>53</v>
      </c>
      <c r="T58">
        <v>1</v>
      </c>
      <c r="U58">
        <v>3</v>
      </c>
      <c r="V58">
        <v>3</v>
      </c>
      <c r="W58" t="s">
        <v>111</v>
      </c>
      <c r="X58" t="s">
        <v>55</v>
      </c>
      <c r="Y58" t="s">
        <v>97</v>
      </c>
      <c r="Z58" t="s">
        <v>115</v>
      </c>
      <c r="AA58" t="s">
        <v>43</v>
      </c>
      <c r="AB58">
        <v>2</v>
      </c>
      <c r="AD58">
        <v>1</v>
      </c>
      <c r="AE58" t="s">
        <v>44</v>
      </c>
      <c r="AI58">
        <v>0</v>
      </c>
      <c r="AJ58">
        <v>21</v>
      </c>
    </row>
    <row r="59" spans="1:36" x14ac:dyDescent="0.25">
      <c r="A59" t="s">
        <v>660</v>
      </c>
      <c r="B59">
        <v>57</v>
      </c>
      <c r="C59" t="s">
        <v>53</v>
      </c>
      <c r="D59">
        <v>1</v>
      </c>
      <c r="E59">
        <v>1</v>
      </c>
      <c r="F59">
        <v>3</v>
      </c>
      <c r="G59" t="s">
        <v>112</v>
      </c>
      <c r="H59" t="s">
        <v>113</v>
      </c>
      <c r="K59" t="s">
        <v>43</v>
      </c>
      <c r="L59">
        <v>3</v>
      </c>
      <c r="N59">
        <v>1</v>
      </c>
      <c r="O59" t="s">
        <v>44</v>
      </c>
      <c r="P59" t="s">
        <v>136</v>
      </c>
      <c r="Q59" t="s">
        <v>75</v>
      </c>
      <c r="S59" t="s">
        <v>45</v>
      </c>
      <c r="T59">
        <v>3</v>
      </c>
      <c r="V59">
        <v>1</v>
      </c>
      <c r="W59" t="s">
        <v>140</v>
      </c>
      <c r="AA59" t="s">
        <v>63</v>
      </c>
      <c r="AB59">
        <v>2</v>
      </c>
      <c r="AD59">
        <v>1</v>
      </c>
      <c r="AE59" t="s">
        <v>103</v>
      </c>
      <c r="AF59" t="s">
        <v>95</v>
      </c>
      <c r="AG59" t="s">
        <v>147</v>
      </c>
      <c r="AI59">
        <v>0</v>
      </c>
      <c r="AJ59">
        <v>16</v>
      </c>
    </row>
    <row r="60" spans="1:36" x14ac:dyDescent="0.25">
      <c r="A60" t="s">
        <v>661</v>
      </c>
      <c r="B60">
        <v>58</v>
      </c>
      <c r="C60" t="s">
        <v>53</v>
      </c>
      <c r="D60">
        <v>3</v>
      </c>
      <c r="E60">
        <v>3</v>
      </c>
      <c r="F60">
        <v>3</v>
      </c>
      <c r="G60" t="s">
        <v>112</v>
      </c>
      <c r="H60" t="s">
        <v>55</v>
      </c>
      <c r="I60" t="s">
        <v>97</v>
      </c>
      <c r="K60" t="s">
        <v>43</v>
      </c>
      <c r="L60">
        <v>1</v>
      </c>
      <c r="N60">
        <v>1</v>
      </c>
      <c r="O60" t="s">
        <v>44</v>
      </c>
      <c r="P60" t="s">
        <v>136</v>
      </c>
      <c r="Q60" t="s">
        <v>137</v>
      </c>
      <c r="S60" t="s">
        <v>45</v>
      </c>
      <c r="T60">
        <v>3</v>
      </c>
      <c r="V60">
        <v>3</v>
      </c>
      <c r="W60" t="s">
        <v>140</v>
      </c>
      <c r="X60" t="s">
        <v>76</v>
      </c>
      <c r="Y60" t="s">
        <v>102</v>
      </c>
      <c r="Z60" t="s">
        <v>143</v>
      </c>
      <c r="AA60" t="s">
        <v>38</v>
      </c>
      <c r="AB60">
        <v>3</v>
      </c>
      <c r="AC60">
        <v>2</v>
      </c>
      <c r="AD60">
        <v>1</v>
      </c>
      <c r="AE60" t="s">
        <v>152</v>
      </c>
      <c r="AF60" t="s">
        <v>40</v>
      </c>
      <c r="AG60" t="s">
        <v>41</v>
      </c>
      <c r="AI60">
        <v>0</v>
      </c>
      <c r="AJ60">
        <v>27</v>
      </c>
    </row>
    <row r="61" spans="1:36" x14ac:dyDescent="0.25">
      <c r="A61" t="s">
        <v>662</v>
      </c>
      <c r="B61">
        <v>59</v>
      </c>
      <c r="C61" t="s">
        <v>53</v>
      </c>
      <c r="D61">
        <v>2</v>
      </c>
      <c r="E61">
        <v>1</v>
      </c>
      <c r="F61">
        <v>3</v>
      </c>
      <c r="G61" t="s">
        <v>111</v>
      </c>
      <c r="H61" t="s">
        <v>83</v>
      </c>
      <c r="I61" t="s">
        <v>105</v>
      </c>
      <c r="K61" t="s">
        <v>43</v>
      </c>
      <c r="L61">
        <v>2</v>
      </c>
      <c r="N61">
        <v>1</v>
      </c>
      <c r="O61" t="s">
        <v>44</v>
      </c>
      <c r="P61" t="s">
        <v>74</v>
      </c>
      <c r="Q61" t="s">
        <v>75</v>
      </c>
      <c r="S61" t="s">
        <v>63</v>
      </c>
      <c r="T61">
        <v>1</v>
      </c>
      <c r="V61">
        <v>1</v>
      </c>
      <c r="W61" t="s">
        <v>72</v>
      </c>
      <c r="X61" t="s">
        <v>95</v>
      </c>
      <c r="Y61" t="s">
        <v>147</v>
      </c>
      <c r="AA61" t="s">
        <v>38</v>
      </c>
      <c r="AB61">
        <v>3</v>
      </c>
      <c r="AC61">
        <v>1</v>
      </c>
      <c r="AD61">
        <v>2</v>
      </c>
      <c r="AE61" t="s">
        <v>39</v>
      </c>
      <c r="AF61" t="s">
        <v>40</v>
      </c>
      <c r="AG61" t="s">
        <v>41</v>
      </c>
      <c r="AH61" t="s">
        <v>155</v>
      </c>
      <c r="AI61">
        <v>0</v>
      </c>
      <c r="AJ61">
        <v>21</v>
      </c>
    </row>
    <row r="62" spans="1:36" x14ac:dyDescent="0.25">
      <c r="A62" t="s">
        <v>663</v>
      </c>
      <c r="B62">
        <v>60</v>
      </c>
      <c r="C62" t="s">
        <v>53</v>
      </c>
      <c r="D62">
        <v>3</v>
      </c>
      <c r="E62">
        <v>2</v>
      </c>
      <c r="F62">
        <v>3</v>
      </c>
      <c r="G62" t="s">
        <v>112</v>
      </c>
      <c r="H62" t="s">
        <v>55</v>
      </c>
      <c r="I62" t="s">
        <v>97</v>
      </c>
      <c r="J62" t="s">
        <v>115</v>
      </c>
      <c r="K62" t="s">
        <v>45</v>
      </c>
      <c r="L62">
        <v>3</v>
      </c>
      <c r="N62">
        <v>1</v>
      </c>
      <c r="O62" t="s">
        <v>86</v>
      </c>
      <c r="S62" t="s">
        <v>56</v>
      </c>
      <c r="T62">
        <v>3</v>
      </c>
      <c r="V62">
        <v>3</v>
      </c>
      <c r="W62" t="s">
        <v>120</v>
      </c>
      <c r="X62" t="s">
        <v>69</v>
      </c>
      <c r="Y62" t="s">
        <v>123</v>
      </c>
      <c r="Z62" t="s">
        <v>124</v>
      </c>
      <c r="AA62" t="s">
        <v>48</v>
      </c>
      <c r="AB62">
        <v>1</v>
      </c>
      <c r="AD62">
        <v>1</v>
      </c>
      <c r="AE62" t="s">
        <v>49</v>
      </c>
      <c r="AF62" t="s">
        <v>50</v>
      </c>
      <c r="AI62">
        <v>0</v>
      </c>
      <c r="AJ62">
        <v>24</v>
      </c>
    </row>
    <row r="63" spans="1:36" x14ac:dyDescent="0.25">
      <c r="A63" t="s">
        <v>664</v>
      </c>
      <c r="B63">
        <v>61</v>
      </c>
      <c r="C63" t="s">
        <v>53</v>
      </c>
      <c r="D63">
        <v>1</v>
      </c>
      <c r="E63">
        <v>1</v>
      </c>
      <c r="F63">
        <v>3</v>
      </c>
      <c r="G63" t="s">
        <v>111</v>
      </c>
      <c r="H63" t="s">
        <v>113</v>
      </c>
      <c r="K63" t="s">
        <v>45</v>
      </c>
      <c r="L63">
        <v>3</v>
      </c>
      <c r="N63">
        <v>1</v>
      </c>
      <c r="O63" t="s">
        <v>140</v>
      </c>
      <c r="P63" t="s">
        <v>141</v>
      </c>
      <c r="Q63" t="s">
        <v>102</v>
      </c>
      <c r="S63" t="s">
        <v>56</v>
      </c>
      <c r="T63">
        <v>2</v>
      </c>
      <c r="V63">
        <v>1</v>
      </c>
      <c r="W63" t="s">
        <v>57</v>
      </c>
      <c r="X63" t="s">
        <v>121</v>
      </c>
      <c r="Y63" t="s">
        <v>123</v>
      </c>
      <c r="AA63" t="s">
        <v>33</v>
      </c>
      <c r="AB63">
        <v>1</v>
      </c>
      <c r="AD63">
        <v>1</v>
      </c>
      <c r="AE63" t="s">
        <v>46</v>
      </c>
      <c r="AI63">
        <v>0</v>
      </c>
      <c r="AJ63">
        <v>14</v>
      </c>
    </row>
    <row r="64" spans="1:36" x14ac:dyDescent="0.25">
      <c r="A64" t="s">
        <v>665</v>
      </c>
      <c r="B64">
        <v>62</v>
      </c>
      <c r="C64" t="s">
        <v>56</v>
      </c>
      <c r="D64">
        <v>2</v>
      </c>
      <c r="F64">
        <v>1</v>
      </c>
      <c r="G64" t="s">
        <v>120</v>
      </c>
      <c r="H64" t="s">
        <v>121</v>
      </c>
      <c r="I64" t="s">
        <v>123</v>
      </c>
      <c r="J64" t="s">
        <v>124</v>
      </c>
      <c r="K64" t="s">
        <v>43</v>
      </c>
      <c r="L64">
        <v>2</v>
      </c>
      <c r="N64">
        <v>1</v>
      </c>
      <c r="O64" t="s">
        <v>44</v>
      </c>
      <c r="P64" t="s">
        <v>136</v>
      </c>
      <c r="S64" t="s">
        <v>53</v>
      </c>
      <c r="T64">
        <v>3</v>
      </c>
      <c r="U64">
        <v>1</v>
      </c>
      <c r="V64">
        <v>2</v>
      </c>
      <c r="W64" t="s">
        <v>112</v>
      </c>
      <c r="X64" t="s">
        <v>55</v>
      </c>
      <c r="Y64" t="s">
        <v>97</v>
      </c>
      <c r="Z64" t="s">
        <v>98</v>
      </c>
      <c r="AA64" t="s">
        <v>45</v>
      </c>
      <c r="AB64">
        <v>3</v>
      </c>
      <c r="AD64">
        <v>1</v>
      </c>
      <c r="AE64" t="s">
        <v>140</v>
      </c>
      <c r="AI64">
        <v>0</v>
      </c>
      <c r="AJ64">
        <v>19</v>
      </c>
    </row>
    <row r="65" spans="1:36" x14ac:dyDescent="0.25">
      <c r="A65" t="s">
        <v>666</v>
      </c>
      <c r="B65">
        <v>63</v>
      </c>
      <c r="C65" t="s">
        <v>56</v>
      </c>
      <c r="D65">
        <v>1</v>
      </c>
      <c r="F65">
        <v>3</v>
      </c>
      <c r="G65" t="s">
        <v>57</v>
      </c>
      <c r="H65" t="s">
        <v>122</v>
      </c>
      <c r="I65" t="s">
        <v>85</v>
      </c>
      <c r="J65" t="s">
        <v>88</v>
      </c>
      <c r="K65" t="s">
        <v>63</v>
      </c>
      <c r="L65">
        <v>2</v>
      </c>
      <c r="N65">
        <v>1</v>
      </c>
      <c r="O65" t="s">
        <v>145</v>
      </c>
      <c r="P65" t="s">
        <v>146</v>
      </c>
      <c r="Q65" t="s">
        <v>104</v>
      </c>
      <c r="R65" t="s">
        <v>149</v>
      </c>
      <c r="S65" t="s">
        <v>53</v>
      </c>
      <c r="T65">
        <v>2</v>
      </c>
      <c r="U65">
        <v>1</v>
      </c>
      <c r="V65">
        <v>1</v>
      </c>
      <c r="W65" t="s">
        <v>111</v>
      </c>
      <c r="X65" t="s">
        <v>83</v>
      </c>
      <c r="Y65" t="s">
        <v>105</v>
      </c>
      <c r="AA65" t="s">
        <v>45</v>
      </c>
      <c r="AB65">
        <v>3</v>
      </c>
      <c r="AD65">
        <v>1</v>
      </c>
      <c r="AE65" t="s">
        <v>86</v>
      </c>
      <c r="AF65" t="s">
        <v>92</v>
      </c>
      <c r="AG65" t="s">
        <v>93</v>
      </c>
      <c r="AH65" t="s">
        <v>143</v>
      </c>
      <c r="AI65">
        <v>0</v>
      </c>
      <c r="AJ65">
        <v>21</v>
      </c>
    </row>
    <row r="66" spans="1:36" x14ac:dyDescent="0.25">
      <c r="A66" t="s">
        <v>667</v>
      </c>
      <c r="B66">
        <v>64</v>
      </c>
      <c r="C66" t="s">
        <v>56</v>
      </c>
      <c r="D66">
        <v>3</v>
      </c>
      <c r="F66">
        <v>1</v>
      </c>
      <c r="G66" t="s">
        <v>57</v>
      </c>
      <c r="H66" t="s">
        <v>122</v>
      </c>
      <c r="I66" t="s">
        <v>85</v>
      </c>
      <c r="K66" t="s">
        <v>38</v>
      </c>
      <c r="L66">
        <v>3</v>
      </c>
      <c r="M66">
        <v>1</v>
      </c>
      <c r="N66">
        <v>1</v>
      </c>
      <c r="O66" t="s">
        <v>39</v>
      </c>
      <c r="P66" t="s">
        <v>96</v>
      </c>
      <c r="Q66" t="s">
        <v>41</v>
      </c>
      <c r="S66" t="s">
        <v>53</v>
      </c>
      <c r="T66">
        <v>2</v>
      </c>
      <c r="U66">
        <v>1</v>
      </c>
      <c r="V66">
        <v>2</v>
      </c>
      <c r="W66" t="s">
        <v>112</v>
      </c>
      <c r="X66" t="s">
        <v>83</v>
      </c>
      <c r="Y66" t="s">
        <v>105</v>
      </c>
      <c r="AA66" t="s">
        <v>45</v>
      </c>
      <c r="AB66">
        <v>2</v>
      </c>
      <c r="AD66">
        <v>1</v>
      </c>
      <c r="AE66" t="s">
        <v>86</v>
      </c>
      <c r="AI66">
        <v>0</v>
      </c>
      <c r="AJ66">
        <v>17</v>
      </c>
    </row>
    <row r="67" spans="1:36" x14ac:dyDescent="0.25">
      <c r="A67" t="s">
        <v>668</v>
      </c>
      <c r="B67">
        <v>65</v>
      </c>
      <c r="C67" t="s">
        <v>53</v>
      </c>
      <c r="D67">
        <v>1</v>
      </c>
      <c r="E67">
        <v>1</v>
      </c>
      <c r="F67">
        <v>1</v>
      </c>
      <c r="G67" t="s">
        <v>111</v>
      </c>
      <c r="H67" t="s">
        <v>83</v>
      </c>
      <c r="I67" t="s">
        <v>105</v>
      </c>
      <c r="J67" t="s">
        <v>98</v>
      </c>
      <c r="K67" t="s">
        <v>45</v>
      </c>
      <c r="L67">
        <v>3</v>
      </c>
      <c r="N67">
        <v>1</v>
      </c>
      <c r="O67" t="s">
        <v>86</v>
      </c>
      <c r="S67" t="s">
        <v>48</v>
      </c>
      <c r="T67">
        <v>1</v>
      </c>
      <c r="V67">
        <v>1</v>
      </c>
      <c r="W67" t="s">
        <v>126</v>
      </c>
      <c r="X67" t="s">
        <v>50</v>
      </c>
      <c r="Y67" t="s">
        <v>127</v>
      </c>
      <c r="Z67" t="s">
        <v>52</v>
      </c>
      <c r="AA67" t="s">
        <v>33</v>
      </c>
      <c r="AB67">
        <v>1</v>
      </c>
      <c r="AD67">
        <v>2</v>
      </c>
      <c r="AE67" t="s">
        <v>46</v>
      </c>
      <c r="AI67">
        <v>0</v>
      </c>
      <c r="AJ67">
        <v>14</v>
      </c>
    </row>
    <row r="68" spans="1:36" x14ac:dyDescent="0.25">
      <c r="A68" t="s">
        <v>669</v>
      </c>
      <c r="B68">
        <v>66</v>
      </c>
      <c r="C68" t="s">
        <v>53</v>
      </c>
      <c r="D68">
        <v>1</v>
      </c>
      <c r="E68">
        <v>1</v>
      </c>
      <c r="F68">
        <v>1</v>
      </c>
      <c r="G68" t="s">
        <v>111</v>
      </c>
      <c r="H68" t="s">
        <v>83</v>
      </c>
      <c r="I68" t="s">
        <v>105</v>
      </c>
      <c r="K68" t="s">
        <v>45</v>
      </c>
      <c r="L68">
        <v>3</v>
      </c>
      <c r="N68">
        <v>1</v>
      </c>
      <c r="O68" t="s">
        <v>86</v>
      </c>
      <c r="P68" t="s">
        <v>92</v>
      </c>
      <c r="Q68" t="s">
        <v>142</v>
      </c>
      <c r="R68" t="s">
        <v>144</v>
      </c>
      <c r="S68" t="s">
        <v>48</v>
      </c>
      <c r="T68">
        <v>1</v>
      </c>
      <c r="V68">
        <v>1</v>
      </c>
      <c r="W68" t="s">
        <v>126</v>
      </c>
      <c r="X68" t="s">
        <v>84</v>
      </c>
      <c r="Y68" t="s">
        <v>127</v>
      </c>
      <c r="AA68" t="s">
        <v>43</v>
      </c>
      <c r="AB68">
        <v>3</v>
      </c>
      <c r="AD68">
        <v>1</v>
      </c>
      <c r="AE68" t="s">
        <v>73</v>
      </c>
      <c r="AF68" t="s">
        <v>74</v>
      </c>
      <c r="AG68" t="s">
        <v>100</v>
      </c>
      <c r="AH68" t="s">
        <v>138</v>
      </c>
      <c r="AI68">
        <v>0</v>
      </c>
      <c r="AJ68">
        <v>19</v>
      </c>
    </row>
    <row r="69" spans="1:36" x14ac:dyDescent="0.25">
      <c r="A69" t="s">
        <v>670</v>
      </c>
      <c r="B69">
        <v>67</v>
      </c>
      <c r="C69" t="s">
        <v>53</v>
      </c>
      <c r="D69">
        <v>1</v>
      </c>
      <c r="E69">
        <v>3</v>
      </c>
      <c r="F69">
        <v>2</v>
      </c>
      <c r="G69" t="s">
        <v>111</v>
      </c>
      <c r="H69" t="s">
        <v>113</v>
      </c>
      <c r="I69" t="s">
        <v>97</v>
      </c>
      <c r="J69" t="s">
        <v>116</v>
      </c>
      <c r="K69" t="s">
        <v>45</v>
      </c>
      <c r="L69">
        <v>3</v>
      </c>
      <c r="N69">
        <v>3</v>
      </c>
      <c r="O69" t="s">
        <v>86</v>
      </c>
      <c r="P69" t="s">
        <v>141</v>
      </c>
      <c r="Q69" t="s">
        <v>102</v>
      </c>
      <c r="R69" t="s">
        <v>94</v>
      </c>
      <c r="S69" t="s">
        <v>48</v>
      </c>
      <c r="T69">
        <v>1</v>
      </c>
      <c r="V69">
        <v>1</v>
      </c>
      <c r="W69" t="s">
        <v>89</v>
      </c>
      <c r="X69" t="s">
        <v>50</v>
      </c>
      <c r="Y69" t="s">
        <v>127</v>
      </c>
      <c r="Z69" t="s">
        <v>129</v>
      </c>
      <c r="AA69" t="s">
        <v>63</v>
      </c>
      <c r="AB69">
        <v>3</v>
      </c>
      <c r="AD69">
        <v>2</v>
      </c>
      <c r="AE69" t="s">
        <v>72</v>
      </c>
      <c r="AF69" t="s">
        <v>146</v>
      </c>
      <c r="AG69" t="s">
        <v>147</v>
      </c>
      <c r="AH69" t="s">
        <v>150</v>
      </c>
      <c r="AI69">
        <v>0</v>
      </c>
      <c r="AJ69">
        <v>27</v>
      </c>
    </row>
    <row r="70" spans="1:36" x14ac:dyDescent="0.25">
      <c r="A70" t="s">
        <v>671</v>
      </c>
      <c r="B70">
        <v>68</v>
      </c>
      <c r="C70" t="s">
        <v>53</v>
      </c>
      <c r="D70">
        <v>1</v>
      </c>
      <c r="E70">
        <v>1</v>
      </c>
      <c r="F70">
        <v>1</v>
      </c>
      <c r="G70" t="s">
        <v>111</v>
      </c>
      <c r="H70" t="s">
        <v>113</v>
      </c>
      <c r="I70" t="s">
        <v>97</v>
      </c>
      <c r="J70" t="s">
        <v>116</v>
      </c>
      <c r="K70" t="s">
        <v>45</v>
      </c>
      <c r="L70">
        <v>3</v>
      </c>
      <c r="N70">
        <v>1</v>
      </c>
      <c r="O70" t="s">
        <v>86</v>
      </c>
      <c r="P70" t="s">
        <v>141</v>
      </c>
      <c r="S70" t="s">
        <v>48</v>
      </c>
      <c r="T70">
        <v>1</v>
      </c>
      <c r="V70">
        <v>1</v>
      </c>
      <c r="W70" t="s">
        <v>89</v>
      </c>
      <c r="X70" t="s">
        <v>50</v>
      </c>
      <c r="Y70" t="s">
        <v>90</v>
      </c>
      <c r="Z70" t="s">
        <v>52</v>
      </c>
      <c r="AA70" t="s">
        <v>38</v>
      </c>
      <c r="AB70">
        <v>3</v>
      </c>
      <c r="AC70">
        <v>1</v>
      </c>
      <c r="AD70">
        <v>2</v>
      </c>
      <c r="AE70" t="s">
        <v>152</v>
      </c>
      <c r="AI70">
        <v>0</v>
      </c>
      <c r="AJ70">
        <v>17</v>
      </c>
    </row>
    <row r="71" spans="1:36" x14ac:dyDescent="0.25">
      <c r="A71" t="s">
        <v>672</v>
      </c>
      <c r="B71">
        <v>69</v>
      </c>
      <c r="C71" t="s">
        <v>53</v>
      </c>
      <c r="D71">
        <v>1</v>
      </c>
      <c r="E71">
        <v>1</v>
      </c>
      <c r="F71">
        <v>2</v>
      </c>
      <c r="G71" t="s">
        <v>112</v>
      </c>
      <c r="H71" t="s">
        <v>113</v>
      </c>
      <c r="K71" t="s">
        <v>45</v>
      </c>
      <c r="L71">
        <v>3</v>
      </c>
      <c r="N71">
        <v>1</v>
      </c>
      <c r="O71" t="s">
        <v>140</v>
      </c>
      <c r="P71" t="s">
        <v>141</v>
      </c>
      <c r="S71" t="s">
        <v>33</v>
      </c>
      <c r="T71">
        <v>1</v>
      </c>
      <c r="V71">
        <v>1</v>
      </c>
      <c r="W71" t="s">
        <v>46</v>
      </c>
      <c r="X71" t="s">
        <v>130</v>
      </c>
      <c r="AA71" t="s">
        <v>43</v>
      </c>
      <c r="AB71">
        <v>3</v>
      </c>
      <c r="AD71">
        <v>1</v>
      </c>
      <c r="AE71" t="s">
        <v>135</v>
      </c>
      <c r="AF71" t="s">
        <v>74</v>
      </c>
      <c r="AI71">
        <v>0</v>
      </c>
      <c r="AJ71">
        <v>14</v>
      </c>
    </row>
    <row r="72" spans="1:36" x14ac:dyDescent="0.25">
      <c r="A72" t="s">
        <v>673</v>
      </c>
      <c r="B72">
        <v>70</v>
      </c>
      <c r="C72" t="s">
        <v>53</v>
      </c>
      <c r="D72">
        <v>1</v>
      </c>
      <c r="E72">
        <v>1</v>
      </c>
      <c r="F72">
        <v>1</v>
      </c>
      <c r="G72" t="s">
        <v>111</v>
      </c>
      <c r="H72" t="s">
        <v>113</v>
      </c>
      <c r="I72" t="s">
        <v>114</v>
      </c>
      <c r="J72" t="s">
        <v>116</v>
      </c>
      <c r="K72" t="s">
        <v>45</v>
      </c>
      <c r="L72">
        <v>3</v>
      </c>
      <c r="N72">
        <v>2</v>
      </c>
      <c r="O72" t="s">
        <v>86</v>
      </c>
      <c r="P72" t="s">
        <v>76</v>
      </c>
      <c r="S72" t="s">
        <v>33</v>
      </c>
      <c r="T72">
        <v>1</v>
      </c>
      <c r="V72">
        <v>2</v>
      </c>
      <c r="W72" t="s">
        <v>46</v>
      </c>
      <c r="AA72" t="s">
        <v>63</v>
      </c>
      <c r="AB72">
        <v>1</v>
      </c>
      <c r="AD72">
        <v>2</v>
      </c>
      <c r="AE72" t="s">
        <v>145</v>
      </c>
      <c r="AF72" t="s">
        <v>95</v>
      </c>
      <c r="AG72" t="s">
        <v>147</v>
      </c>
      <c r="AI72">
        <v>0</v>
      </c>
      <c r="AJ72">
        <v>16</v>
      </c>
    </row>
    <row r="73" spans="1:36" x14ac:dyDescent="0.25">
      <c r="A73" t="s">
        <v>674</v>
      </c>
      <c r="B73">
        <v>71</v>
      </c>
      <c r="C73" t="s">
        <v>33</v>
      </c>
      <c r="D73">
        <v>2</v>
      </c>
      <c r="F73">
        <v>2</v>
      </c>
      <c r="G73" t="s">
        <v>46</v>
      </c>
      <c r="K73" t="s">
        <v>38</v>
      </c>
      <c r="L73">
        <v>3</v>
      </c>
      <c r="M73">
        <v>1</v>
      </c>
      <c r="N73">
        <v>1</v>
      </c>
      <c r="O73" t="s">
        <v>39</v>
      </c>
      <c r="P73" t="s">
        <v>96</v>
      </c>
      <c r="Q73" t="s">
        <v>41</v>
      </c>
      <c r="R73" t="s">
        <v>155</v>
      </c>
      <c r="S73" t="s">
        <v>53</v>
      </c>
      <c r="T73">
        <v>2</v>
      </c>
      <c r="U73">
        <v>2</v>
      </c>
      <c r="V73">
        <v>1</v>
      </c>
      <c r="W73" t="s">
        <v>111</v>
      </c>
      <c r="X73" t="s">
        <v>83</v>
      </c>
      <c r="Y73" t="s">
        <v>105</v>
      </c>
      <c r="Z73" t="s">
        <v>98</v>
      </c>
      <c r="AA73" t="s">
        <v>45</v>
      </c>
      <c r="AB73">
        <v>3</v>
      </c>
      <c r="AD73">
        <v>1</v>
      </c>
      <c r="AE73" t="s">
        <v>140</v>
      </c>
      <c r="AI73">
        <v>0</v>
      </c>
      <c r="AJ73">
        <v>19</v>
      </c>
    </row>
    <row r="74" spans="1:36" x14ac:dyDescent="0.25">
      <c r="A74" t="s">
        <v>675</v>
      </c>
      <c r="B74">
        <v>72</v>
      </c>
      <c r="C74" t="s">
        <v>53</v>
      </c>
      <c r="D74">
        <v>2</v>
      </c>
      <c r="E74">
        <v>2</v>
      </c>
      <c r="F74">
        <v>1</v>
      </c>
      <c r="G74" t="s">
        <v>111</v>
      </c>
      <c r="H74" t="s">
        <v>113</v>
      </c>
      <c r="I74" t="s">
        <v>105</v>
      </c>
      <c r="J74" t="s">
        <v>116</v>
      </c>
      <c r="K74" t="s">
        <v>45</v>
      </c>
      <c r="L74">
        <v>3</v>
      </c>
      <c r="N74">
        <v>1</v>
      </c>
      <c r="O74" t="s">
        <v>86</v>
      </c>
      <c r="P74" t="s">
        <v>141</v>
      </c>
      <c r="Q74" t="s">
        <v>102</v>
      </c>
      <c r="R74" t="s">
        <v>144</v>
      </c>
      <c r="S74" t="s">
        <v>43</v>
      </c>
      <c r="T74">
        <v>1</v>
      </c>
      <c r="V74">
        <v>3</v>
      </c>
      <c r="W74" t="s">
        <v>44</v>
      </c>
      <c r="X74" t="s">
        <v>74</v>
      </c>
      <c r="Y74" t="s">
        <v>100</v>
      </c>
      <c r="Z74" t="s">
        <v>138</v>
      </c>
      <c r="AA74" t="s">
        <v>63</v>
      </c>
      <c r="AB74">
        <v>1</v>
      </c>
      <c r="AD74">
        <v>3</v>
      </c>
      <c r="AE74" t="s">
        <v>145</v>
      </c>
      <c r="AF74" t="s">
        <v>146</v>
      </c>
      <c r="AG74" t="s">
        <v>147</v>
      </c>
      <c r="AH74" t="s">
        <v>150</v>
      </c>
      <c r="AI74">
        <v>0</v>
      </c>
      <c r="AJ74">
        <v>25</v>
      </c>
    </row>
    <row r="75" spans="1:36" x14ac:dyDescent="0.25">
      <c r="A75" t="s">
        <v>676</v>
      </c>
      <c r="B75">
        <v>73</v>
      </c>
      <c r="C75" t="s">
        <v>43</v>
      </c>
      <c r="D75">
        <v>3</v>
      </c>
      <c r="F75">
        <v>1</v>
      </c>
      <c r="G75" t="s">
        <v>44</v>
      </c>
      <c r="H75" t="s">
        <v>99</v>
      </c>
      <c r="I75" t="s">
        <v>75</v>
      </c>
      <c r="K75" t="s">
        <v>38</v>
      </c>
      <c r="L75">
        <v>1</v>
      </c>
      <c r="M75">
        <v>2</v>
      </c>
      <c r="N75">
        <v>2</v>
      </c>
      <c r="O75" t="s">
        <v>39</v>
      </c>
      <c r="P75" t="s">
        <v>40</v>
      </c>
      <c r="Q75" t="s">
        <v>41</v>
      </c>
      <c r="R75" t="s">
        <v>42</v>
      </c>
      <c r="S75" t="s">
        <v>53</v>
      </c>
      <c r="T75">
        <v>1</v>
      </c>
      <c r="U75">
        <v>3</v>
      </c>
      <c r="V75">
        <v>1</v>
      </c>
      <c r="W75" t="s">
        <v>112</v>
      </c>
      <c r="X75" t="s">
        <v>83</v>
      </c>
      <c r="Y75" t="s">
        <v>105</v>
      </c>
      <c r="Z75" t="s">
        <v>98</v>
      </c>
      <c r="AA75" t="s">
        <v>45</v>
      </c>
      <c r="AB75">
        <v>2</v>
      </c>
      <c r="AD75">
        <v>1</v>
      </c>
      <c r="AE75" t="s">
        <v>140</v>
      </c>
      <c r="AI75">
        <v>0</v>
      </c>
      <c r="AJ75">
        <v>20</v>
      </c>
    </row>
    <row r="76" spans="1:36" x14ac:dyDescent="0.25">
      <c r="A76" t="s">
        <v>677</v>
      </c>
      <c r="B76">
        <v>74</v>
      </c>
      <c r="C76" t="s">
        <v>63</v>
      </c>
      <c r="D76">
        <v>1</v>
      </c>
      <c r="F76">
        <v>1</v>
      </c>
      <c r="G76" t="s">
        <v>72</v>
      </c>
      <c r="H76" t="s">
        <v>95</v>
      </c>
      <c r="I76" t="s">
        <v>147</v>
      </c>
      <c r="J76" t="s">
        <v>151</v>
      </c>
      <c r="K76" t="s">
        <v>38</v>
      </c>
      <c r="L76">
        <v>3</v>
      </c>
      <c r="M76">
        <v>1</v>
      </c>
      <c r="N76">
        <v>2</v>
      </c>
      <c r="O76" t="s">
        <v>67</v>
      </c>
      <c r="S76" t="s">
        <v>53</v>
      </c>
      <c r="T76">
        <v>2</v>
      </c>
      <c r="U76">
        <v>1</v>
      </c>
      <c r="V76">
        <v>1</v>
      </c>
      <c r="W76" t="s">
        <v>111</v>
      </c>
      <c r="X76" t="s">
        <v>83</v>
      </c>
      <c r="Y76" t="s">
        <v>97</v>
      </c>
      <c r="AA76" t="s">
        <v>45</v>
      </c>
      <c r="AB76">
        <v>2</v>
      </c>
      <c r="AD76">
        <v>1</v>
      </c>
      <c r="AE76" t="s">
        <v>86</v>
      </c>
      <c r="AI76">
        <v>0</v>
      </c>
      <c r="AJ76">
        <v>15</v>
      </c>
    </row>
    <row r="77" spans="1:36" x14ac:dyDescent="0.25">
      <c r="A77" t="s">
        <v>678</v>
      </c>
      <c r="B77">
        <v>75</v>
      </c>
      <c r="C77" t="s">
        <v>53</v>
      </c>
      <c r="D77">
        <v>2</v>
      </c>
      <c r="E77">
        <v>1</v>
      </c>
      <c r="F77">
        <v>1</v>
      </c>
      <c r="G77" t="s">
        <v>111</v>
      </c>
      <c r="H77" t="s">
        <v>83</v>
      </c>
      <c r="I77" t="s">
        <v>105</v>
      </c>
      <c r="J77" t="s">
        <v>98</v>
      </c>
      <c r="K77" t="s">
        <v>63</v>
      </c>
      <c r="L77">
        <v>1</v>
      </c>
      <c r="N77">
        <v>1</v>
      </c>
      <c r="O77" t="s">
        <v>103</v>
      </c>
      <c r="P77" t="s">
        <v>95</v>
      </c>
      <c r="S77" t="s">
        <v>56</v>
      </c>
      <c r="T77">
        <v>2</v>
      </c>
      <c r="V77">
        <v>1</v>
      </c>
      <c r="W77" t="s">
        <v>57</v>
      </c>
      <c r="X77" t="s">
        <v>122</v>
      </c>
      <c r="Y77" t="s">
        <v>85</v>
      </c>
      <c r="AA77" t="s">
        <v>48</v>
      </c>
      <c r="AB77">
        <v>2</v>
      </c>
      <c r="AD77">
        <v>1</v>
      </c>
      <c r="AE77" t="s">
        <v>89</v>
      </c>
      <c r="AI77">
        <v>0</v>
      </c>
      <c r="AJ77">
        <v>13</v>
      </c>
    </row>
    <row r="78" spans="1:36" x14ac:dyDescent="0.25">
      <c r="A78" t="s">
        <v>679</v>
      </c>
      <c r="B78">
        <v>76</v>
      </c>
      <c r="C78" t="s">
        <v>56</v>
      </c>
      <c r="D78">
        <v>2</v>
      </c>
      <c r="F78">
        <v>1</v>
      </c>
      <c r="G78" t="s">
        <v>57</v>
      </c>
      <c r="H78" t="s">
        <v>122</v>
      </c>
      <c r="I78" t="s">
        <v>123</v>
      </c>
      <c r="K78" t="s">
        <v>33</v>
      </c>
      <c r="L78">
        <v>2</v>
      </c>
      <c r="N78">
        <v>2</v>
      </c>
      <c r="O78" t="s">
        <v>34</v>
      </c>
      <c r="S78" t="s">
        <v>53</v>
      </c>
      <c r="T78">
        <v>1</v>
      </c>
      <c r="U78">
        <v>1</v>
      </c>
      <c r="V78">
        <v>2</v>
      </c>
      <c r="W78" t="s">
        <v>111</v>
      </c>
      <c r="X78" t="s">
        <v>83</v>
      </c>
      <c r="AA78" t="s">
        <v>63</v>
      </c>
      <c r="AB78">
        <v>1</v>
      </c>
      <c r="AD78">
        <v>1</v>
      </c>
      <c r="AE78" t="s">
        <v>145</v>
      </c>
      <c r="AF78" t="s">
        <v>95</v>
      </c>
      <c r="AG78" t="s">
        <v>147</v>
      </c>
      <c r="AH78" t="s">
        <v>151</v>
      </c>
      <c r="AI78">
        <v>0</v>
      </c>
      <c r="AJ78">
        <v>15</v>
      </c>
    </row>
    <row r="79" spans="1:36" x14ac:dyDescent="0.25">
      <c r="A79" t="s">
        <v>680</v>
      </c>
      <c r="B79">
        <v>77</v>
      </c>
      <c r="C79" t="s">
        <v>56</v>
      </c>
      <c r="D79">
        <v>3</v>
      </c>
      <c r="F79">
        <v>1</v>
      </c>
      <c r="G79" t="s">
        <v>57</v>
      </c>
      <c r="H79" t="s">
        <v>122</v>
      </c>
      <c r="I79" t="s">
        <v>85</v>
      </c>
      <c r="K79" t="s">
        <v>43</v>
      </c>
      <c r="L79">
        <v>2</v>
      </c>
      <c r="N79">
        <v>1</v>
      </c>
      <c r="O79" t="s">
        <v>44</v>
      </c>
      <c r="P79" t="s">
        <v>99</v>
      </c>
      <c r="Q79" t="s">
        <v>75</v>
      </c>
      <c r="R79" t="s">
        <v>101</v>
      </c>
      <c r="S79" t="s">
        <v>53</v>
      </c>
      <c r="T79">
        <v>2</v>
      </c>
      <c r="U79">
        <v>1</v>
      </c>
      <c r="V79">
        <v>2</v>
      </c>
      <c r="W79" t="s">
        <v>112</v>
      </c>
      <c r="X79" t="s">
        <v>55</v>
      </c>
      <c r="Y79" t="s">
        <v>97</v>
      </c>
      <c r="AA79" t="s">
        <v>63</v>
      </c>
      <c r="AB79">
        <v>1</v>
      </c>
      <c r="AD79">
        <v>1</v>
      </c>
      <c r="AE79" t="s">
        <v>72</v>
      </c>
      <c r="AI79">
        <v>0</v>
      </c>
      <c r="AJ79">
        <v>16</v>
      </c>
    </row>
    <row r="80" spans="1:36" x14ac:dyDescent="0.25">
      <c r="A80" t="s">
        <v>681</v>
      </c>
      <c r="B80">
        <v>78</v>
      </c>
      <c r="C80" t="s">
        <v>53</v>
      </c>
      <c r="D80">
        <v>3</v>
      </c>
      <c r="E80">
        <v>1</v>
      </c>
      <c r="F80">
        <v>2</v>
      </c>
      <c r="G80" t="s">
        <v>112</v>
      </c>
      <c r="H80" t="s">
        <v>55</v>
      </c>
      <c r="I80" t="s">
        <v>97</v>
      </c>
      <c r="J80" t="s">
        <v>116</v>
      </c>
      <c r="K80" t="s">
        <v>63</v>
      </c>
      <c r="L80">
        <v>1</v>
      </c>
      <c r="N80">
        <v>2</v>
      </c>
      <c r="O80" t="s">
        <v>72</v>
      </c>
      <c r="P80" t="s">
        <v>146</v>
      </c>
      <c r="Q80" t="s">
        <v>104</v>
      </c>
      <c r="S80" t="s">
        <v>56</v>
      </c>
      <c r="T80">
        <v>3</v>
      </c>
      <c r="V80">
        <v>1</v>
      </c>
      <c r="W80" t="s">
        <v>57</v>
      </c>
      <c r="X80" t="s">
        <v>122</v>
      </c>
      <c r="Y80" t="s">
        <v>85</v>
      </c>
      <c r="AA80" t="s">
        <v>45</v>
      </c>
      <c r="AB80">
        <v>3</v>
      </c>
      <c r="AD80">
        <v>3</v>
      </c>
      <c r="AE80" t="s">
        <v>86</v>
      </c>
      <c r="AF80" t="s">
        <v>92</v>
      </c>
      <c r="AG80" t="s">
        <v>142</v>
      </c>
      <c r="AH80" t="s">
        <v>94</v>
      </c>
      <c r="AI80">
        <v>0</v>
      </c>
      <c r="AJ80">
        <v>25</v>
      </c>
    </row>
    <row r="81" spans="1:36" x14ac:dyDescent="0.25">
      <c r="A81" t="s">
        <v>682</v>
      </c>
      <c r="B81">
        <v>79</v>
      </c>
      <c r="C81" t="s">
        <v>56</v>
      </c>
      <c r="D81">
        <v>3</v>
      </c>
      <c r="F81">
        <v>1</v>
      </c>
      <c r="G81" t="s">
        <v>57</v>
      </c>
      <c r="H81" t="s">
        <v>122</v>
      </c>
      <c r="I81" t="s">
        <v>123</v>
      </c>
      <c r="K81" t="s">
        <v>38</v>
      </c>
      <c r="L81">
        <v>3</v>
      </c>
      <c r="M81">
        <v>2</v>
      </c>
      <c r="N81">
        <v>1</v>
      </c>
      <c r="O81" t="s">
        <v>152</v>
      </c>
      <c r="P81" t="s">
        <v>40</v>
      </c>
      <c r="Q81" t="s">
        <v>154</v>
      </c>
      <c r="S81" t="s">
        <v>53</v>
      </c>
      <c r="T81">
        <v>2</v>
      </c>
      <c r="U81">
        <v>1</v>
      </c>
      <c r="V81">
        <v>2</v>
      </c>
      <c r="W81" t="s">
        <v>112</v>
      </c>
      <c r="X81" t="s">
        <v>83</v>
      </c>
      <c r="Y81" t="s">
        <v>97</v>
      </c>
      <c r="AA81" t="s">
        <v>63</v>
      </c>
      <c r="AB81">
        <v>1</v>
      </c>
      <c r="AD81">
        <v>1</v>
      </c>
      <c r="AE81" t="s">
        <v>103</v>
      </c>
      <c r="AF81" t="s">
        <v>146</v>
      </c>
      <c r="AG81" t="s">
        <v>104</v>
      </c>
      <c r="AI81">
        <v>0</v>
      </c>
      <c r="AJ81">
        <v>19</v>
      </c>
    </row>
    <row r="82" spans="1:36" x14ac:dyDescent="0.25">
      <c r="A82" t="s">
        <v>683</v>
      </c>
      <c r="B82">
        <v>80</v>
      </c>
      <c r="C82" t="s">
        <v>53</v>
      </c>
      <c r="D82">
        <v>3</v>
      </c>
      <c r="E82">
        <v>1</v>
      </c>
      <c r="F82">
        <v>2</v>
      </c>
      <c r="G82" t="s">
        <v>111</v>
      </c>
      <c r="K82" t="s">
        <v>63</v>
      </c>
      <c r="L82">
        <v>1</v>
      </c>
      <c r="N82">
        <v>1</v>
      </c>
      <c r="O82" t="s">
        <v>72</v>
      </c>
      <c r="P82" t="s">
        <v>95</v>
      </c>
      <c r="Q82" t="s">
        <v>147</v>
      </c>
      <c r="R82" t="s">
        <v>151</v>
      </c>
      <c r="S82" t="s">
        <v>48</v>
      </c>
      <c r="T82">
        <v>2</v>
      </c>
      <c r="V82">
        <v>1</v>
      </c>
      <c r="W82" t="s">
        <v>89</v>
      </c>
      <c r="X82" t="s">
        <v>50</v>
      </c>
      <c r="Y82" t="s">
        <v>127</v>
      </c>
      <c r="Z82" t="s">
        <v>129</v>
      </c>
      <c r="AA82" t="s">
        <v>33</v>
      </c>
      <c r="AB82">
        <v>1</v>
      </c>
      <c r="AD82">
        <v>3</v>
      </c>
      <c r="AE82" t="s">
        <v>34</v>
      </c>
      <c r="AI82">
        <v>0</v>
      </c>
      <c r="AJ82">
        <v>17</v>
      </c>
    </row>
    <row r="83" spans="1:36" x14ac:dyDescent="0.25">
      <c r="A83" t="s">
        <v>684</v>
      </c>
      <c r="B83">
        <v>81</v>
      </c>
      <c r="C83" t="s">
        <v>48</v>
      </c>
      <c r="D83">
        <v>3</v>
      </c>
      <c r="F83">
        <v>1</v>
      </c>
      <c r="G83" t="s">
        <v>49</v>
      </c>
      <c r="H83" t="s">
        <v>84</v>
      </c>
      <c r="I83" t="s">
        <v>127</v>
      </c>
      <c r="J83" t="s">
        <v>52</v>
      </c>
      <c r="K83" t="s">
        <v>43</v>
      </c>
      <c r="L83">
        <v>2</v>
      </c>
      <c r="N83">
        <v>2</v>
      </c>
      <c r="O83" t="s">
        <v>44</v>
      </c>
      <c r="S83" t="s">
        <v>53</v>
      </c>
      <c r="T83">
        <v>3</v>
      </c>
      <c r="U83">
        <v>1</v>
      </c>
      <c r="V83">
        <v>2</v>
      </c>
      <c r="W83" t="s">
        <v>112</v>
      </c>
      <c r="X83" t="s">
        <v>55</v>
      </c>
      <c r="Y83" t="s">
        <v>114</v>
      </c>
      <c r="AA83" t="s">
        <v>63</v>
      </c>
      <c r="AB83">
        <v>1</v>
      </c>
      <c r="AD83">
        <v>1</v>
      </c>
      <c r="AE83" t="s">
        <v>72</v>
      </c>
      <c r="AF83" t="s">
        <v>95</v>
      </c>
      <c r="AI83">
        <v>0</v>
      </c>
      <c r="AJ83">
        <v>17</v>
      </c>
    </row>
    <row r="84" spans="1:36" x14ac:dyDescent="0.25">
      <c r="A84" t="s">
        <v>685</v>
      </c>
      <c r="B84">
        <v>82</v>
      </c>
      <c r="C84" t="s">
        <v>48</v>
      </c>
      <c r="D84">
        <v>2</v>
      </c>
      <c r="F84">
        <v>1</v>
      </c>
      <c r="G84" t="s">
        <v>89</v>
      </c>
      <c r="H84" t="s">
        <v>71</v>
      </c>
      <c r="I84" t="s">
        <v>127</v>
      </c>
      <c r="J84" t="s">
        <v>128</v>
      </c>
      <c r="K84" t="s">
        <v>45</v>
      </c>
      <c r="L84">
        <v>3</v>
      </c>
      <c r="N84">
        <v>1</v>
      </c>
      <c r="O84" t="s">
        <v>86</v>
      </c>
      <c r="P84" t="s">
        <v>76</v>
      </c>
      <c r="Q84" t="s">
        <v>93</v>
      </c>
      <c r="S84" t="s">
        <v>53</v>
      </c>
      <c r="T84">
        <v>1</v>
      </c>
      <c r="U84">
        <v>1</v>
      </c>
      <c r="V84">
        <v>3</v>
      </c>
      <c r="W84" t="s">
        <v>111</v>
      </c>
      <c r="X84" t="s">
        <v>83</v>
      </c>
      <c r="Y84" t="s">
        <v>105</v>
      </c>
      <c r="AA84" t="s">
        <v>63</v>
      </c>
      <c r="AB84">
        <v>1</v>
      </c>
      <c r="AD84">
        <v>1</v>
      </c>
      <c r="AE84" t="s">
        <v>145</v>
      </c>
      <c r="AF84" t="s">
        <v>146</v>
      </c>
      <c r="AI84">
        <v>0</v>
      </c>
      <c r="AJ84">
        <v>17</v>
      </c>
    </row>
    <row r="85" spans="1:36" x14ac:dyDescent="0.25">
      <c r="A85" t="s">
        <v>686</v>
      </c>
      <c r="B85">
        <v>83</v>
      </c>
      <c r="C85" t="s">
        <v>53</v>
      </c>
      <c r="D85">
        <v>1</v>
      </c>
      <c r="E85">
        <v>2</v>
      </c>
      <c r="F85">
        <v>1</v>
      </c>
      <c r="G85" t="s">
        <v>111</v>
      </c>
      <c r="H85" t="s">
        <v>83</v>
      </c>
      <c r="I85" t="s">
        <v>105</v>
      </c>
      <c r="J85" t="s">
        <v>116</v>
      </c>
      <c r="K85" t="s">
        <v>63</v>
      </c>
      <c r="L85">
        <v>2</v>
      </c>
      <c r="N85">
        <v>1</v>
      </c>
      <c r="O85" t="s">
        <v>72</v>
      </c>
      <c r="P85" t="s">
        <v>95</v>
      </c>
      <c r="Q85" t="s">
        <v>148</v>
      </c>
      <c r="R85" t="s">
        <v>151</v>
      </c>
      <c r="S85" t="s">
        <v>48</v>
      </c>
      <c r="T85">
        <v>2</v>
      </c>
      <c r="V85">
        <v>1</v>
      </c>
      <c r="W85" t="s">
        <v>89</v>
      </c>
      <c r="X85" t="s">
        <v>71</v>
      </c>
      <c r="Y85" t="s">
        <v>127</v>
      </c>
      <c r="Z85" t="s">
        <v>52</v>
      </c>
      <c r="AA85" t="s">
        <v>38</v>
      </c>
      <c r="AB85">
        <v>2</v>
      </c>
      <c r="AC85">
        <v>1</v>
      </c>
      <c r="AD85">
        <v>1</v>
      </c>
      <c r="AE85" t="s">
        <v>152</v>
      </c>
      <c r="AF85" t="s">
        <v>96</v>
      </c>
      <c r="AI85">
        <v>0</v>
      </c>
      <c r="AJ85">
        <v>18</v>
      </c>
    </row>
    <row r="86" spans="1:36" x14ac:dyDescent="0.25">
      <c r="A86" t="s">
        <v>687</v>
      </c>
      <c r="B86">
        <v>84</v>
      </c>
      <c r="C86" t="s">
        <v>53</v>
      </c>
      <c r="D86">
        <v>3</v>
      </c>
      <c r="E86">
        <v>1</v>
      </c>
      <c r="F86">
        <v>2</v>
      </c>
      <c r="G86" t="s">
        <v>111</v>
      </c>
      <c r="H86" t="s">
        <v>55</v>
      </c>
      <c r="K86" t="s">
        <v>63</v>
      </c>
      <c r="L86">
        <v>1</v>
      </c>
      <c r="N86">
        <v>1</v>
      </c>
      <c r="O86" t="s">
        <v>145</v>
      </c>
      <c r="P86" t="s">
        <v>146</v>
      </c>
      <c r="Q86" t="s">
        <v>104</v>
      </c>
      <c r="R86" t="s">
        <v>150</v>
      </c>
      <c r="S86" t="s">
        <v>33</v>
      </c>
      <c r="T86">
        <v>2</v>
      </c>
      <c r="V86">
        <v>3</v>
      </c>
      <c r="W86" t="s">
        <v>34</v>
      </c>
      <c r="X86" t="s">
        <v>66</v>
      </c>
      <c r="AA86" t="s">
        <v>43</v>
      </c>
      <c r="AB86">
        <v>1</v>
      </c>
      <c r="AD86">
        <v>1</v>
      </c>
      <c r="AE86" t="s">
        <v>44</v>
      </c>
      <c r="AF86" t="s">
        <v>99</v>
      </c>
      <c r="AG86" t="s">
        <v>137</v>
      </c>
      <c r="AH86" t="s">
        <v>101</v>
      </c>
      <c r="AI86">
        <v>0</v>
      </c>
      <c r="AJ86">
        <v>18</v>
      </c>
    </row>
    <row r="87" spans="1:36" x14ac:dyDescent="0.25">
      <c r="A87" t="s">
        <v>688</v>
      </c>
      <c r="B87">
        <v>85</v>
      </c>
      <c r="C87" t="s">
        <v>53</v>
      </c>
      <c r="D87">
        <v>1</v>
      </c>
      <c r="E87">
        <v>1</v>
      </c>
      <c r="F87">
        <v>1</v>
      </c>
      <c r="G87" t="s">
        <v>111</v>
      </c>
      <c r="H87" t="s">
        <v>83</v>
      </c>
      <c r="I87" t="s">
        <v>105</v>
      </c>
      <c r="J87" t="s">
        <v>116</v>
      </c>
      <c r="K87" t="s">
        <v>63</v>
      </c>
      <c r="L87">
        <v>2</v>
      </c>
      <c r="N87">
        <v>1</v>
      </c>
      <c r="O87" t="s">
        <v>145</v>
      </c>
      <c r="P87" t="s">
        <v>146</v>
      </c>
      <c r="Q87" t="s">
        <v>104</v>
      </c>
      <c r="S87" t="s">
        <v>33</v>
      </c>
      <c r="T87">
        <v>2</v>
      </c>
      <c r="V87">
        <v>2</v>
      </c>
      <c r="W87" t="s">
        <v>34</v>
      </c>
      <c r="X87" t="s">
        <v>66</v>
      </c>
      <c r="AA87" t="s">
        <v>45</v>
      </c>
      <c r="AB87">
        <v>3</v>
      </c>
      <c r="AD87">
        <v>1</v>
      </c>
      <c r="AE87" t="s">
        <v>140</v>
      </c>
      <c r="AI87">
        <v>0</v>
      </c>
      <c r="AJ87">
        <v>15</v>
      </c>
    </row>
    <row r="88" spans="1:36" x14ac:dyDescent="0.25">
      <c r="A88" t="s">
        <v>689</v>
      </c>
      <c r="B88">
        <v>86</v>
      </c>
      <c r="C88" t="s">
        <v>33</v>
      </c>
      <c r="D88">
        <v>1</v>
      </c>
      <c r="F88">
        <v>3</v>
      </c>
      <c r="G88" t="s">
        <v>34</v>
      </c>
      <c r="H88" t="s">
        <v>35</v>
      </c>
      <c r="K88" t="s">
        <v>38</v>
      </c>
      <c r="L88">
        <v>1</v>
      </c>
      <c r="M88">
        <v>2</v>
      </c>
      <c r="N88">
        <v>1</v>
      </c>
      <c r="O88" t="s">
        <v>152</v>
      </c>
      <c r="P88" t="s">
        <v>96</v>
      </c>
      <c r="Q88" t="s">
        <v>153</v>
      </c>
      <c r="R88" t="s">
        <v>155</v>
      </c>
      <c r="S88" t="s">
        <v>53</v>
      </c>
      <c r="T88">
        <v>2</v>
      </c>
      <c r="U88">
        <v>1</v>
      </c>
      <c r="V88">
        <v>2</v>
      </c>
      <c r="W88" t="s">
        <v>111</v>
      </c>
      <c r="X88" t="s">
        <v>83</v>
      </c>
      <c r="AA88" t="s">
        <v>63</v>
      </c>
      <c r="AB88">
        <v>3</v>
      </c>
      <c r="AD88">
        <v>1</v>
      </c>
      <c r="AE88" t="s">
        <v>72</v>
      </c>
      <c r="AI88">
        <v>0</v>
      </c>
      <c r="AJ88">
        <v>16</v>
      </c>
    </row>
    <row r="89" spans="1:36" x14ac:dyDescent="0.25">
      <c r="A89" t="s">
        <v>690</v>
      </c>
      <c r="B89">
        <v>87</v>
      </c>
      <c r="C89" t="s">
        <v>43</v>
      </c>
      <c r="D89">
        <v>3</v>
      </c>
      <c r="F89">
        <v>3</v>
      </c>
      <c r="G89" t="s">
        <v>44</v>
      </c>
      <c r="H89" t="s">
        <v>99</v>
      </c>
      <c r="I89" t="s">
        <v>75</v>
      </c>
      <c r="J89" t="s">
        <v>138</v>
      </c>
      <c r="K89" t="s">
        <v>45</v>
      </c>
      <c r="L89">
        <v>3</v>
      </c>
      <c r="N89">
        <v>3</v>
      </c>
      <c r="O89" t="s">
        <v>47</v>
      </c>
      <c r="P89" t="s">
        <v>76</v>
      </c>
      <c r="Q89" t="s">
        <v>93</v>
      </c>
      <c r="R89" t="s">
        <v>94</v>
      </c>
      <c r="S89" t="s">
        <v>53</v>
      </c>
      <c r="T89">
        <v>3</v>
      </c>
      <c r="U89">
        <v>3</v>
      </c>
      <c r="V89">
        <v>3</v>
      </c>
      <c r="W89" t="s">
        <v>112</v>
      </c>
      <c r="X89" t="s">
        <v>55</v>
      </c>
      <c r="Y89" t="s">
        <v>97</v>
      </c>
      <c r="Z89" t="s">
        <v>115</v>
      </c>
      <c r="AA89" t="s">
        <v>63</v>
      </c>
      <c r="AB89">
        <v>1</v>
      </c>
      <c r="AD89">
        <v>1</v>
      </c>
      <c r="AE89" t="s">
        <v>72</v>
      </c>
      <c r="AF89" t="s">
        <v>146</v>
      </c>
      <c r="AI89">
        <v>0</v>
      </c>
      <c r="AJ89">
        <v>36</v>
      </c>
    </row>
    <row r="90" spans="1:36" x14ac:dyDescent="0.25">
      <c r="A90" t="s">
        <v>691</v>
      </c>
      <c r="B90">
        <v>88</v>
      </c>
      <c r="C90" t="s">
        <v>43</v>
      </c>
      <c r="D90">
        <v>2</v>
      </c>
      <c r="F90">
        <v>1</v>
      </c>
      <c r="G90" t="s">
        <v>44</v>
      </c>
      <c r="H90" t="s">
        <v>136</v>
      </c>
      <c r="I90" t="s">
        <v>75</v>
      </c>
      <c r="K90" t="s">
        <v>38</v>
      </c>
      <c r="L90">
        <v>3</v>
      </c>
      <c r="M90">
        <v>2</v>
      </c>
      <c r="N90">
        <v>1</v>
      </c>
      <c r="O90" t="s">
        <v>152</v>
      </c>
      <c r="P90" t="s">
        <v>40</v>
      </c>
      <c r="Q90" t="s">
        <v>41</v>
      </c>
      <c r="R90" t="s">
        <v>42</v>
      </c>
      <c r="S90" t="s">
        <v>53</v>
      </c>
      <c r="T90">
        <v>1</v>
      </c>
      <c r="U90">
        <v>3</v>
      </c>
      <c r="V90">
        <v>1</v>
      </c>
      <c r="W90" t="s">
        <v>112</v>
      </c>
      <c r="X90" t="s">
        <v>55</v>
      </c>
      <c r="Y90" t="s">
        <v>105</v>
      </c>
      <c r="Z90" t="s">
        <v>115</v>
      </c>
      <c r="AA90" t="s">
        <v>63</v>
      </c>
      <c r="AB90">
        <v>1</v>
      </c>
      <c r="AD90">
        <v>1</v>
      </c>
      <c r="AE90" t="s">
        <v>72</v>
      </c>
      <c r="AF90" t="s">
        <v>146</v>
      </c>
      <c r="AI90">
        <v>0</v>
      </c>
      <c r="AJ90">
        <v>19</v>
      </c>
    </row>
    <row r="91" spans="1:36" x14ac:dyDescent="0.25">
      <c r="A91" t="s">
        <v>692</v>
      </c>
      <c r="B91">
        <v>89</v>
      </c>
      <c r="C91" t="s">
        <v>53</v>
      </c>
      <c r="D91">
        <v>3</v>
      </c>
      <c r="E91">
        <v>2</v>
      </c>
      <c r="F91">
        <v>3</v>
      </c>
      <c r="G91" t="s">
        <v>112</v>
      </c>
      <c r="H91" t="s">
        <v>55</v>
      </c>
      <c r="I91" t="s">
        <v>114</v>
      </c>
      <c r="J91" t="s">
        <v>98</v>
      </c>
      <c r="K91" t="s">
        <v>63</v>
      </c>
      <c r="L91">
        <v>1</v>
      </c>
      <c r="N91">
        <v>2</v>
      </c>
      <c r="O91" t="s">
        <v>72</v>
      </c>
      <c r="P91" t="s">
        <v>146</v>
      </c>
      <c r="Q91" t="s">
        <v>104</v>
      </c>
      <c r="S91" t="s">
        <v>45</v>
      </c>
      <c r="T91">
        <v>3</v>
      </c>
      <c r="V91">
        <v>2</v>
      </c>
      <c r="W91" t="s">
        <v>86</v>
      </c>
      <c r="AA91" t="s">
        <v>38</v>
      </c>
      <c r="AB91">
        <v>3</v>
      </c>
      <c r="AC91">
        <v>2</v>
      </c>
      <c r="AD91">
        <v>3</v>
      </c>
      <c r="AE91" t="s">
        <v>152</v>
      </c>
      <c r="AF91" t="s">
        <v>40</v>
      </c>
      <c r="AG91" t="s">
        <v>41</v>
      </c>
      <c r="AH91" t="s">
        <v>156</v>
      </c>
      <c r="AI91">
        <v>0</v>
      </c>
      <c r="AJ91">
        <v>28</v>
      </c>
    </row>
    <row r="92" spans="1:36" x14ac:dyDescent="0.25">
      <c r="A92" t="s">
        <v>693</v>
      </c>
      <c r="B92">
        <v>90</v>
      </c>
      <c r="C92" t="s">
        <v>56</v>
      </c>
      <c r="D92">
        <v>2</v>
      </c>
      <c r="F92">
        <v>1</v>
      </c>
      <c r="G92" t="s">
        <v>57</v>
      </c>
      <c r="H92" t="s">
        <v>122</v>
      </c>
      <c r="I92" t="s">
        <v>123</v>
      </c>
      <c r="J92" t="s">
        <v>124</v>
      </c>
      <c r="K92" t="s">
        <v>48</v>
      </c>
      <c r="L92">
        <v>2</v>
      </c>
      <c r="N92">
        <v>2</v>
      </c>
      <c r="O92" t="s">
        <v>49</v>
      </c>
      <c r="P92" t="s">
        <v>84</v>
      </c>
      <c r="Q92" t="s">
        <v>127</v>
      </c>
      <c r="R92" t="s">
        <v>129</v>
      </c>
      <c r="S92" t="s">
        <v>53</v>
      </c>
      <c r="T92">
        <v>3</v>
      </c>
      <c r="U92">
        <v>1</v>
      </c>
      <c r="V92">
        <v>2</v>
      </c>
      <c r="W92" t="s">
        <v>112</v>
      </c>
      <c r="X92" t="s">
        <v>55</v>
      </c>
      <c r="Y92" t="s">
        <v>105</v>
      </c>
      <c r="AA92" t="s">
        <v>38</v>
      </c>
      <c r="AB92">
        <v>2</v>
      </c>
      <c r="AC92">
        <v>1</v>
      </c>
      <c r="AD92">
        <v>1</v>
      </c>
      <c r="AE92" t="s">
        <v>39</v>
      </c>
      <c r="AF92" t="s">
        <v>40</v>
      </c>
      <c r="AI92">
        <v>0</v>
      </c>
      <c r="AJ92">
        <v>21</v>
      </c>
    </row>
    <row r="93" spans="1:36" x14ac:dyDescent="0.25">
      <c r="A93" t="s">
        <v>694</v>
      </c>
      <c r="B93">
        <v>91</v>
      </c>
      <c r="C93" t="s">
        <v>53</v>
      </c>
      <c r="D93">
        <v>1</v>
      </c>
      <c r="E93">
        <v>2</v>
      </c>
      <c r="F93">
        <v>2</v>
      </c>
      <c r="G93" t="s">
        <v>112</v>
      </c>
      <c r="H93" t="s">
        <v>113</v>
      </c>
      <c r="K93" t="s">
        <v>38</v>
      </c>
      <c r="L93">
        <v>3</v>
      </c>
      <c r="M93">
        <v>3</v>
      </c>
      <c r="N93">
        <v>2</v>
      </c>
      <c r="O93" t="s">
        <v>67</v>
      </c>
      <c r="P93" t="s">
        <v>96</v>
      </c>
      <c r="Q93" t="s">
        <v>154</v>
      </c>
      <c r="R93" t="s">
        <v>156</v>
      </c>
      <c r="S93" t="s">
        <v>56</v>
      </c>
      <c r="T93">
        <v>3</v>
      </c>
      <c r="V93">
        <v>3</v>
      </c>
      <c r="W93" t="s">
        <v>57</v>
      </c>
      <c r="X93" t="s">
        <v>122</v>
      </c>
      <c r="Y93" t="s">
        <v>87</v>
      </c>
      <c r="Z93" t="s">
        <v>124</v>
      </c>
      <c r="AA93" t="s">
        <v>33</v>
      </c>
      <c r="AB93">
        <v>1</v>
      </c>
      <c r="AD93">
        <v>1</v>
      </c>
      <c r="AE93" t="s">
        <v>65</v>
      </c>
      <c r="AF93" t="s">
        <v>130</v>
      </c>
      <c r="AI93">
        <v>0</v>
      </c>
      <c r="AJ93">
        <v>23</v>
      </c>
    </row>
    <row r="94" spans="1:36" x14ac:dyDescent="0.25">
      <c r="A94" t="s">
        <v>695</v>
      </c>
      <c r="B94">
        <v>92</v>
      </c>
      <c r="C94" t="s">
        <v>53</v>
      </c>
      <c r="D94">
        <v>2</v>
      </c>
      <c r="E94">
        <v>1</v>
      </c>
      <c r="F94">
        <v>1</v>
      </c>
      <c r="G94" t="s">
        <v>112</v>
      </c>
      <c r="H94" t="s">
        <v>55</v>
      </c>
      <c r="I94" t="s">
        <v>97</v>
      </c>
      <c r="J94" t="s">
        <v>98</v>
      </c>
      <c r="K94" t="s">
        <v>38</v>
      </c>
      <c r="L94">
        <v>1</v>
      </c>
      <c r="M94">
        <v>2</v>
      </c>
      <c r="N94">
        <v>2</v>
      </c>
      <c r="O94" t="s">
        <v>39</v>
      </c>
      <c r="P94" t="s">
        <v>96</v>
      </c>
      <c r="Q94" t="s">
        <v>154</v>
      </c>
      <c r="S94" t="s">
        <v>56</v>
      </c>
      <c r="T94">
        <v>2</v>
      </c>
      <c r="V94">
        <v>1</v>
      </c>
      <c r="W94" t="s">
        <v>57</v>
      </c>
      <c r="X94" t="s">
        <v>122</v>
      </c>
      <c r="Y94" t="s">
        <v>123</v>
      </c>
      <c r="AA94" t="s">
        <v>43</v>
      </c>
      <c r="AB94">
        <v>1</v>
      </c>
      <c r="AD94">
        <v>1</v>
      </c>
      <c r="AE94" t="s">
        <v>44</v>
      </c>
      <c r="AF94" t="s">
        <v>136</v>
      </c>
      <c r="AI94">
        <v>0</v>
      </c>
      <c r="AJ94">
        <v>16</v>
      </c>
    </row>
    <row r="95" spans="1:36" x14ac:dyDescent="0.25">
      <c r="A95" t="s">
        <v>696</v>
      </c>
      <c r="B95">
        <v>93</v>
      </c>
      <c r="C95" t="s">
        <v>56</v>
      </c>
      <c r="D95">
        <v>2</v>
      </c>
      <c r="F95">
        <v>1</v>
      </c>
      <c r="G95" t="s">
        <v>57</v>
      </c>
      <c r="H95" t="s">
        <v>122</v>
      </c>
      <c r="I95" t="s">
        <v>123</v>
      </c>
      <c r="J95" t="s">
        <v>124</v>
      </c>
      <c r="K95" t="s">
        <v>45</v>
      </c>
      <c r="L95">
        <v>3</v>
      </c>
      <c r="N95">
        <v>1</v>
      </c>
      <c r="O95" t="s">
        <v>86</v>
      </c>
      <c r="P95" t="s">
        <v>76</v>
      </c>
      <c r="Q95" t="s">
        <v>93</v>
      </c>
      <c r="R95" t="s">
        <v>94</v>
      </c>
      <c r="S95" t="s">
        <v>53</v>
      </c>
      <c r="T95">
        <v>1</v>
      </c>
      <c r="U95">
        <v>1</v>
      </c>
      <c r="V95">
        <v>3</v>
      </c>
      <c r="W95" t="s">
        <v>112</v>
      </c>
      <c r="X95" t="s">
        <v>55</v>
      </c>
      <c r="Y95" t="s">
        <v>97</v>
      </c>
      <c r="AA95" t="s">
        <v>38</v>
      </c>
      <c r="AB95">
        <v>1</v>
      </c>
      <c r="AC95">
        <v>1</v>
      </c>
      <c r="AD95">
        <v>2</v>
      </c>
      <c r="AE95" t="s">
        <v>39</v>
      </c>
      <c r="AF95" t="s">
        <v>96</v>
      </c>
      <c r="AI95">
        <v>0</v>
      </c>
      <c r="AJ95">
        <v>19</v>
      </c>
    </row>
    <row r="96" spans="1:36" x14ac:dyDescent="0.25">
      <c r="A96" t="s">
        <v>697</v>
      </c>
      <c r="B96">
        <v>94</v>
      </c>
      <c r="C96" t="s">
        <v>53</v>
      </c>
      <c r="D96">
        <v>1</v>
      </c>
      <c r="E96">
        <v>1</v>
      </c>
      <c r="F96">
        <v>3</v>
      </c>
      <c r="G96" t="s">
        <v>112</v>
      </c>
      <c r="H96" t="s">
        <v>113</v>
      </c>
      <c r="I96" t="s">
        <v>97</v>
      </c>
      <c r="K96" t="s">
        <v>38</v>
      </c>
      <c r="L96">
        <v>3</v>
      </c>
      <c r="M96">
        <v>1</v>
      </c>
      <c r="N96">
        <v>1</v>
      </c>
      <c r="O96" t="s">
        <v>39</v>
      </c>
      <c r="P96" t="s">
        <v>96</v>
      </c>
      <c r="Q96" t="s">
        <v>41</v>
      </c>
      <c r="S96" t="s">
        <v>56</v>
      </c>
      <c r="T96">
        <v>3</v>
      </c>
      <c r="V96">
        <v>1</v>
      </c>
      <c r="W96" t="s">
        <v>57</v>
      </c>
      <c r="X96" t="s">
        <v>122</v>
      </c>
      <c r="AA96" t="s">
        <v>63</v>
      </c>
      <c r="AB96">
        <v>2</v>
      </c>
      <c r="AD96">
        <v>1</v>
      </c>
      <c r="AE96" t="s">
        <v>103</v>
      </c>
      <c r="AF96" t="s">
        <v>95</v>
      </c>
      <c r="AG96" t="s">
        <v>147</v>
      </c>
      <c r="AH96" t="s">
        <v>151</v>
      </c>
      <c r="AI96">
        <v>0</v>
      </c>
      <c r="AJ96">
        <v>20</v>
      </c>
    </row>
    <row r="97" spans="1:36" x14ac:dyDescent="0.25">
      <c r="A97" t="s">
        <v>698</v>
      </c>
      <c r="B97">
        <v>96</v>
      </c>
      <c r="C97" t="s">
        <v>48</v>
      </c>
      <c r="D97">
        <v>1</v>
      </c>
      <c r="F97">
        <v>1</v>
      </c>
      <c r="G97" t="s">
        <v>49</v>
      </c>
      <c r="H97" t="s">
        <v>84</v>
      </c>
      <c r="I97" t="s">
        <v>127</v>
      </c>
      <c r="J97" t="s">
        <v>129</v>
      </c>
      <c r="K97" t="s">
        <v>43</v>
      </c>
      <c r="L97">
        <v>3</v>
      </c>
      <c r="N97">
        <v>2</v>
      </c>
      <c r="O97" t="s">
        <v>44</v>
      </c>
      <c r="P97" t="s">
        <v>99</v>
      </c>
      <c r="S97" t="s">
        <v>53</v>
      </c>
      <c r="T97">
        <v>1</v>
      </c>
      <c r="U97">
        <v>1</v>
      </c>
      <c r="V97">
        <v>2</v>
      </c>
      <c r="W97" t="s">
        <v>112</v>
      </c>
      <c r="X97" t="s">
        <v>55</v>
      </c>
      <c r="Y97" t="s">
        <v>105</v>
      </c>
      <c r="AA97" t="s">
        <v>38</v>
      </c>
      <c r="AB97">
        <v>2</v>
      </c>
      <c r="AC97">
        <v>1</v>
      </c>
      <c r="AD97">
        <v>2</v>
      </c>
      <c r="AE97" t="s">
        <v>39</v>
      </c>
      <c r="AI97">
        <v>0</v>
      </c>
      <c r="AJ97">
        <v>16</v>
      </c>
    </row>
    <row r="98" spans="1:36" x14ac:dyDescent="0.25">
      <c r="A98" t="s">
        <v>699</v>
      </c>
      <c r="B98">
        <v>97</v>
      </c>
      <c r="C98" t="s">
        <v>53</v>
      </c>
      <c r="D98">
        <v>3</v>
      </c>
      <c r="E98">
        <v>3</v>
      </c>
      <c r="F98">
        <v>3</v>
      </c>
      <c r="G98" t="s">
        <v>112</v>
      </c>
      <c r="H98" t="s">
        <v>113</v>
      </c>
      <c r="I98" t="s">
        <v>114</v>
      </c>
      <c r="J98" t="s">
        <v>98</v>
      </c>
      <c r="K98" t="s">
        <v>38</v>
      </c>
      <c r="L98">
        <v>3</v>
      </c>
      <c r="M98">
        <v>1</v>
      </c>
      <c r="N98">
        <v>3</v>
      </c>
      <c r="O98" t="s">
        <v>39</v>
      </c>
      <c r="P98" t="s">
        <v>96</v>
      </c>
      <c r="S98" t="s">
        <v>48</v>
      </c>
      <c r="T98">
        <v>3</v>
      </c>
      <c r="V98">
        <v>1</v>
      </c>
      <c r="W98" t="s">
        <v>49</v>
      </c>
      <c r="X98" t="s">
        <v>84</v>
      </c>
      <c r="AA98" t="s">
        <v>45</v>
      </c>
      <c r="AB98">
        <v>3</v>
      </c>
      <c r="AD98">
        <v>3</v>
      </c>
      <c r="AE98" t="s">
        <v>140</v>
      </c>
      <c r="AF98" t="s">
        <v>141</v>
      </c>
      <c r="AG98" t="s">
        <v>102</v>
      </c>
      <c r="AH98" t="s">
        <v>94</v>
      </c>
      <c r="AI98">
        <v>0</v>
      </c>
      <c r="AJ98">
        <v>32</v>
      </c>
    </row>
    <row r="99" spans="1:36" x14ac:dyDescent="0.25">
      <c r="A99" t="s">
        <v>700</v>
      </c>
      <c r="B99">
        <v>98</v>
      </c>
      <c r="C99" t="s">
        <v>53</v>
      </c>
      <c r="D99">
        <v>1</v>
      </c>
      <c r="E99">
        <v>1</v>
      </c>
      <c r="F99">
        <v>1</v>
      </c>
      <c r="G99" t="s">
        <v>111</v>
      </c>
      <c r="H99" t="s">
        <v>113</v>
      </c>
      <c r="I99" t="s">
        <v>105</v>
      </c>
      <c r="K99" t="s">
        <v>38</v>
      </c>
      <c r="L99">
        <v>3</v>
      </c>
      <c r="M99">
        <v>1</v>
      </c>
      <c r="N99">
        <v>2</v>
      </c>
      <c r="O99" t="s">
        <v>39</v>
      </c>
      <c r="P99" t="s">
        <v>40</v>
      </c>
      <c r="Q99" t="s">
        <v>154</v>
      </c>
      <c r="R99" t="s">
        <v>156</v>
      </c>
      <c r="S99" t="s">
        <v>48</v>
      </c>
      <c r="T99">
        <v>3</v>
      </c>
      <c r="V99">
        <v>1</v>
      </c>
      <c r="W99" t="s">
        <v>89</v>
      </c>
      <c r="AA99" t="s">
        <v>63</v>
      </c>
      <c r="AB99">
        <v>3</v>
      </c>
      <c r="AD99">
        <v>2</v>
      </c>
      <c r="AE99" t="s">
        <v>103</v>
      </c>
      <c r="AF99" t="s">
        <v>95</v>
      </c>
      <c r="AG99" t="s">
        <v>104</v>
      </c>
      <c r="AH99" t="s">
        <v>151</v>
      </c>
      <c r="AI99">
        <v>0</v>
      </c>
      <c r="AJ99">
        <v>21</v>
      </c>
    </row>
    <row r="100" spans="1:36" x14ac:dyDescent="0.25">
      <c r="A100" t="s">
        <v>701</v>
      </c>
      <c r="B100">
        <v>99</v>
      </c>
      <c r="C100" t="s">
        <v>33</v>
      </c>
      <c r="D100">
        <v>1</v>
      </c>
      <c r="F100">
        <v>1</v>
      </c>
      <c r="G100" t="s">
        <v>65</v>
      </c>
      <c r="H100" t="s">
        <v>130</v>
      </c>
      <c r="I100" t="s">
        <v>36</v>
      </c>
      <c r="K100" t="s">
        <v>43</v>
      </c>
      <c r="L100">
        <v>1</v>
      </c>
      <c r="N100">
        <v>1</v>
      </c>
      <c r="O100" t="s">
        <v>135</v>
      </c>
      <c r="P100" t="s">
        <v>136</v>
      </c>
      <c r="Q100" t="s">
        <v>137</v>
      </c>
      <c r="R100" t="s">
        <v>101</v>
      </c>
      <c r="S100" t="s">
        <v>53</v>
      </c>
      <c r="T100">
        <v>2</v>
      </c>
      <c r="U100">
        <v>1</v>
      </c>
      <c r="V100">
        <v>1</v>
      </c>
      <c r="W100" t="s">
        <v>112</v>
      </c>
      <c r="X100" t="s">
        <v>113</v>
      </c>
      <c r="AA100" t="s">
        <v>38</v>
      </c>
      <c r="AB100">
        <v>2</v>
      </c>
      <c r="AC100">
        <v>1</v>
      </c>
      <c r="AD100">
        <v>2</v>
      </c>
      <c r="AE100" t="s">
        <v>67</v>
      </c>
      <c r="AI100">
        <v>0</v>
      </c>
      <c r="AJ100">
        <v>13</v>
      </c>
    </row>
    <row r="101" spans="1:36" x14ac:dyDescent="0.25">
      <c r="A101" t="s">
        <v>702</v>
      </c>
      <c r="B101">
        <v>100</v>
      </c>
      <c r="C101" t="s">
        <v>53</v>
      </c>
      <c r="D101">
        <v>1</v>
      </c>
      <c r="E101">
        <v>1</v>
      </c>
      <c r="F101">
        <v>3</v>
      </c>
      <c r="G101" t="s">
        <v>112</v>
      </c>
      <c r="K101" t="s">
        <v>38</v>
      </c>
      <c r="L101">
        <v>1</v>
      </c>
      <c r="M101">
        <v>1</v>
      </c>
      <c r="N101">
        <v>2</v>
      </c>
      <c r="O101" t="s">
        <v>67</v>
      </c>
      <c r="P101" t="s">
        <v>96</v>
      </c>
      <c r="Q101" t="s">
        <v>41</v>
      </c>
      <c r="S101" t="s">
        <v>33</v>
      </c>
      <c r="T101">
        <v>1</v>
      </c>
      <c r="V101">
        <v>1</v>
      </c>
      <c r="W101" t="s">
        <v>65</v>
      </c>
      <c r="X101" t="s">
        <v>130</v>
      </c>
      <c r="AA101" t="s">
        <v>45</v>
      </c>
      <c r="AB101">
        <v>3</v>
      </c>
      <c r="AD101">
        <v>1</v>
      </c>
      <c r="AE101" t="s">
        <v>140</v>
      </c>
      <c r="AI101">
        <v>0</v>
      </c>
      <c r="AJ101">
        <v>12</v>
      </c>
    </row>
    <row r="102" spans="1:36" x14ac:dyDescent="0.25">
      <c r="A102" t="s">
        <v>703</v>
      </c>
      <c r="B102">
        <v>101</v>
      </c>
      <c r="C102" t="s">
        <v>53</v>
      </c>
      <c r="D102">
        <v>3</v>
      </c>
      <c r="E102">
        <v>1</v>
      </c>
      <c r="F102">
        <v>1</v>
      </c>
      <c r="G102" t="s">
        <v>111</v>
      </c>
      <c r="H102" t="s">
        <v>113</v>
      </c>
      <c r="K102" t="s">
        <v>38</v>
      </c>
      <c r="L102">
        <v>1</v>
      </c>
      <c r="M102">
        <v>1</v>
      </c>
      <c r="N102">
        <v>2</v>
      </c>
      <c r="O102" t="s">
        <v>67</v>
      </c>
      <c r="P102" t="s">
        <v>96</v>
      </c>
      <c r="Q102" t="s">
        <v>154</v>
      </c>
      <c r="R102" t="s">
        <v>155</v>
      </c>
      <c r="S102" t="s">
        <v>33</v>
      </c>
      <c r="T102">
        <v>1</v>
      </c>
      <c r="V102">
        <v>2</v>
      </c>
      <c r="W102" t="s">
        <v>65</v>
      </c>
      <c r="AA102" t="s">
        <v>63</v>
      </c>
      <c r="AB102">
        <v>1</v>
      </c>
      <c r="AD102">
        <v>1</v>
      </c>
      <c r="AE102" t="s">
        <v>145</v>
      </c>
      <c r="AF102" t="s">
        <v>95</v>
      </c>
      <c r="AG102" t="s">
        <v>147</v>
      </c>
      <c r="AH102" t="s">
        <v>149</v>
      </c>
      <c r="AI102">
        <v>0</v>
      </c>
      <c r="AJ102">
        <v>15</v>
      </c>
    </row>
    <row r="103" spans="1:36" x14ac:dyDescent="0.25">
      <c r="A103" t="s">
        <v>704</v>
      </c>
      <c r="B103">
        <v>102</v>
      </c>
      <c r="C103" t="s">
        <v>43</v>
      </c>
      <c r="D103">
        <v>3</v>
      </c>
      <c r="F103">
        <v>2</v>
      </c>
      <c r="G103" t="s">
        <v>44</v>
      </c>
      <c r="H103" t="s">
        <v>99</v>
      </c>
      <c r="I103" t="s">
        <v>75</v>
      </c>
      <c r="J103" t="s">
        <v>101</v>
      </c>
      <c r="K103" t="s">
        <v>45</v>
      </c>
      <c r="L103">
        <v>3</v>
      </c>
      <c r="N103">
        <v>3</v>
      </c>
      <c r="O103" t="s">
        <v>140</v>
      </c>
      <c r="P103" t="s">
        <v>76</v>
      </c>
      <c r="Q103" t="s">
        <v>102</v>
      </c>
      <c r="R103" t="s">
        <v>143</v>
      </c>
      <c r="S103" t="s">
        <v>53</v>
      </c>
      <c r="T103">
        <v>2</v>
      </c>
      <c r="U103">
        <v>2</v>
      </c>
      <c r="V103">
        <v>3</v>
      </c>
      <c r="W103" t="s">
        <v>112</v>
      </c>
      <c r="X103" t="s">
        <v>55</v>
      </c>
      <c r="Y103" t="s">
        <v>97</v>
      </c>
      <c r="Z103" t="s">
        <v>115</v>
      </c>
      <c r="AA103" t="s">
        <v>38</v>
      </c>
      <c r="AB103">
        <v>1</v>
      </c>
      <c r="AC103">
        <v>1</v>
      </c>
      <c r="AD103">
        <v>2</v>
      </c>
      <c r="AE103" t="s">
        <v>39</v>
      </c>
      <c r="AI103">
        <v>0</v>
      </c>
      <c r="AJ103">
        <v>27</v>
      </c>
    </row>
    <row r="104" spans="1:36" x14ac:dyDescent="0.25">
      <c r="A104" t="s">
        <v>705</v>
      </c>
      <c r="B104">
        <v>103</v>
      </c>
      <c r="C104" t="s">
        <v>43</v>
      </c>
      <c r="D104">
        <v>1</v>
      </c>
      <c r="F104">
        <v>1</v>
      </c>
      <c r="G104" t="s">
        <v>44</v>
      </c>
      <c r="H104" t="s">
        <v>74</v>
      </c>
      <c r="I104" t="s">
        <v>75</v>
      </c>
      <c r="J104" t="s">
        <v>101</v>
      </c>
      <c r="K104" t="s">
        <v>63</v>
      </c>
      <c r="L104">
        <v>3</v>
      </c>
      <c r="N104">
        <v>1</v>
      </c>
      <c r="O104" t="s">
        <v>103</v>
      </c>
      <c r="P104" t="s">
        <v>95</v>
      </c>
      <c r="Q104" t="s">
        <v>104</v>
      </c>
      <c r="S104" t="s">
        <v>53</v>
      </c>
      <c r="T104">
        <v>3</v>
      </c>
      <c r="U104">
        <v>1</v>
      </c>
      <c r="V104">
        <v>1</v>
      </c>
      <c r="W104" t="s">
        <v>112</v>
      </c>
      <c r="X104" t="s">
        <v>55</v>
      </c>
      <c r="Y104" t="s">
        <v>97</v>
      </c>
      <c r="AA104" t="s">
        <v>38</v>
      </c>
      <c r="AB104">
        <v>1</v>
      </c>
      <c r="AC104">
        <v>1</v>
      </c>
      <c r="AD104">
        <v>2</v>
      </c>
      <c r="AE104" t="s">
        <v>39</v>
      </c>
      <c r="AF104" t="s">
        <v>40</v>
      </c>
      <c r="AI104">
        <v>0</v>
      </c>
      <c r="AJ104">
        <v>17</v>
      </c>
    </row>
    <row r="105" spans="1:36" x14ac:dyDescent="0.25">
      <c r="A105" t="s">
        <v>706</v>
      </c>
      <c r="B105">
        <v>104</v>
      </c>
      <c r="C105" t="s">
        <v>53</v>
      </c>
      <c r="D105">
        <v>1</v>
      </c>
      <c r="E105">
        <v>1</v>
      </c>
      <c r="F105">
        <v>1</v>
      </c>
      <c r="G105" t="s">
        <v>111</v>
      </c>
      <c r="H105" t="s">
        <v>113</v>
      </c>
      <c r="I105" t="s">
        <v>114</v>
      </c>
      <c r="K105" t="s">
        <v>38</v>
      </c>
      <c r="L105">
        <v>3</v>
      </c>
      <c r="M105">
        <v>1</v>
      </c>
      <c r="N105">
        <v>2</v>
      </c>
      <c r="O105" t="s">
        <v>39</v>
      </c>
      <c r="P105" t="s">
        <v>40</v>
      </c>
      <c r="S105" t="s">
        <v>45</v>
      </c>
      <c r="T105">
        <v>3</v>
      </c>
      <c r="V105">
        <v>1</v>
      </c>
      <c r="W105" t="s">
        <v>140</v>
      </c>
      <c r="AA105" t="s">
        <v>63</v>
      </c>
      <c r="AB105">
        <v>2</v>
      </c>
      <c r="AD105">
        <v>1</v>
      </c>
      <c r="AE105" t="s">
        <v>103</v>
      </c>
      <c r="AF105" t="s">
        <v>95</v>
      </c>
      <c r="AG105" t="s">
        <v>147</v>
      </c>
      <c r="AH105" t="s">
        <v>151</v>
      </c>
      <c r="AI105">
        <v>0</v>
      </c>
      <c r="AJ105">
        <v>17</v>
      </c>
    </row>
    <row r="106" spans="1:36" x14ac:dyDescent="0.25">
      <c r="A106" t="s">
        <v>707</v>
      </c>
      <c r="B106">
        <v>105</v>
      </c>
      <c r="C106" t="s">
        <v>33</v>
      </c>
      <c r="D106">
        <v>1</v>
      </c>
      <c r="F106">
        <v>1</v>
      </c>
      <c r="G106" t="s">
        <v>46</v>
      </c>
      <c r="H106" t="s">
        <v>130</v>
      </c>
      <c r="I106" t="s">
        <v>132</v>
      </c>
      <c r="J106" t="s">
        <v>133</v>
      </c>
      <c r="K106" t="s">
        <v>43</v>
      </c>
      <c r="L106">
        <v>2</v>
      </c>
      <c r="N106">
        <v>1</v>
      </c>
      <c r="O106" t="s">
        <v>135</v>
      </c>
      <c r="P106" t="s">
        <v>74</v>
      </c>
      <c r="Q106" t="s">
        <v>75</v>
      </c>
      <c r="R106" t="s">
        <v>138</v>
      </c>
      <c r="S106" t="s">
        <v>56</v>
      </c>
      <c r="T106">
        <v>2</v>
      </c>
      <c r="V106">
        <v>1</v>
      </c>
      <c r="W106" t="s">
        <v>120</v>
      </c>
      <c r="X106" t="s">
        <v>121</v>
      </c>
      <c r="AA106" t="s">
        <v>48</v>
      </c>
      <c r="AB106">
        <v>1</v>
      </c>
      <c r="AD106">
        <v>1</v>
      </c>
      <c r="AE106" t="s">
        <v>126</v>
      </c>
      <c r="AF106" t="s">
        <v>84</v>
      </c>
      <c r="AI106">
        <v>0</v>
      </c>
      <c r="AJ106">
        <v>15</v>
      </c>
    </row>
    <row r="107" spans="1:36" x14ac:dyDescent="0.25">
      <c r="A107" t="s">
        <v>708</v>
      </c>
      <c r="B107">
        <v>106</v>
      </c>
      <c r="C107" t="s">
        <v>33</v>
      </c>
      <c r="D107">
        <v>1</v>
      </c>
      <c r="F107">
        <v>1</v>
      </c>
      <c r="G107" t="s">
        <v>46</v>
      </c>
      <c r="H107" t="s">
        <v>130</v>
      </c>
      <c r="I107" t="s">
        <v>132</v>
      </c>
      <c r="J107" t="s">
        <v>134</v>
      </c>
      <c r="K107" t="s">
        <v>45</v>
      </c>
      <c r="L107">
        <v>3</v>
      </c>
      <c r="N107">
        <v>1</v>
      </c>
      <c r="O107" t="s">
        <v>140</v>
      </c>
      <c r="P107" t="s">
        <v>141</v>
      </c>
      <c r="S107" t="s">
        <v>56</v>
      </c>
      <c r="T107">
        <v>1</v>
      </c>
      <c r="V107">
        <v>2</v>
      </c>
      <c r="W107" t="s">
        <v>120</v>
      </c>
      <c r="X107" t="s">
        <v>121</v>
      </c>
      <c r="Y107" t="s">
        <v>87</v>
      </c>
      <c r="AA107" t="s">
        <v>48</v>
      </c>
      <c r="AB107">
        <v>1</v>
      </c>
      <c r="AD107">
        <v>1</v>
      </c>
      <c r="AE107" t="s">
        <v>126</v>
      </c>
      <c r="AF107" t="s">
        <v>50</v>
      </c>
      <c r="AI107">
        <v>0</v>
      </c>
      <c r="AJ107">
        <v>15</v>
      </c>
    </row>
    <row r="108" spans="1:36" x14ac:dyDescent="0.25">
      <c r="A108" t="s">
        <v>709</v>
      </c>
      <c r="B108">
        <v>107</v>
      </c>
      <c r="C108" t="s">
        <v>33</v>
      </c>
      <c r="D108">
        <v>1</v>
      </c>
      <c r="F108">
        <v>3</v>
      </c>
      <c r="G108" t="s">
        <v>65</v>
      </c>
      <c r="H108" t="s">
        <v>35</v>
      </c>
      <c r="K108" t="s">
        <v>63</v>
      </c>
      <c r="L108">
        <v>1</v>
      </c>
      <c r="N108">
        <v>1</v>
      </c>
      <c r="O108" t="s">
        <v>145</v>
      </c>
      <c r="P108" t="s">
        <v>95</v>
      </c>
      <c r="Q108" t="s">
        <v>147</v>
      </c>
      <c r="R108" t="s">
        <v>151</v>
      </c>
      <c r="S108" t="s">
        <v>56</v>
      </c>
      <c r="T108">
        <v>3</v>
      </c>
      <c r="V108">
        <v>1</v>
      </c>
      <c r="W108" t="s">
        <v>68</v>
      </c>
      <c r="X108" t="s">
        <v>69</v>
      </c>
      <c r="AA108" t="s">
        <v>48</v>
      </c>
      <c r="AB108">
        <v>2</v>
      </c>
      <c r="AD108">
        <v>1</v>
      </c>
      <c r="AE108" t="s">
        <v>89</v>
      </c>
      <c r="AI108">
        <v>0</v>
      </c>
      <c r="AJ108">
        <v>15</v>
      </c>
    </row>
    <row r="109" spans="1:36" x14ac:dyDescent="0.25">
      <c r="A109" t="s">
        <v>710</v>
      </c>
      <c r="B109">
        <v>108</v>
      </c>
      <c r="C109" t="s">
        <v>33</v>
      </c>
      <c r="D109">
        <v>1</v>
      </c>
      <c r="F109">
        <v>1</v>
      </c>
      <c r="G109" t="s">
        <v>34</v>
      </c>
      <c r="H109" t="s">
        <v>66</v>
      </c>
      <c r="K109" t="s">
        <v>38</v>
      </c>
      <c r="L109">
        <v>1</v>
      </c>
      <c r="M109">
        <v>3</v>
      </c>
      <c r="N109">
        <v>2</v>
      </c>
      <c r="O109" t="s">
        <v>152</v>
      </c>
      <c r="P109" t="s">
        <v>96</v>
      </c>
      <c r="S109" t="s">
        <v>56</v>
      </c>
      <c r="T109">
        <v>1</v>
      </c>
      <c r="V109">
        <v>1</v>
      </c>
      <c r="W109" t="s">
        <v>68</v>
      </c>
      <c r="X109" t="s">
        <v>122</v>
      </c>
      <c r="Y109" t="s">
        <v>87</v>
      </c>
      <c r="Z109" t="s">
        <v>124</v>
      </c>
      <c r="AA109" t="s">
        <v>48</v>
      </c>
      <c r="AB109">
        <v>1</v>
      </c>
      <c r="AD109">
        <v>1</v>
      </c>
      <c r="AE109" t="s">
        <v>89</v>
      </c>
      <c r="AI109">
        <v>0</v>
      </c>
      <c r="AJ109">
        <v>12</v>
      </c>
    </row>
    <row r="110" spans="1:36" x14ac:dyDescent="0.25">
      <c r="A110" t="s">
        <v>711</v>
      </c>
      <c r="B110">
        <v>109</v>
      </c>
      <c r="C110" t="s">
        <v>56</v>
      </c>
      <c r="D110">
        <v>2</v>
      </c>
      <c r="F110">
        <v>1</v>
      </c>
      <c r="G110" t="s">
        <v>120</v>
      </c>
      <c r="H110" t="s">
        <v>121</v>
      </c>
      <c r="I110" t="s">
        <v>87</v>
      </c>
      <c r="K110" t="s">
        <v>48</v>
      </c>
      <c r="L110">
        <v>2</v>
      </c>
      <c r="N110">
        <v>1</v>
      </c>
      <c r="O110" t="s">
        <v>126</v>
      </c>
      <c r="P110" t="s">
        <v>71</v>
      </c>
      <c r="S110" t="s">
        <v>43</v>
      </c>
      <c r="T110">
        <v>3</v>
      </c>
      <c r="V110">
        <v>1</v>
      </c>
      <c r="W110" t="s">
        <v>44</v>
      </c>
      <c r="AA110" t="s">
        <v>45</v>
      </c>
      <c r="AB110">
        <v>3</v>
      </c>
      <c r="AD110">
        <v>1</v>
      </c>
      <c r="AE110" t="s">
        <v>140</v>
      </c>
      <c r="AF110" t="s">
        <v>92</v>
      </c>
      <c r="AI110">
        <v>0</v>
      </c>
      <c r="AJ110">
        <v>14</v>
      </c>
    </row>
    <row r="111" spans="1:36" x14ac:dyDescent="0.25">
      <c r="A111" t="s">
        <v>712</v>
      </c>
      <c r="B111">
        <v>110</v>
      </c>
      <c r="C111" t="s">
        <v>43</v>
      </c>
      <c r="D111">
        <v>2</v>
      </c>
      <c r="F111">
        <v>1</v>
      </c>
      <c r="G111" t="s">
        <v>44</v>
      </c>
      <c r="H111" t="s">
        <v>74</v>
      </c>
      <c r="I111" t="s">
        <v>75</v>
      </c>
      <c r="K111" t="s">
        <v>63</v>
      </c>
      <c r="L111">
        <v>1</v>
      </c>
      <c r="N111">
        <v>1</v>
      </c>
      <c r="O111" t="s">
        <v>145</v>
      </c>
      <c r="P111" t="s">
        <v>146</v>
      </c>
      <c r="Q111" t="s">
        <v>104</v>
      </c>
      <c r="R111" t="s">
        <v>150</v>
      </c>
      <c r="S111" t="s">
        <v>56</v>
      </c>
      <c r="T111">
        <v>3</v>
      </c>
      <c r="V111">
        <v>1</v>
      </c>
      <c r="W111" t="s">
        <v>120</v>
      </c>
      <c r="X111" t="s">
        <v>69</v>
      </c>
      <c r="Y111" t="s">
        <v>123</v>
      </c>
      <c r="AA111" t="s">
        <v>48</v>
      </c>
      <c r="AB111">
        <v>1</v>
      </c>
      <c r="AD111">
        <v>1</v>
      </c>
      <c r="AE111" t="s">
        <v>89</v>
      </c>
      <c r="AF111" t="s">
        <v>50</v>
      </c>
      <c r="AG111" t="s">
        <v>127</v>
      </c>
      <c r="AI111">
        <v>0</v>
      </c>
      <c r="AJ111">
        <v>17</v>
      </c>
    </row>
    <row r="112" spans="1:36" x14ac:dyDescent="0.25">
      <c r="A112" t="s">
        <v>713</v>
      </c>
      <c r="B112">
        <v>111</v>
      </c>
      <c r="C112" t="s">
        <v>43</v>
      </c>
      <c r="D112">
        <v>3</v>
      </c>
      <c r="F112">
        <v>1</v>
      </c>
      <c r="G112" t="s">
        <v>44</v>
      </c>
      <c r="H112" t="s">
        <v>136</v>
      </c>
      <c r="K112" t="s">
        <v>38</v>
      </c>
      <c r="L112">
        <v>3</v>
      </c>
      <c r="M112">
        <v>3</v>
      </c>
      <c r="N112">
        <v>3</v>
      </c>
      <c r="O112" t="s">
        <v>39</v>
      </c>
      <c r="P112" t="s">
        <v>96</v>
      </c>
      <c r="Q112" t="s">
        <v>154</v>
      </c>
      <c r="R112" t="s">
        <v>156</v>
      </c>
      <c r="S112" t="s">
        <v>56</v>
      </c>
      <c r="T112">
        <v>3</v>
      </c>
      <c r="V112">
        <v>3</v>
      </c>
      <c r="W112" t="s">
        <v>120</v>
      </c>
      <c r="X112" t="s">
        <v>121</v>
      </c>
      <c r="Y112" t="s">
        <v>87</v>
      </c>
      <c r="Z112" t="s">
        <v>88</v>
      </c>
      <c r="AA112" t="s">
        <v>48</v>
      </c>
      <c r="AB112">
        <v>1</v>
      </c>
      <c r="AD112">
        <v>2</v>
      </c>
      <c r="AE112" t="s">
        <v>126</v>
      </c>
      <c r="AF112" t="s">
        <v>84</v>
      </c>
      <c r="AG112" t="s">
        <v>51</v>
      </c>
      <c r="AI112">
        <v>0</v>
      </c>
      <c r="AJ112">
        <v>29</v>
      </c>
    </row>
    <row r="113" spans="1:36" x14ac:dyDescent="0.25">
      <c r="A113" t="s">
        <v>714</v>
      </c>
      <c r="B113">
        <v>112</v>
      </c>
      <c r="C113" t="s">
        <v>45</v>
      </c>
      <c r="D113">
        <v>3</v>
      </c>
      <c r="F113">
        <v>2</v>
      </c>
      <c r="G113" t="s">
        <v>86</v>
      </c>
      <c r="K113" t="s">
        <v>63</v>
      </c>
      <c r="L113">
        <v>1</v>
      </c>
      <c r="N113">
        <v>1</v>
      </c>
      <c r="O113" t="s">
        <v>145</v>
      </c>
      <c r="P113" t="s">
        <v>146</v>
      </c>
      <c r="Q113" t="s">
        <v>104</v>
      </c>
      <c r="R113" t="s">
        <v>149</v>
      </c>
      <c r="S113" t="s">
        <v>56</v>
      </c>
      <c r="T113">
        <v>3</v>
      </c>
      <c r="V113">
        <v>1</v>
      </c>
      <c r="W113" t="s">
        <v>68</v>
      </c>
      <c r="X113" t="s">
        <v>121</v>
      </c>
      <c r="Y113" t="s">
        <v>123</v>
      </c>
      <c r="AA113" t="s">
        <v>48</v>
      </c>
      <c r="AB113">
        <v>1</v>
      </c>
      <c r="AD113">
        <v>1</v>
      </c>
      <c r="AE113" t="s">
        <v>89</v>
      </c>
      <c r="AF113" t="s">
        <v>50</v>
      </c>
      <c r="AI113">
        <v>0</v>
      </c>
      <c r="AJ113">
        <v>16</v>
      </c>
    </row>
    <row r="114" spans="1:36" x14ac:dyDescent="0.25">
      <c r="A114" t="s">
        <v>715</v>
      </c>
      <c r="B114">
        <v>113</v>
      </c>
      <c r="C114" t="s">
        <v>45</v>
      </c>
      <c r="D114">
        <v>3</v>
      </c>
      <c r="F114">
        <v>2</v>
      </c>
      <c r="G114" t="s">
        <v>47</v>
      </c>
      <c r="H114" t="s">
        <v>76</v>
      </c>
      <c r="I114" t="s">
        <v>142</v>
      </c>
      <c r="K114" t="s">
        <v>38</v>
      </c>
      <c r="L114">
        <v>3</v>
      </c>
      <c r="M114">
        <v>2</v>
      </c>
      <c r="N114">
        <v>3</v>
      </c>
      <c r="O114" t="s">
        <v>39</v>
      </c>
      <c r="P114" t="s">
        <v>40</v>
      </c>
      <c r="Q114" t="s">
        <v>154</v>
      </c>
      <c r="R114" t="s">
        <v>156</v>
      </c>
      <c r="S114" t="s">
        <v>56</v>
      </c>
      <c r="T114">
        <v>3</v>
      </c>
      <c r="V114">
        <v>3</v>
      </c>
      <c r="W114" t="s">
        <v>57</v>
      </c>
      <c r="X114" t="s">
        <v>69</v>
      </c>
      <c r="Y114" t="s">
        <v>85</v>
      </c>
      <c r="Z114" t="s">
        <v>124</v>
      </c>
      <c r="AA114" t="s">
        <v>48</v>
      </c>
      <c r="AB114">
        <v>1</v>
      </c>
      <c r="AD114">
        <v>1</v>
      </c>
      <c r="AE114" t="s">
        <v>126</v>
      </c>
      <c r="AF114" t="s">
        <v>84</v>
      </c>
      <c r="AG114" t="s">
        <v>90</v>
      </c>
      <c r="AI114">
        <v>0</v>
      </c>
      <c r="AJ114">
        <v>26</v>
      </c>
    </row>
    <row r="115" spans="1:36" x14ac:dyDescent="0.25">
      <c r="A115" t="s">
        <v>716</v>
      </c>
      <c r="B115">
        <v>114</v>
      </c>
      <c r="C115" t="s">
        <v>63</v>
      </c>
      <c r="D115">
        <v>1</v>
      </c>
      <c r="F115">
        <v>2</v>
      </c>
      <c r="G115" t="s">
        <v>145</v>
      </c>
      <c r="H115" t="s">
        <v>95</v>
      </c>
      <c r="I115" t="s">
        <v>148</v>
      </c>
      <c r="J115" t="s">
        <v>149</v>
      </c>
      <c r="K115" t="s">
        <v>38</v>
      </c>
      <c r="L115">
        <v>2</v>
      </c>
      <c r="M115">
        <v>1</v>
      </c>
      <c r="N115">
        <v>1</v>
      </c>
      <c r="O115" t="s">
        <v>39</v>
      </c>
      <c r="P115" t="s">
        <v>96</v>
      </c>
      <c r="Q115" t="s">
        <v>41</v>
      </c>
      <c r="R115" t="s">
        <v>156</v>
      </c>
      <c r="S115" t="s">
        <v>56</v>
      </c>
      <c r="T115">
        <v>1</v>
      </c>
      <c r="V115">
        <v>1</v>
      </c>
      <c r="W115" t="s">
        <v>57</v>
      </c>
      <c r="X115" t="s">
        <v>121</v>
      </c>
      <c r="AA115" t="s">
        <v>48</v>
      </c>
      <c r="AB115">
        <v>2</v>
      </c>
      <c r="AD115">
        <v>1</v>
      </c>
      <c r="AE115" t="s">
        <v>89</v>
      </c>
      <c r="AF115" t="s">
        <v>71</v>
      </c>
      <c r="AG115" t="s">
        <v>127</v>
      </c>
      <c r="AH115" t="s">
        <v>52</v>
      </c>
      <c r="AI115">
        <v>0</v>
      </c>
      <c r="AJ115">
        <v>17</v>
      </c>
    </row>
    <row r="116" spans="1:36" x14ac:dyDescent="0.25">
      <c r="A116" t="s">
        <v>717</v>
      </c>
      <c r="B116">
        <v>115</v>
      </c>
      <c r="C116" t="s">
        <v>48</v>
      </c>
      <c r="D116">
        <v>2</v>
      </c>
      <c r="F116">
        <v>1</v>
      </c>
      <c r="G116" t="s">
        <v>89</v>
      </c>
      <c r="H116" t="s">
        <v>84</v>
      </c>
      <c r="I116" t="s">
        <v>51</v>
      </c>
      <c r="J116" t="s">
        <v>129</v>
      </c>
      <c r="K116" t="s">
        <v>43</v>
      </c>
      <c r="L116">
        <v>2</v>
      </c>
      <c r="N116">
        <v>1</v>
      </c>
      <c r="O116" t="s">
        <v>44</v>
      </c>
      <c r="P116" t="s">
        <v>99</v>
      </c>
      <c r="Q116" t="s">
        <v>75</v>
      </c>
      <c r="S116" t="s">
        <v>56</v>
      </c>
      <c r="T116">
        <v>1</v>
      </c>
      <c r="V116">
        <v>1</v>
      </c>
      <c r="W116" t="s">
        <v>120</v>
      </c>
      <c r="X116" t="s">
        <v>121</v>
      </c>
      <c r="Y116" t="s">
        <v>123</v>
      </c>
      <c r="Z116" t="s">
        <v>88</v>
      </c>
      <c r="AA116" t="s">
        <v>33</v>
      </c>
      <c r="AB116">
        <v>1</v>
      </c>
      <c r="AD116">
        <v>1</v>
      </c>
      <c r="AE116" t="s">
        <v>34</v>
      </c>
      <c r="AF116" t="s">
        <v>66</v>
      </c>
      <c r="AI116">
        <v>0</v>
      </c>
      <c r="AJ116">
        <v>17</v>
      </c>
    </row>
    <row r="117" spans="1:36" x14ac:dyDescent="0.25">
      <c r="A117" t="s">
        <v>718</v>
      </c>
      <c r="B117">
        <v>116</v>
      </c>
      <c r="C117" t="s">
        <v>48</v>
      </c>
      <c r="D117">
        <v>2</v>
      </c>
      <c r="F117">
        <v>1</v>
      </c>
      <c r="G117" t="s">
        <v>89</v>
      </c>
      <c r="H117" t="s">
        <v>84</v>
      </c>
      <c r="I117" t="s">
        <v>51</v>
      </c>
      <c r="J117" t="s">
        <v>52</v>
      </c>
      <c r="K117" t="s">
        <v>45</v>
      </c>
      <c r="L117">
        <v>1</v>
      </c>
      <c r="N117">
        <v>2</v>
      </c>
      <c r="O117" t="s">
        <v>140</v>
      </c>
      <c r="P117" t="s">
        <v>92</v>
      </c>
      <c r="S117" t="s">
        <v>56</v>
      </c>
      <c r="T117">
        <v>3</v>
      </c>
      <c r="V117">
        <v>1</v>
      </c>
      <c r="W117" t="s">
        <v>68</v>
      </c>
      <c r="AA117" t="s">
        <v>33</v>
      </c>
      <c r="AB117">
        <v>1</v>
      </c>
      <c r="AD117">
        <v>1</v>
      </c>
      <c r="AE117" t="s">
        <v>34</v>
      </c>
      <c r="AF117" t="s">
        <v>66</v>
      </c>
      <c r="AI117">
        <v>0</v>
      </c>
      <c r="AJ117">
        <v>13</v>
      </c>
    </row>
    <row r="118" spans="1:36" x14ac:dyDescent="0.25">
      <c r="A118" t="s">
        <v>719</v>
      </c>
      <c r="B118">
        <v>117</v>
      </c>
      <c r="C118" t="s">
        <v>56</v>
      </c>
      <c r="D118">
        <v>2</v>
      </c>
      <c r="F118">
        <v>1</v>
      </c>
      <c r="G118" t="s">
        <v>57</v>
      </c>
      <c r="H118" t="s">
        <v>122</v>
      </c>
      <c r="I118" t="s">
        <v>123</v>
      </c>
      <c r="J118" t="s">
        <v>124</v>
      </c>
      <c r="K118" t="s">
        <v>33</v>
      </c>
      <c r="L118">
        <v>3</v>
      </c>
      <c r="N118">
        <v>1</v>
      </c>
      <c r="O118" t="s">
        <v>34</v>
      </c>
      <c r="S118" t="s">
        <v>48</v>
      </c>
      <c r="T118">
        <v>1</v>
      </c>
      <c r="V118">
        <v>1</v>
      </c>
      <c r="W118" t="s">
        <v>89</v>
      </c>
      <c r="X118" t="s">
        <v>50</v>
      </c>
      <c r="AA118" t="s">
        <v>63</v>
      </c>
      <c r="AB118">
        <v>2</v>
      </c>
      <c r="AD118">
        <v>1</v>
      </c>
      <c r="AE118" t="s">
        <v>145</v>
      </c>
      <c r="AF118" t="s">
        <v>146</v>
      </c>
      <c r="AG118" t="s">
        <v>104</v>
      </c>
      <c r="AI118">
        <v>0</v>
      </c>
      <c r="AJ118">
        <v>14</v>
      </c>
    </row>
    <row r="119" spans="1:36" x14ac:dyDescent="0.25">
      <c r="A119" t="s">
        <v>720</v>
      </c>
      <c r="B119">
        <v>118</v>
      </c>
      <c r="C119" t="s">
        <v>56</v>
      </c>
      <c r="D119">
        <v>3</v>
      </c>
      <c r="F119">
        <v>2</v>
      </c>
      <c r="G119" t="s">
        <v>57</v>
      </c>
      <c r="H119" t="s">
        <v>121</v>
      </c>
      <c r="I119" t="s">
        <v>123</v>
      </c>
      <c r="K119" t="s">
        <v>33</v>
      </c>
      <c r="L119">
        <v>1</v>
      </c>
      <c r="N119">
        <v>1</v>
      </c>
      <c r="O119" t="s">
        <v>65</v>
      </c>
      <c r="S119" t="s">
        <v>48</v>
      </c>
      <c r="T119">
        <v>3</v>
      </c>
      <c r="V119">
        <v>2</v>
      </c>
      <c r="W119" t="s">
        <v>89</v>
      </c>
      <c r="X119" t="s">
        <v>84</v>
      </c>
      <c r="Y119" t="s">
        <v>90</v>
      </c>
      <c r="Z119" t="s">
        <v>129</v>
      </c>
      <c r="AA119" t="s">
        <v>38</v>
      </c>
      <c r="AB119">
        <v>2</v>
      </c>
      <c r="AC119">
        <v>1</v>
      </c>
      <c r="AD119">
        <v>2</v>
      </c>
      <c r="AE119" t="s">
        <v>67</v>
      </c>
      <c r="AF119" t="s">
        <v>96</v>
      </c>
      <c r="AG119" t="s">
        <v>154</v>
      </c>
      <c r="AI119">
        <v>0</v>
      </c>
      <c r="AJ119">
        <v>19</v>
      </c>
    </row>
    <row r="120" spans="1:36" x14ac:dyDescent="0.25">
      <c r="A120" t="s">
        <v>721</v>
      </c>
      <c r="B120">
        <v>119</v>
      </c>
      <c r="C120" t="s">
        <v>43</v>
      </c>
      <c r="D120">
        <v>3</v>
      </c>
      <c r="F120">
        <v>1</v>
      </c>
      <c r="G120" t="s">
        <v>135</v>
      </c>
      <c r="H120" t="s">
        <v>74</v>
      </c>
      <c r="I120" t="s">
        <v>137</v>
      </c>
      <c r="K120" t="s">
        <v>45</v>
      </c>
      <c r="L120">
        <v>3</v>
      </c>
      <c r="N120">
        <v>1</v>
      </c>
      <c r="O120" t="s">
        <v>140</v>
      </c>
      <c r="P120" t="s">
        <v>76</v>
      </c>
      <c r="Q120" t="s">
        <v>142</v>
      </c>
      <c r="S120" t="s">
        <v>56</v>
      </c>
      <c r="T120">
        <v>2</v>
      </c>
      <c r="V120">
        <v>2</v>
      </c>
      <c r="W120" t="s">
        <v>120</v>
      </c>
      <c r="X120" t="s">
        <v>121</v>
      </c>
      <c r="AA120" t="s">
        <v>33</v>
      </c>
      <c r="AB120">
        <v>1</v>
      </c>
      <c r="AD120">
        <v>1</v>
      </c>
      <c r="AE120" t="s">
        <v>34</v>
      </c>
      <c r="AI120">
        <v>0</v>
      </c>
      <c r="AJ120">
        <v>15</v>
      </c>
    </row>
    <row r="121" spans="1:36" x14ac:dyDescent="0.25">
      <c r="A121" t="s">
        <v>722</v>
      </c>
      <c r="B121">
        <v>120</v>
      </c>
      <c r="C121" t="s">
        <v>43</v>
      </c>
      <c r="D121">
        <v>2</v>
      </c>
      <c r="F121">
        <v>2</v>
      </c>
      <c r="G121" t="s">
        <v>44</v>
      </c>
      <c r="H121" t="s">
        <v>99</v>
      </c>
      <c r="K121" t="s">
        <v>63</v>
      </c>
      <c r="L121">
        <v>1</v>
      </c>
      <c r="N121">
        <v>1</v>
      </c>
      <c r="O121" t="s">
        <v>72</v>
      </c>
      <c r="P121" t="s">
        <v>146</v>
      </c>
      <c r="Q121" t="s">
        <v>147</v>
      </c>
      <c r="S121" t="s">
        <v>56</v>
      </c>
      <c r="T121">
        <v>3</v>
      </c>
      <c r="V121">
        <v>1</v>
      </c>
      <c r="W121" t="s">
        <v>57</v>
      </c>
      <c r="AA121" t="s">
        <v>33</v>
      </c>
      <c r="AB121">
        <v>1</v>
      </c>
      <c r="AD121">
        <v>1</v>
      </c>
      <c r="AE121" t="s">
        <v>34</v>
      </c>
      <c r="AI121">
        <v>0</v>
      </c>
      <c r="AJ121">
        <v>11</v>
      </c>
    </row>
    <row r="122" spans="1:36" x14ac:dyDescent="0.25">
      <c r="A122" t="s">
        <v>723</v>
      </c>
      <c r="B122">
        <v>121</v>
      </c>
      <c r="C122" t="s">
        <v>43</v>
      </c>
      <c r="D122">
        <v>2</v>
      </c>
      <c r="F122">
        <v>1</v>
      </c>
      <c r="G122" t="s">
        <v>44</v>
      </c>
      <c r="H122" t="s">
        <v>99</v>
      </c>
      <c r="I122" t="s">
        <v>75</v>
      </c>
      <c r="J122" t="s">
        <v>101</v>
      </c>
      <c r="K122" t="s">
        <v>38</v>
      </c>
      <c r="L122">
        <v>2</v>
      </c>
      <c r="M122">
        <v>3</v>
      </c>
      <c r="N122">
        <v>1</v>
      </c>
      <c r="O122" t="s">
        <v>67</v>
      </c>
      <c r="P122" t="s">
        <v>40</v>
      </c>
      <c r="Q122" t="s">
        <v>154</v>
      </c>
      <c r="S122" t="s">
        <v>56</v>
      </c>
      <c r="T122">
        <v>1</v>
      </c>
      <c r="V122">
        <v>3</v>
      </c>
      <c r="W122" t="s">
        <v>120</v>
      </c>
      <c r="X122" t="s">
        <v>121</v>
      </c>
      <c r="Y122" t="s">
        <v>87</v>
      </c>
      <c r="AA122" t="s">
        <v>33</v>
      </c>
      <c r="AB122">
        <v>1</v>
      </c>
      <c r="AD122">
        <v>1</v>
      </c>
      <c r="AE122" t="s">
        <v>46</v>
      </c>
      <c r="AI122">
        <v>0</v>
      </c>
      <c r="AJ122">
        <v>17</v>
      </c>
    </row>
    <row r="123" spans="1:36" x14ac:dyDescent="0.25">
      <c r="A123" t="s">
        <v>724</v>
      </c>
      <c r="B123">
        <v>122</v>
      </c>
      <c r="C123" t="s">
        <v>45</v>
      </c>
      <c r="D123">
        <v>2</v>
      </c>
      <c r="F123">
        <v>2</v>
      </c>
      <c r="G123" t="s">
        <v>86</v>
      </c>
      <c r="K123" t="s">
        <v>63</v>
      </c>
      <c r="L123">
        <v>1</v>
      </c>
      <c r="N123">
        <v>1</v>
      </c>
      <c r="O123" t="s">
        <v>145</v>
      </c>
      <c r="P123" t="s">
        <v>146</v>
      </c>
      <c r="Q123" t="s">
        <v>147</v>
      </c>
      <c r="R123" t="s">
        <v>149</v>
      </c>
      <c r="S123" t="s">
        <v>56</v>
      </c>
      <c r="T123">
        <v>3</v>
      </c>
      <c r="V123">
        <v>2</v>
      </c>
      <c r="W123" t="s">
        <v>57</v>
      </c>
      <c r="AA123" t="s">
        <v>33</v>
      </c>
      <c r="AB123">
        <v>1</v>
      </c>
      <c r="AD123">
        <v>1</v>
      </c>
      <c r="AE123" t="s">
        <v>34</v>
      </c>
      <c r="AI123">
        <v>0</v>
      </c>
      <c r="AJ123">
        <v>14</v>
      </c>
    </row>
    <row r="124" spans="1:36" x14ac:dyDescent="0.25">
      <c r="A124" t="s">
        <v>725</v>
      </c>
      <c r="B124">
        <v>123</v>
      </c>
      <c r="C124" t="s">
        <v>45</v>
      </c>
      <c r="D124">
        <v>3</v>
      </c>
      <c r="F124">
        <v>1</v>
      </c>
      <c r="G124" t="s">
        <v>140</v>
      </c>
      <c r="H124" t="s">
        <v>92</v>
      </c>
      <c r="K124" t="s">
        <v>38</v>
      </c>
      <c r="L124">
        <v>1</v>
      </c>
      <c r="M124">
        <v>1</v>
      </c>
      <c r="N124">
        <v>2</v>
      </c>
      <c r="O124" t="s">
        <v>67</v>
      </c>
      <c r="P124" t="s">
        <v>96</v>
      </c>
      <c r="Q124" t="s">
        <v>154</v>
      </c>
      <c r="S124" t="s">
        <v>56</v>
      </c>
      <c r="T124">
        <v>2</v>
      </c>
      <c r="V124">
        <v>1</v>
      </c>
      <c r="W124" t="s">
        <v>57</v>
      </c>
      <c r="X124" t="s">
        <v>121</v>
      </c>
      <c r="AA124" t="s">
        <v>33</v>
      </c>
      <c r="AB124">
        <v>1</v>
      </c>
      <c r="AD124">
        <v>1</v>
      </c>
      <c r="AE124" t="s">
        <v>46</v>
      </c>
      <c r="AI124">
        <v>0</v>
      </c>
      <c r="AJ124">
        <v>12</v>
      </c>
    </row>
    <row r="125" spans="1:36" x14ac:dyDescent="0.25">
      <c r="A125" t="s">
        <v>726</v>
      </c>
      <c r="B125">
        <v>124</v>
      </c>
      <c r="C125" t="s">
        <v>63</v>
      </c>
      <c r="D125">
        <v>1</v>
      </c>
      <c r="F125">
        <v>2</v>
      </c>
      <c r="G125" t="s">
        <v>145</v>
      </c>
      <c r="H125" t="s">
        <v>146</v>
      </c>
      <c r="I125" t="s">
        <v>104</v>
      </c>
      <c r="J125" t="s">
        <v>149</v>
      </c>
      <c r="K125" t="s">
        <v>38</v>
      </c>
      <c r="L125">
        <v>1</v>
      </c>
      <c r="M125">
        <v>1</v>
      </c>
      <c r="N125">
        <v>2</v>
      </c>
      <c r="O125" t="s">
        <v>67</v>
      </c>
      <c r="P125" t="s">
        <v>96</v>
      </c>
      <c r="Q125" t="s">
        <v>154</v>
      </c>
      <c r="R125" t="s">
        <v>156</v>
      </c>
      <c r="S125" t="s">
        <v>56</v>
      </c>
      <c r="T125">
        <v>3</v>
      </c>
      <c r="V125">
        <v>1</v>
      </c>
      <c r="W125" t="s">
        <v>57</v>
      </c>
      <c r="X125" t="s">
        <v>69</v>
      </c>
      <c r="Y125" t="s">
        <v>123</v>
      </c>
      <c r="AA125" t="s">
        <v>33</v>
      </c>
      <c r="AB125">
        <v>1</v>
      </c>
      <c r="AD125">
        <v>1</v>
      </c>
      <c r="AE125" t="s">
        <v>65</v>
      </c>
      <c r="AI125">
        <v>0</v>
      </c>
      <c r="AJ125">
        <v>17</v>
      </c>
    </row>
    <row r="126" spans="1:36" x14ac:dyDescent="0.25">
      <c r="A126" t="s">
        <v>727</v>
      </c>
      <c r="B126">
        <v>126</v>
      </c>
      <c r="C126" t="s">
        <v>48</v>
      </c>
      <c r="D126">
        <v>3</v>
      </c>
      <c r="F126">
        <v>2</v>
      </c>
      <c r="G126" t="s">
        <v>89</v>
      </c>
      <c r="H126" t="s">
        <v>50</v>
      </c>
      <c r="I126" t="s">
        <v>51</v>
      </c>
      <c r="J126" t="s">
        <v>129</v>
      </c>
      <c r="K126" t="s">
        <v>45</v>
      </c>
      <c r="L126">
        <v>2</v>
      </c>
      <c r="N126">
        <v>1</v>
      </c>
      <c r="O126" t="s">
        <v>140</v>
      </c>
      <c r="P126" t="s">
        <v>76</v>
      </c>
      <c r="S126" t="s">
        <v>56</v>
      </c>
      <c r="T126">
        <v>2</v>
      </c>
      <c r="V126">
        <v>2</v>
      </c>
      <c r="W126" t="s">
        <v>120</v>
      </c>
      <c r="X126" t="s">
        <v>69</v>
      </c>
      <c r="Y126" t="s">
        <v>123</v>
      </c>
      <c r="AA126" t="s">
        <v>43</v>
      </c>
      <c r="AB126">
        <v>1</v>
      </c>
      <c r="AD126">
        <v>1</v>
      </c>
      <c r="AE126" t="s">
        <v>44</v>
      </c>
      <c r="AF126" t="s">
        <v>136</v>
      </c>
      <c r="AG126" t="s">
        <v>75</v>
      </c>
      <c r="AI126">
        <v>0</v>
      </c>
      <c r="AJ126">
        <v>18</v>
      </c>
    </row>
    <row r="127" spans="1:36" x14ac:dyDescent="0.25">
      <c r="A127" t="s">
        <v>728</v>
      </c>
      <c r="B127">
        <v>127</v>
      </c>
      <c r="C127" t="s">
        <v>56</v>
      </c>
      <c r="D127">
        <v>3</v>
      </c>
      <c r="F127">
        <v>1</v>
      </c>
      <c r="G127" t="s">
        <v>57</v>
      </c>
      <c r="H127" t="s">
        <v>122</v>
      </c>
      <c r="I127" t="s">
        <v>123</v>
      </c>
      <c r="J127" t="s">
        <v>124</v>
      </c>
      <c r="K127" t="s">
        <v>43</v>
      </c>
      <c r="L127">
        <v>3</v>
      </c>
      <c r="N127">
        <v>1</v>
      </c>
      <c r="O127" t="s">
        <v>44</v>
      </c>
      <c r="S127" t="s">
        <v>48</v>
      </c>
      <c r="T127">
        <v>2</v>
      </c>
      <c r="V127">
        <v>1</v>
      </c>
      <c r="W127" t="s">
        <v>89</v>
      </c>
      <c r="X127" t="s">
        <v>50</v>
      </c>
      <c r="Y127" t="s">
        <v>51</v>
      </c>
      <c r="Z127" t="s">
        <v>129</v>
      </c>
      <c r="AA127" t="s">
        <v>63</v>
      </c>
      <c r="AB127">
        <v>1</v>
      </c>
      <c r="AD127">
        <v>2</v>
      </c>
      <c r="AE127" t="s">
        <v>103</v>
      </c>
      <c r="AF127" t="s">
        <v>146</v>
      </c>
      <c r="AG127" t="s">
        <v>147</v>
      </c>
      <c r="AH127" t="s">
        <v>150</v>
      </c>
      <c r="AI127">
        <v>0</v>
      </c>
      <c r="AJ127">
        <v>19</v>
      </c>
    </row>
    <row r="128" spans="1:36" x14ac:dyDescent="0.25">
      <c r="A128" t="s">
        <v>729</v>
      </c>
      <c r="B128">
        <v>128</v>
      </c>
      <c r="C128" t="s">
        <v>56</v>
      </c>
      <c r="D128">
        <v>3</v>
      </c>
      <c r="F128">
        <v>1</v>
      </c>
      <c r="G128" t="s">
        <v>57</v>
      </c>
      <c r="H128" t="s">
        <v>121</v>
      </c>
      <c r="K128" t="s">
        <v>43</v>
      </c>
      <c r="L128">
        <v>3</v>
      </c>
      <c r="N128">
        <v>2</v>
      </c>
      <c r="O128" t="s">
        <v>44</v>
      </c>
      <c r="P128" t="s">
        <v>99</v>
      </c>
      <c r="S128" t="s">
        <v>48</v>
      </c>
      <c r="T128">
        <v>1</v>
      </c>
      <c r="V128">
        <v>1</v>
      </c>
      <c r="W128" t="s">
        <v>126</v>
      </c>
      <c r="X128" t="s">
        <v>71</v>
      </c>
      <c r="Y128" t="s">
        <v>90</v>
      </c>
      <c r="Z128" t="s">
        <v>128</v>
      </c>
      <c r="AA128" t="s">
        <v>38</v>
      </c>
      <c r="AB128">
        <v>1</v>
      </c>
      <c r="AC128">
        <v>1</v>
      </c>
      <c r="AD128">
        <v>2</v>
      </c>
      <c r="AE128" t="s">
        <v>39</v>
      </c>
      <c r="AI128">
        <v>0</v>
      </c>
      <c r="AJ128">
        <v>15</v>
      </c>
    </row>
    <row r="129" spans="1:36" x14ac:dyDescent="0.25">
      <c r="A129" t="s">
        <v>730</v>
      </c>
      <c r="B129">
        <v>129</v>
      </c>
      <c r="C129" t="s">
        <v>33</v>
      </c>
      <c r="D129">
        <v>2</v>
      </c>
      <c r="F129">
        <v>2</v>
      </c>
      <c r="G129" t="s">
        <v>34</v>
      </c>
      <c r="K129" t="s">
        <v>45</v>
      </c>
      <c r="L129">
        <v>3</v>
      </c>
      <c r="N129">
        <v>2</v>
      </c>
      <c r="O129" t="s">
        <v>140</v>
      </c>
      <c r="S129" t="s">
        <v>56</v>
      </c>
      <c r="T129">
        <v>2</v>
      </c>
      <c r="V129">
        <v>1</v>
      </c>
      <c r="W129" t="s">
        <v>68</v>
      </c>
      <c r="X129" t="s">
        <v>121</v>
      </c>
      <c r="AA129" t="s">
        <v>43</v>
      </c>
      <c r="AB129">
        <v>2</v>
      </c>
      <c r="AD129">
        <v>1</v>
      </c>
      <c r="AE129" t="s">
        <v>44</v>
      </c>
      <c r="AF129" t="s">
        <v>136</v>
      </c>
      <c r="AI129">
        <v>0</v>
      </c>
      <c r="AJ129">
        <v>15</v>
      </c>
    </row>
    <row r="130" spans="1:36" x14ac:dyDescent="0.25">
      <c r="A130" t="s">
        <v>731</v>
      </c>
      <c r="B130">
        <v>130</v>
      </c>
      <c r="C130" t="s">
        <v>56</v>
      </c>
      <c r="D130">
        <v>3</v>
      </c>
      <c r="F130">
        <v>1</v>
      </c>
      <c r="G130" t="s">
        <v>68</v>
      </c>
      <c r="H130" t="s">
        <v>69</v>
      </c>
      <c r="K130" t="s">
        <v>43</v>
      </c>
      <c r="L130">
        <v>3</v>
      </c>
      <c r="N130">
        <v>1</v>
      </c>
      <c r="O130" t="s">
        <v>44</v>
      </c>
      <c r="P130" t="s">
        <v>99</v>
      </c>
      <c r="Q130" t="s">
        <v>137</v>
      </c>
      <c r="S130" t="s">
        <v>33</v>
      </c>
      <c r="T130">
        <v>1</v>
      </c>
      <c r="V130">
        <v>2</v>
      </c>
      <c r="W130" t="s">
        <v>34</v>
      </c>
      <c r="AA130" t="s">
        <v>63</v>
      </c>
      <c r="AB130">
        <v>1</v>
      </c>
      <c r="AD130">
        <v>2</v>
      </c>
      <c r="AE130" t="s">
        <v>145</v>
      </c>
      <c r="AF130" t="s">
        <v>146</v>
      </c>
      <c r="AG130" t="s">
        <v>104</v>
      </c>
      <c r="AI130">
        <v>0</v>
      </c>
      <c r="AJ130">
        <v>15</v>
      </c>
    </row>
    <row r="131" spans="1:36" x14ac:dyDescent="0.25">
      <c r="A131" t="s">
        <v>732</v>
      </c>
      <c r="B131">
        <v>131</v>
      </c>
      <c r="C131" t="s">
        <v>56</v>
      </c>
      <c r="D131">
        <v>2</v>
      </c>
      <c r="F131">
        <v>1</v>
      </c>
      <c r="G131" t="s">
        <v>68</v>
      </c>
      <c r="H131" t="s">
        <v>69</v>
      </c>
      <c r="I131" t="s">
        <v>87</v>
      </c>
      <c r="K131" t="s">
        <v>43</v>
      </c>
      <c r="L131">
        <v>1</v>
      </c>
      <c r="N131">
        <v>1</v>
      </c>
      <c r="O131" t="s">
        <v>44</v>
      </c>
      <c r="P131" t="s">
        <v>136</v>
      </c>
      <c r="Q131" t="s">
        <v>137</v>
      </c>
      <c r="R131" t="s">
        <v>101</v>
      </c>
      <c r="S131" t="s">
        <v>33</v>
      </c>
      <c r="T131">
        <v>1</v>
      </c>
      <c r="V131">
        <v>3</v>
      </c>
      <c r="W131" t="s">
        <v>46</v>
      </c>
      <c r="X131" t="s">
        <v>66</v>
      </c>
      <c r="AA131" t="s">
        <v>38</v>
      </c>
      <c r="AB131">
        <v>1</v>
      </c>
      <c r="AC131">
        <v>1</v>
      </c>
      <c r="AD131">
        <v>2</v>
      </c>
      <c r="AE131" t="s">
        <v>39</v>
      </c>
      <c r="AF131" t="s">
        <v>96</v>
      </c>
      <c r="AI131">
        <v>0</v>
      </c>
      <c r="AJ131">
        <v>15</v>
      </c>
    </row>
    <row r="132" spans="1:36" x14ac:dyDescent="0.25">
      <c r="A132" t="s">
        <v>733</v>
      </c>
      <c r="B132">
        <v>132</v>
      </c>
      <c r="C132" t="s">
        <v>45</v>
      </c>
      <c r="D132">
        <v>3</v>
      </c>
      <c r="F132">
        <v>1</v>
      </c>
      <c r="G132" t="s">
        <v>140</v>
      </c>
      <c r="H132" t="s">
        <v>141</v>
      </c>
      <c r="K132" t="s">
        <v>63</v>
      </c>
      <c r="L132">
        <v>1</v>
      </c>
      <c r="N132">
        <v>1</v>
      </c>
      <c r="O132" t="s">
        <v>103</v>
      </c>
      <c r="P132" t="s">
        <v>146</v>
      </c>
      <c r="Q132" t="s">
        <v>148</v>
      </c>
      <c r="R132" t="s">
        <v>150</v>
      </c>
      <c r="S132" t="s">
        <v>56</v>
      </c>
      <c r="T132">
        <v>3</v>
      </c>
      <c r="V132">
        <v>1</v>
      </c>
      <c r="W132" t="s">
        <v>57</v>
      </c>
      <c r="X132" t="s">
        <v>69</v>
      </c>
      <c r="AA132" t="s">
        <v>43</v>
      </c>
      <c r="AB132">
        <v>1</v>
      </c>
      <c r="AD132">
        <v>1</v>
      </c>
      <c r="AE132" t="s">
        <v>44</v>
      </c>
      <c r="AF132" t="s">
        <v>136</v>
      </c>
      <c r="AG132" t="s">
        <v>137</v>
      </c>
      <c r="AI132">
        <v>0</v>
      </c>
      <c r="AJ132">
        <v>16</v>
      </c>
    </row>
    <row r="133" spans="1:36" x14ac:dyDescent="0.25">
      <c r="A133" t="s">
        <v>734</v>
      </c>
      <c r="B133">
        <v>133</v>
      </c>
      <c r="C133" t="s">
        <v>45</v>
      </c>
      <c r="D133">
        <v>3</v>
      </c>
      <c r="F133">
        <v>1</v>
      </c>
      <c r="G133" t="s">
        <v>140</v>
      </c>
      <c r="H133" t="s">
        <v>141</v>
      </c>
      <c r="K133" t="s">
        <v>38</v>
      </c>
      <c r="L133">
        <v>1</v>
      </c>
      <c r="M133">
        <v>1</v>
      </c>
      <c r="N133">
        <v>2</v>
      </c>
      <c r="O133" t="s">
        <v>39</v>
      </c>
      <c r="P133" t="s">
        <v>96</v>
      </c>
      <c r="Q133" t="s">
        <v>154</v>
      </c>
      <c r="S133" t="s">
        <v>56</v>
      </c>
      <c r="T133">
        <v>2</v>
      </c>
      <c r="V133">
        <v>1</v>
      </c>
      <c r="W133" t="s">
        <v>57</v>
      </c>
      <c r="X133" t="s">
        <v>121</v>
      </c>
      <c r="AA133" t="s">
        <v>43</v>
      </c>
      <c r="AB133">
        <v>1</v>
      </c>
      <c r="AD133">
        <v>1</v>
      </c>
      <c r="AE133" t="s">
        <v>44</v>
      </c>
      <c r="AI133">
        <v>0</v>
      </c>
      <c r="AJ133">
        <v>12</v>
      </c>
    </row>
    <row r="134" spans="1:36" x14ac:dyDescent="0.25">
      <c r="A134" t="s">
        <v>735</v>
      </c>
      <c r="B134">
        <v>134</v>
      </c>
      <c r="C134" t="s">
        <v>56</v>
      </c>
      <c r="D134">
        <v>3</v>
      </c>
      <c r="F134">
        <v>1</v>
      </c>
      <c r="G134" t="s">
        <v>57</v>
      </c>
      <c r="H134" t="s">
        <v>122</v>
      </c>
      <c r="I134" t="s">
        <v>123</v>
      </c>
      <c r="K134" t="s">
        <v>43</v>
      </c>
      <c r="L134">
        <v>2</v>
      </c>
      <c r="N134">
        <v>1</v>
      </c>
      <c r="O134" t="s">
        <v>44</v>
      </c>
      <c r="P134" t="s">
        <v>136</v>
      </c>
      <c r="S134" t="s">
        <v>63</v>
      </c>
      <c r="T134">
        <v>1</v>
      </c>
      <c r="V134">
        <v>1</v>
      </c>
      <c r="W134" t="s">
        <v>145</v>
      </c>
      <c r="X134" t="s">
        <v>146</v>
      </c>
      <c r="Y134" t="s">
        <v>147</v>
      </c>
      <c r="Z134" t="s">
        <v>150</v>
      </c>
      <c r="AA134" t="s">
        <v>38</v>
      </c>
      <c r="AB134">
        <v>1</v>
      </c>
      <c r="AC134">
        <v>1</v>
      </c>
      <c r="AD134">
        <v>2</v>
      </c>
      <c r="AE134" t="s">
        <v>39</v>
      </c>
      <c r="AF134" t="s">
        <v>96</v>
      </c>
      <c r="AI134">
        <v>0</v>
      </c>
      <c r="AJ134">
        <v>15</v>
      </c>
    </row>
    <row r="135" spans="1:36" x14ac:dyDescent="0.25">
      <c r="A135" t="s">
        <v>736</v>
      </c>
      <c r="B135">
        <v>136</v>
      </c>
      <c r="C135" t="s">
        <v>56</v>
      </c>
      <c r="D135">
        <v>3</v>
      </c>
      <c r="F135">
        <v>1</v>
      </c>
      <c r="G135" t="s">
        <v>120</v>
      </c>
      <c r="H135" t="s">
        <v>69</v>
      </c>
      <c r="K135" t="s">
        <v>45</v>
      </c>
      <c r="L135">
        <v>3</v>
      </c>
      <c r="N135">
        <v>1</v>
      </c>
      <c r="O135" t="s">
        <v>86</v>
      </c>
      <c r="P135" t="s">
        <v>141</v>
      </c>
      <c r="S135" t="s">
        <v>48</v>
      </c>
      <c r="T135">
        <v>1</v>
      </c>
      <c r="V135">
        <v>1</v>
      </c>
      <c r="W135" t="s">
        <v>126</v>
      </c>
      <c r="X135" t="s">
        <v>84</v>
      </c>
      <c r="Y135" t="s">
        <v>90</v>
      </c>
      <c r="Z135" t="s">
        <v>128</v>
      </c>
      <c r="AA135" t="s">
        <v>43</v>
      </c>
      <c r="AB135">
        <v>1</v>
      </c>
      <c r="AD135">
        <v>2</v>
      </c>
      <c r="AE135" t="s">
        <v>44</v>
      </c>
      <c r="AI135">
        <v>0</v>
      </c>
      <c r="AJ135">
        <v>14</v>
      </c>
    </row>
    <row r="136" spans="1:36" x14ac:dyDescent="0.25">
      <c r="A136" t="s">
        <v>737</v>
      </c>
      <c r="B136">
        <v>137</v>
      </c>
      <c r="C136" t="s">
        <v>56</v>
      </c>
      <c r="D136">
        <v>2</v>
      </c>
      <c r="F136">
        <v>2</v>
      </c>
      <c r="G136" t="s">
        <v>120</v>
      </c>
      <c r="H136" t="s">
        <v>122</v>
      </c>
      <c r="I136" t="s">
        <v>87</v>
      </c>
      <c r="J136" t="s">
        <v>124</v>
      </c>
      <c r="K136" t="s">
        <v>45</v>
      </c>
      <c r="L136">
        <v>3</v>
      </c>
      <c r="N136">
        <v>1</v>
      </c>
      <c r="O136" t="s">
        <v>86</v>
      </c>
      <c r="P136" t="s">
        <v>141</v>
      </c>
      <c r="Q136" t="s">
        <v>93</v>
      </c>
      <c r="S136" t="s">
        <v>48</v>
      </c>
      <c r="T136">
        <v>1</v>
      </c>
      <c r="V136">
        <v>1</v>
      </c>
      <c r="W136" t="s">
        <v>126</v>
      </c>
      <c r="X136" t="s">
        <v>84</v>
      </c>
      <c r="Y136" t="s">
        <v>51</v>
      </c>
      <c r="AA136" t="s">
        <v>63</v>
      </c>
      <c r="AB136">
        <v>2</v>
      </c>
      <c r="AD136">
        <v>1</v>
      </c>
      <c r="AE136" t="s">
        <v>72</v>
      </c>
      <c r="AF136" t="s">
        <v>146</v>
      </c>
      <c r="AG136" t="s">
        <v>104</v>
      </c>
      <c r="AH136" t="s">
        <v>151</v>
      </c>
      <c r="AI136">
        <v>0</v>
      </c>
      <c r="AJ136">
        <v>19</v>
      </c>
    </row>
    <row r="137" spans="1:36" x14ac:dyDescent="0.25">
      <c r="A137" t="s">
        <v>738</v>
      </c>
      <c r="B137">
        <v>138</v>
      </c>
      <c r="C137" t="s">
        <v>56</v>
      </c>
      <c r="D137">
        <v>3</v>
      </c>
      <c r="F137">
        <v>3</v>
      </c>
      <c r="G137" t="s">
        <v>120</v>
      </c>
      <c r="H137" t="s">
        <v>121</v>
      </c>
      <c r="I137" t="s">
        <v>123</v>
      </c>
      <c r="J137" t="s">
        <v>88</v>
      </c>
      <c r="K137" t="s">
        <v>45</v>
      </c>
      <c r="L137">
        <v>3</v>
      </c>
      <c r="N137">
        <v>3</v>
      </c>
      <c r="O137" t="s">
        <v>86</v>
      </c>
      <c r="P137" t="s">
        <v>141</v>
      </c>
      <c r="Q137" t="s">
        <v>142</v>
      </c>
      <c r="R137" t="s">
        <v>144</v>
      </c>
      <c r="S137" t="s">
        <v>48</v>
      </c>
      <c r="T137">
        <v>3</v>
      </c>
      <c r="V137">
        <v>3</v>
      </c>
      <c r="W137" t="s">
        <v>126</v>
      </c>
      <c r="X137" t="s">
        <v>50</v>
      </c>
      <c r="Y137" t="s">
        <v>51</v>
      </c>
      <c r="Z137" t="s">
        <v>129</v>
      </c>
      <c r="AA137" t="s">
        <v>38</v>
      </c>
      <c r="AB137">
        <v>1</v>
      </c>
      <c r="AC137">
        <v>1</v>
      </c>
      <c r="AD137">
        <v>2</v>
      </c>
      <c r="AE137" t="s">
        <v>39</v>
      </c>
      <c r="AF137" t="s">
        <v>96</v>
      </c>
      <c r="AI137">
        <v>0</v>
      </c>
      <c r="AJ137">
        <v>30</v>
      </c>
    </row>
    <row r="138" spans="1:36" x14ac:dyDescent="0.25">
      <c r="A138" t="s">
        <v>739</v>
      </c>
      <c r="B138">
        <v>139</v>
      </c>
      <c r="C138" t="s">
        <v>33</v>
      </c>
      <c r="D138">
        <v>2</v>
      </c>
      <c r="F138">
        <v>1</v>
      </c>
      <c r="G138" t="s">
        <v>46</v>
      </c>
      <c r="H138" t="s">
        <v>130</v>
      </c>
      <c r="K138" t="s">
        <v>43</v>
      </c>
      <c r="L138">
        <v>1</v>
      </c>
      <c r="N138">
        <v>1</v>
      </c>
      <c r="O138" t="s">
        <v>44</v>
      </c>
      <c r="P138" t="s">
        <v>99</v>
      </c>
      <c r="Q138" t="s">
        <v>75</v>
      </c>
      <c r="R138" t="s">
        <v>101</v>
      </c>
      <c r="S138" t="s">
        <v>56</v>
      </c>
      <c r="T138">
        <v>1</v>
      </c>
      <c r="V138">
        <v>1</v>
      </c>
      <c r="W138" t="s">
        <v>68</v>
      </c>
      <c r="X138" t="s">
        <v>121</v>
      </c>
      <c r="Y138" t="s">
        <v>87</v>
      </c>
      <c r="Z138" t="s">
        <v>124</v>
      </c>
      <c r="AA138" t="s">
        <v>45</v>
      </c>
      <c r="AB138">
        <v>2</v>
      </c>
      <c r="AD138">
        <v>1</v>
      </c>
      <c r="AE138" t="s">
        <v>86</v>
      </c>
      <c r="AI138">
        <v>0</v>
      </c>
      <c r="AJ138">
        <v>14</v>
      </c>
    </row>
    <row r="139" spans="1:36" x14ac:dyDescent="0.25">
      <c r="A139" t="s">
        <v>740</v>
      </c>
      <c r="B139">
        <v>140</v>
      </c>
      <c r="C139" t="s">
        <v>56</v>
      </c>
      <c r="D139">
        <v>3</v>
      </c>
      <c r="F139">
        <v>1</v>
      </c>
      <c r="G139" t="s">
        <v>57</v>
      </c>
      <c r="H139" t="s">
        <v>122</v>
      </c>
      <c r="K139" t="s">
        <v>45</v>
      </c>
      <c r="L139">
        <v>3</v>
      </c>
      <c r="N139">
        <v>1</v>
      </c>
      <c r="O139" t="s">
        <v>86</v>
      </c>
      <c r="S139" t="s">
        <v>33</v>
      </c>
      <c r="T139">
        <v>1</v>
      </c>
      <c r="V139">
        <v>1</v>
      </c>
      <c r="W139" t="s">
        <v>46</v>
      </c>
      <c r="AA139" t="s">
        <v>63</v>
      </c>
      <c r="AB139">
        <v>1</v>
      </c>
      <c r="AD139">
        <v>1</v>
      </c>
      <c r="AE139" t="s">
        <v>103</v>
      </c>
      <c r="AF139" t="s">
        <v>146</v>
      </c>
      <c r="AG139" t="s">
        <v>104</v>
      </c>
      <c r="AI139">
        <v>0</v>
      </c>
      <c r="AJ139">
        <v>11</v>
      </c>
    </row>
    <row r="140" spans="1:36" x14ac:dyDescent="0.25">
      <c r="A140" t="s">
        <v>741</v>
      </c>
      <c r="B140">
        <v>141</v>
      </c>
      <c r="C140" t="s">
        <v>56</v>
      </c>
      <c r="D140">
        <v>3</v>
      </c>
      <c r="F140">
        <v>3</v>
      </c>
      <c r="G140" t="s">
        <v>57</v>
      </c>
      <c r="H140" t="s">
        <v>69</v>
      </c>
      <c r="I140" t="s">
        <v>85</v>
      </c>
      <c r="J140" t="s">
        <v>125</v>
      </c>
      <c r="K140" t="s">
        <v>45</v>
      </c>
      <c r="L140">
        <v>1</v>
      </c>
      <c r="N140">
        <v>2</v>
      </c>
      <c r="O140" t="s">
        <v>140</v>
      </c>
      <c r="S140" t="s">
        <v>33</v>
      </c>
      <c r="T140">
        <v>2</v>
      </c>
      <c r="V140">
        <v>1</v>
      </c>
      <c r="W140" t="s">
        <v>46</v>
      </c>
      <c r="AA140" t="s">
        <v>38</v>
      </c>
      <c r="AB140">
        <v>2</v>
      </c>
      <c r="AC140">
        <v>3</v>
      </c>
      <c r="AD140">
        <v>3</v>
      </c>
      <c r="AE140" t="s">
        <v>39</v>
      </c>
      <c r="AF140" t="s">
        <v>96</v>
      </c>
      <c r="AG140" t="s">
        <v>154</v>
      </c>
      <c r="AH140" t="s">
        <v>156</v>
      </c>
      <c r="AI140">
        <v>0</v>
      </c>
      <c r="AJ140">
        <v>22</v>
      </c>
    </row>
    <row r="141" spans="1:36" x14ac:dyDescent="0.25">
      <c r="A141" t="s">
        <v>742</v>
      </c>
      <c r="B141">
        <v>142</v>
      </c>
      <c r="C141" t="s">
        <v>56</v>
      </c>
      <c r="D141">
        <v>3</v>
      </c>
      <c r="F141">
        <v>1</v>
      </c>
      <c r="G141" t="s">
        <v>120</v>
      </c>
      <c r="H141" t="s">
        <v>69</v>
      </c>
      <c r="K141" t="s">
        <v>45</v>
      </c>
      <c r="L141">
        <v>3</v>
      </c>
      <c r="N141">
        <v>3</v>
      </c>
      <c r="O141" t="s">
        <v>140</v>
      </c>
      <c r="S141" t="s">
        <v>43</v>
      </c>
      <c r="T141">
        <v>1</v>
      </c>
      <c r="V141">
        <v>1</v>
      </c>
      <c r="W141" t="s">
        <v>44</v>
      </c>
      <c r="X141" t="s">
        <v>74</v>
      </c>
      <c r="Y141" t="s">
        <v>100</v>
      </c>
      <c r="Z141" t="s">
        <v>101</v>
      </c>
      <c r="AA141" t="s">
        <v>63</v>
      </c>
      <c r="AB141">
        <v>1</v>
      </c>
      <c r="AD141">
        <v>1</v>
      </c>
      <c r="AE141" t="s">
        <v>145</v>
      </c>
      <c r="AF141" t="s">
        <v>146</v>
      </c>
      <c r="AI141">
        <v>0</v>
      </c>
      <c r="AJ141">
        <v>15</v>
      </c>
    </row>
    <row r="142" spans="1:36" x14ac:dyDescent="0.25">
      <c r="A142" t="s">
        <v>743</v>
      </c>
      <c r="B142">
        <v>143</v>
      </c>
      <c r="C142" t="s">
        <v>43</v>
      </c>
      <c r="D142">
        <v>3</v>
      </c>
      <c r="F142">
        <v>1</v>
      </c>
      <c r="G142" t="s">
        <v>44</v>
      </c>
      <c r="K142" t="s">
        <v>38</v>
      </c>
      <c r="L142">
        <v>1</v>
      </c>
      <c r="M142">
        <v>1</v>
      </c>
      <c r="N142">
        <v>1</v>
      </c>
      <c r="O142" t="s">
        <v>39</v>
      </c>
      <c r="P142" t="s">
        <v>96</v>
      </c>
      <c r="Q142" t="s">
        <v>154</v>
      </c>
      <c r="S142" t="s">
        <v>56</v>
      </c>
      <c r="T142">
        <v>2</v>
      </c>
      <c r="V142">
        <v>1</v>
      </c>
      <c r="W142" t="s">
        <v>57</v>
      </c>
      <c r="AA142" t="s">
        <v>45</v>
      </c>
      <c r="AB142">
        <v>2</v>
      </c>
      <c r="AD142">
        <v>1</v>
      </c>
      <c r="AE142" t="s">
        <v>140</v>
      </c>
      <c r="AI142">
        <v>0</v>
      </c>
      <c r="AJ142">
        <v>10</v>
      </c>
    </row>
    <row r="143" spans="1:36" x14ac:dyDescent="0.25">
      <c r="A143" t="s">
        <v>744</v>
      </c>
      <c r="B143">
        <v>144</v>
      </c>
      <c r="C143" t="s">
        <v>63</v>
      </c>
      <c r="D143">
        <v>2</v>
      </c>
      <c r="F143">
        <v>1</v>
      </c>
      <c r="G143" t="s">
        <v>103</v>
      </c>
      <c r="H143" t="s">
        <v>146</v>
      </c>
      <c r="I143" t="s">
        <v>148</v>
      </c>
      <c r="J143" t="s">
        <v>150</v>
      </c>
      <c r="K143" t="s">
        <v>38</v>
      </c>
      <c r="L143">
        <v>1</v>
      </c>
      <c r="M143">
        <v>2</v>
      </c>
      <c r="N143">
        <v>3</v>
      </c>
      <c r="O143" t="s">
        <v>39</v>
      </c>
      <c r="P143" t="s">
        <v>96</v>
      </c>
      <c r="Q143" t="s">
        <v>154</v>
      </c>
      <c r="S143" t="s">
        <v>56</v>
      </c>
      <c r="T143">
        <v>3</v>
      </c>
      <c r="V143">
        <v>1</v>
      </c>
      <c r="W143" t="s">
        <v>57</v>
      </c>
      <c r="X143" t="s">
        <v>121</v>
      </c>
      <c r="Y143" t="s">
        <v>85</v>
      </c>
      <c r="AA143" t="s">
        <v>45</v>
      </c>
      <c r="AB143">
        <v>2</v>
      </c>
      <c r="AD143">
        <v>2</v>
      </c>
      <c r="AE143" t="s">
        <v>86</v>
      </c>
      <c r="AI143">
        <v>0</v>
      </c>
      <c r="AJ143">
        <v>19</v>
      </c>
    </row>
    <row r="144" spans="1:36" x14ac:dyDescent="0.25">
      <c r="A144" t="s">
        <v>745</v>
      </c>
      <c r="B144">
        <v>146</v>
      </c>
      <c r="C144" t="s">
        <v>56</v>
      </c>
      <c r="D144">
        <v>3</v>
      </c>
      <c r="F144">
        <v>2</v>
      </c>
      <c r="G144" t="s">
        <v>120</v>
      </c>
      <c r="H144" t="s">
        <v>121</v>
      </c>
      <c r="I144" t="s">
        <v>123</v>
      </c>
      <c r="J144" t="s">
        <v>88</v>
      </c>
      <c r="K144" t="s">
        <v>63</v>
      </c>
      <c r="L144">
        <v>2</v>
      </c>
      <c r="N144">
        <v>2</v>
      </c>
      <c r="O144" t="s">
        <v>145</v>
      </c>
      <c r="P144" t="s">
        <v>146</v>
      </c>
      <c r="Q144" t="s">
        <v>104</v>
      </c>
      <c r="R144" t="s">
        <v>151</v>
      </c>
      <c r="S144" t="s">
        <v>48</v>
      </c>
      <c r="T144">
        <v>2</v>
      </c>
      <c r="V144">
        <v>2</v>
      </c>
      <c r="W144" t="s">
        <v>89</v>
      </c>
      <c r="X144" t="s">
        <v>50</v>
      </c>
      <c r="Y144" t="s">
        <v>51</v>
      </c>
      <c r="Z144" t="s">
        <v>129</v>
      </c>
      <c r="AA144" t="s">
        <v>43</v>
      </c>
      <c r="AB144">
        <v>3</v>
      </c>
      <c r="AD144">
        <v>2</v>
      </c>
      <c r="AE144" t="s">
        <v>44</v>
      </c>
      <c r="AF144" t="s">
        <v>74</v>
      </c>
      <c r="AG144" t="s">
        <v>75</v>
      </c>
      <c r="AH144" t="s">
        <v>139</v>
      </c>
      <c r="AI144">
        <v>0</v>
      </c>
      <c r="AJ144">
        <v>27</v>
      </c>
    </row>
    <row r="145" spans="1:36" x14ac:dyDescent="0.25">
      <c r="A145" t="s">
        <v>746</v>
      </c>
      <c r="B145">
        <v>147</v>
      </c>
      <c r="C145" t="s">
        <v>56</v>
      </c>
      <c r="D145">
        <v>1</v>
      </c>
      <c r="F145">
        <v>2</v>
      </c>
      <c r="G145" t="s">
        <v>57</v>
      </c>
      <c r="H145" t="s">
        <v>69</v>
      </c>
      <c r="I145" t="s">
        <v>87</v>
      </c>
      <c r="J145" t="s">
        <v>125</v>
      </c>
      <c r="K145" t="s">
        <v>63</v>
      </c>
      <c r="L145">
        <v>1</v>
      </c>
      <c r="N145">
        <v>2</v>
      </c>
      <c r="O145" t="s">
        <v>145</v>
      </c>
      <c r="P145" t="s">
        <v>146</v>
      </c>
      <c r="Q145" t="s">
        <v>104</v>
      </c>
      <c r="R145" t="s">
        <v>149</v>
      </c>
      <c r="S145" t="s">
        <v>48</v>
      </c>
      <c r="T145">
        <v>1</v>
      </c>
      <c r="V145">
        <v>2</v>
      </c>
      <c r="W145" t="s">
        <v>89</v>
      </c>
      <c r="X145" t="s">
        <v>71</v>
      </c>
      <c r="Y145" t="s">
        <v>51</v>
      </c>
      <c r="Z145" t="s">
        <v>52</v>
      </c>
      <c r="AA145" t="s">
        <v>45</v>
      </c>
      <c r="AB145">
        <v>3</v>
      </c>
      <c r="AD145">
        <v>1</v>
      </c>
      <c r="AE145" t="s">
        <v>86</v>
      </c>
      <c r="AI145">
        <v>0</v>
      </c>
      <c r="AJ145">
        <v>20</v>
      </c>
    </row>
    <row r="146" spans="1:36" x14ac:dyDescent="0.25">
      <c r="A146" t="s">
        <v>747</v>
      </c>
      <c r="B146">
        <v>148</v>
      </c>
      <c r="C146" t="s">
        <v>56</v>
      </c>
      <c r="D146">
        <v>3</v>
      </c>
      <c r="F146">
        <v>2</v>
      </c>
      <c r="G146" t="s">
        <v>57</v>
      </c>
      <c r="H146" t="s">
        <v>122</v>
      </c>
      <c r="I146" t="s">
        <v>85</v>
      </c>
      <c r="J146" t="s">
        <v>125</v>
      </c>
      <c r="K146" t="s">
        <v>63</v>
      </c>
      <c r="L146">
        <v>3</v>
      </c>
      <c r="N146">
        <v>2</v>
      </c>
      <c r="O146" t="s">
        <v>145</v>
      </c>
      <c r="P146" t="s">
        <v>146</v>
      </c>
      <c r="Q146" t="s">
        <v>148</v>
      </c>
      <c r="R146" t="s">
        <v>149</v>
      </c>
      <c r="S146" t="s">
        <v>48</v>
      </c>
      <c r="T146">
        <v>1</v>
      </c>
      <c r="V146">
        <v>1</v>
      </c>
      <c r="W146" t="s">
        <v>89</v>
      </c>
      <c r="X146" t="s">
        <v>71</v>
      </c>
      <c r="Y146" t="s">
        <v>90</v>
      </c>
      <c r="Z146" t="s">
        <v>129</v>
      </c>
      <c r="AA146" t="s">
        <v>38</v>
      </c>
      <c r="AB146">
        <v>1</v>
      </c>
      <c r="AC146">
        <v>3</v>
      </c>
      <c r="AD146">
        <v>2</v>
      </c>
      <c r="AE146" t="s">
        <v>67</v>
      </c>
      <c r="AF146" t="s">
        <v>96</v>
      </c>
      <c r="AG146" t="s">
        <v>41</v>
      </c>
      <c r="AH146" t="s">
        <v>156</v>
      </c>
      <c r="AI146">
        <v>0</v>
      </c>
      <c r="AJ146">
        <v>25</v>
      </c>
    </row>
    <row r="147" spans="1:36" x14ac:dyDescent="0.25">
      <c r="A147" t="s">
        <v>748</v>
      </c>
      <c r="B147">
        <v>149</v>
      </c>
      <c r="C147" t="s">
        <v>56</v>
      </c>
      <c r="D147">
        <v>2</v>
      </c>
      <c r="F147">
        <v>1</v>
      </c>
      <c r="G147" t="s">
        <v>120</v>
      </c>
      <c r="H147" t="s">
        <v>69</v>
      </c>
      <c r="K147" t="s">
        <v>63</v>
      </c>
      <c r="L147">
        <v>2</v>
      </c>
      <c r="N147">
        <v>1</v>
      </c>
      <c r="O147" t="s">
        <v>145</v>
      </c>
      <c r="S147" t="s">
        <v>33</v>
      </c>
      <c r="T147">
        <v>1</v>
      </c>
      <c r="V147">
        <v>2</v>
      </c>
      <c r="W147" t="s">
        <v>34</v>
      </c>
      <c r="X147" t="s">
        <v>66</v>
      </c>
      <c r="AA147" t="s">
        <v>43</v>
      </c>
      <c r="AB147">
        <v>2</v>
      </c>
      <c r="AD147">
        <v>1</v>
      </c>
      <c r="AE147" t="s">
        <v>44</v>
      </c>
      <c r="AF147" t="s">
        <v>136</v>
      </c>
      <c r="AI147">
        <v>0</v>
      </c>
      <c r="AJ147">
        <v>12</v>
      </c>
    </row>
    <row r="148" spans="1:36" x14ac:dyDescent="0.25">
      <c r="A148" t="s">
        <v>749</v>
      </c>
      <c r="B148">
        <v>150</v>
      </c>
      <c r="C148" t="s">
        <v>33</v>
      </c>
      <c r="D148">
        <v>2</v>
      </c>
      <c r="F148">
        <v>3</v>
      </c>
      <c r="G148" t="s">
        <v>34</v>
      </c>
      <c r="K148" t="s">
        <v>45</v>
      </c>
      <c r="L148">
        <v>3</v>
      </c>
      <c r="N148">
        <v>1</v>
      </c>
      <c r="O148" t="s">
        <v>140</v>
      </c>
      <c r="P148" t="s">
        <v>141</v>
      </c>
      <c r="S148" t="s">
        <v>56</v>
      </c>
      <c r="T148">
        <v>2</v>
      </c>
      <c r="V148">
        <v>1</v>
      </c>
      <c r="W148" t="s">
        <v>68</v>
      </c>
      <c r="AA148" t="s">
        <v>63</v>
      </c>
      <c r="AB148">
        <v>2</v>
      </c>
      <c r="AD148">
        <v>1</v>
      </c>
      <c r="AE148" t="s">
        <v>72</v>
      </c>
      <c r="AF148" t="s">
        <v>146</v>
      </c>
      <c r="AI148">
        <v>0</v>
      </c>
      <c r="AJ148">
        <v>13</v>
      </c>
    </row>
    <row r="149" spans="1:36" x14ac:dyDescent="0.25">
      <c r="A149" t="s">
        <v>750</v>
      </c>
      <c r="B149">
        <v>151</v>
      </c>
      <c r="C149" t="s">
        <v>56</v>
      </c>
      <c r="D149">
        <v>3</v>
      </c>
      <c r="F149">
        <v>2</v>
      </c>
      <c r="G149" t="s">
        <v>68</v>
      </c>
      <c r="H149" t="s">
        <v>121</v>
      </c>
      <c r="K149" t="s">
        <v>63</v>
      </c>
      <c r="L149">
        <v>1</v>
      </c>
      <c r="N149">
        <v>1</v>
      </c>
      <c r="O149" t="s">
        <v>145</v>
      </c>
      <c r="P149" t="s">
        <v>146</v>
      </c>
      <c r="Q149" t="s">
        <v>104</v>
      </c>
      <c r="S149" t="s">
        <v>33</v>
      </c>
      <c r="T149">
        <v>2</v>
      </c>
      <c r="V149">
        <v>2</v>
      </c>
      <c r="W149" t="s">
        <v>34</v>
      </c>
      <c r="X149" t="s">
        <v>66</v>
      </c>
      <c r="Y149" t="s">
        <v>131</v>
      </c>
      <c r="AA149" t="s">
        <v>38</v>
      </c>
      <c r="AB149">
        <v>3</v>
      </c>
      <c r="AC149">
        <v>1</v>
      </c>
      <c r="AD149">
        <v>1</v>
      </c>
      <c r="AE149" t="s">
        <v>67</v>
      </c>
      <c r="AF149" t="s">
        <v>96</v>
      </c>
      <c r="AI149">
        <v>0</v>
      </c>
      <c r="AJ149">
        <v>17</v>
      </c>
    </row>
    <row r="150" spans="1:36" x14ac:dyDescent="0.25">
      <c r="A150" t="s">
        <v>751</v>
      </c>
      <c r="B150">
        <v>152</v>
      </c>
      <c r="C150" t="s">
        <v>43</v>
      </c>
      <c r="D150">
        <v>2</v>
      </c>
      <c r="F150">
        <v>1</v>
      </c>
      <c r="G150" t="s">
        <v>44</v>
      </c>
      <c r="H150" t="s">
        <v>136</v>
      </c>
      <c r="I150" t="s">
        <v>75</v>
      </c>
      <c r="K150" t="s">
        <v>45</v>
      </c>
      <c r="L150">
        <v>3</v>
      </c>
      <c r="N150">
        <v>1</v>
      </c>
      <c r="O150" t="s">
        <v>86</v>
      </c>
      <c r="P150" t="s">
        <v>141</v>
      </c>
      <c r="Q150" t="s">
        <v>142</v>
      </c>
      <c r="R150" t="s">
        <v>144</v>
      </c>
      <c r="S150" t="s">
        <v>56</v>
      </c>
      <c r="T150">
        <v>1</v>
      </c>
      <c r="V150">
        <v>3</v>
      </c>
      <c r="W150" t="s">
        <v>120</v>
      </c>
      <c r="X150" t="s">
        <v>121</v>
      </c>
      <c r="Y150" t="s">
        <v>87</v>
      </c>
      <c r="Z150" t="s">
        <v>124</v>
      </c>
      <c r="AA150" t="s">
        <v>63</v>
      </c>
      <c r="AB150">
        <v>1</v>
      </c>
      <c r="AD150">
        <v>1</v>
      </c>
      <c r="AE150" t="s">
        <v>72</v>
      </c>
      <c r="AF150" t="s">
        <v>146</v>
      </c>
      <c r="AG150" t="s">
        <v>104</v>
      </c>
      <c r="AI150">
        <v>0</v>
      </c>
      <c r="AJ150">
        <v>20</v>
      </c>
    </row>
    <row r="151" spans="1:36" x14ac:dyDescent="0.25">
      <c r="A151" t="s">
        <v>752</v>
      </c>
      <c r="B151">
        <v>153</v>
      </c>
      <c r="C151" t="s">
        <v>56</v>
      </c>
      <c r="D151">
        <v>3</v>
      </c>
      <c r="F151">
        <v>1</v>
      </c>
      <c r="G151" t="s">
        <v>120</v>
      </c>
      <c r="H151" t="s">
        <v>69</v>
      </c>
      <c r="K151" t="s">
        <v>63</v>
      </c>
      <c r="L151">
        <v>1</v>
      </c>
      <c r="N151">
        <v>1</v>
      </c>
      <c r="O151" t="s">
        <v>72</v>
      </c>
      <c r="P151" t="s">
        <v>146</v>
      </c>
      <c r="Q151" t="s">
        <v>147</v>
      </c>
      <c r="S151" t="s">
        <v>43</v>
      </c>
      <c r="T151">
        <v>2</v>
      </c>
      <c r="V151">
        <v>1</v>
      </c>
      <c r="W151" t="s">
        <v>44</v>
      </c>
      <c r="X151" t="s">
        <v>136</v>
      </c>
      <c r="AA151" t="s">
        <v>38</v>
      </c>
      <c r="AB151">
        <v>1</v>
      </c>
      <c r="AC151">
        <v>1</v>
      </c>
      <c r="AD151">
        <v>1</v>
      </c>
      <c r="AE151" t="s">
        <v>39</v>
      </c>
      <c r="AF151" t="s">
        <v>96</v>
      </c>
      <c r="AG151" t="s">
        <v>41</v>
      </c>
      <c r="AH151" t="s">
        <v>156</v>
      </c>
      <c r="AI151">
        <v>0</v>
      </c>
      <c r="AJ151">
        <v>15</v>
      </c>
    </row>
    <row r="152" spans="1:36" x14ac:dyDescent="0.25">
      <c r="A152" t="s">
        <v>753</v>
      </c>
      <c r="B152">
        <v>154</v>
      </c>
      <c r="C152" t="s">
        <v>56</v>
      </c>
      <c r="D152">
        <v>2</v>
      </c>
      <c r="F152">
        <v>1</v>
      </c>
      <c r="G152" t="s">
        <v>57</v>
      </c>
      <c r="H152" t="s">
        <v>122</v>
      </c>
      <c r="I152" t="s">
        <v>123</v>
      </c>
      <c r="J152" t="s">
        <v>125</v>
      </c>
      <c r="K152" t="s">
        <v>63</v>
      </c>
      <c r="L152">
        <v>2</v>
      </c>
      <c r="N152">
        <v>1</v>
      </c>
      <c r="O152" t="s">
        <v>145</v>
      </c>
      <c r="P152" t="s">
        <v>146</v>
      </c>
      <c r="Q152" t="s">
        <v>148</v>
      </c>
      <c r="R152" t="s">
        <v>150</v>
      </c>
      <c r="S152" t="s">
        <v>45</v>
      </c>
      <c r="T152">
        <v>3</v>
      </c>
      <c r="V152">
        <v>1</v>
      </c>
      <c r="W152" t="s">
        <v>86</v>
      </c>
      <c r="X152" t="s">
        <v>141</v>
      </c>
      <c r="Y152" t="s">
        <v>93</v>
      </c>
      <c r="AA152" t="s">
        <v>38</v>
      </c>
      <c r="AB152">
        <v>1</v>
      </c>
      <c r="AC152">
        <v>1</v>
      </c>
      <c r="AD152">
        <v>1</v>
      </c>
      <c r="AE152" t="s">
        <v>39</v>
      </c>
      <c r="AF152" t="s">
        <v>96</v>
      </c>
      <c r="AI152">
        <v>0</v>
      </c>
      <c r="AJ152">
        <v>17</v>
      </c>
    </row>
    <row r="153" spans="1:36" x14ac:dyDescent="0.25">
      <c r="A153" t="s">
        <v>754</v>
      </c>
      <c r="B153">
        <v>155</v>
      </c>
      <c r="C153" t="s">
        <v>56</v>
      </c>
      <c r="D153">
        <v>2</v>
      </c>
      <c r="F153">
        <v>1</v>
      </c>
      <c r="G153" t="s">
        <v>120</v>
      </c>
      <c r="H153" t="s">
        <v>121</v>
      </c>
      <c r="K153" t="s">
        <v>38</v>
      </c>
      <c r="L153">
        <v>3</v>
      </c>
      <c r="M153">
        <v>1</v>
      </c>
      <c r="N153">
        <v>2</v>
      </c>
      <c r="O153" t="s">
        <v>67</v>
      </c>
      <c r="S153" t="s">
        <v>48</v>
      </c>
      <c r="T153">
        <v>1</v>
      </c>
      <c r="V153">
        <v>1</v>
      </c>
      <c r="W153" t="s">
        <v>126</v>
      </c>
      <c r="X153" t="s">
        <v>84</v>
      </c>
      <c r="Y153" t="s">
        <v>51</v>
      </c>
      <c r="AA153" t="s">
        <v>33</v>
      </c>
      <c r="AB153">
        <v>1</v>
      </c>
      <c r="AD153">
        <v>2</v>
      </c>
      <c r="AE153" t="s">
        <v>65</v>
      </c>
      <c r="AI153">
        <v>0</v>
      </c>
      <c r="AJ153">
        <v>12</v>
      </c>
    </row>
    <row r="154" spans="1:36" x14ac:dyDescent="0.25">
      <c r="A154" t="s">
        <v>755</v>
      </c>
      <c r="B154">
        <v>156</v>
      </c>
      <c r="C154" t="s">
        <v>48</v>
      </c>
      <c r="D154">
        <v>2</v>
      </c>
      <c r="F154">
        <v>1</v>
      </c>
      <c r="G154" t="s">
        <v>89</v>
      </c>
      <c r="H154" t="s">
        <v>84</v>
      </c>
      <c r="I154" t="s">
        <v>51</v>
      </c>
      <c r="J154" t="s">
        <v>52</v>
      </c>
      <c r="K154" t="s">
        <v>43</v>
      </c>
      <c r="L154">
        <v>1</v>
      </c>
      <c r="N154">
        <v>1</v>
      </c>
      <c r="O154" t="s">
        <v>44</v>
      </c>
      <c r="P154" t="s">
        <v>74</v>
      </c>
      <c r="Q154" t="s">
        <v>75</v>
      </c>
      <c r="S154" t="s">
        <v>56</v>
      </c>
      <c r="T154">
        <v>1</v>
      </c>
      <c r="V154">
        <v>1</v>
      </c>
      <c r="W154" t="s">
        <v>120</v>
      </c>
      <c r="X154" t="s">
        <v>121</v>
      </c>
      <c r="Y154" t="s">
        <v>123</v>
      </c>
      <c r="Z154" t="s">
        <v>88</v>
      </c>
      <c r="AA154" t="s">
        <v>38</v>
      </c>
      <c r="AB154">
        <v>3</v>
      </c>
      <c r="AC154">
        <v>1</v>
      </c>
      <c r="AD154">
        <v>1</v>
      </c>
      <c r="AE154" t="s">
        <v>39</v>
      </c>
      <c r="AI154">
        <v>0</v>
      </c>
      <c r="AJ154">
        <v>15</v>
      </c>
    </row>
    <row r="155" spans="1:36" x14ac:dyDescent="0.25">
      <c r="A155" t="s">
        <v>756</v>
      </c>
      <c r="B155">
        <v>157</v>
      </c>
      <c r="C155" t="s">
        <v>48</v>
      </c>
      <c r="D155">
        <v>1</v>
      </c>
      <c r="F155">
        <v>1</v>
      </c>
      <c r="G155" t="s">
        <v>89</v>
      </c>
      <c r="H155" t="s">
        <v>50</v>
      </c>
      <c r="I155" t="s">
        <v>51</v>
      </c>
      <c r="K155" t="s">
        <v>45</v>
      </c>
      <c r="L155">
        <v>3</v>
      </c>
      <c r="N155">
        <v>1</v>
      </c>
      <c r="O155" t="s">
        <v>140</v>
      </c>
      <c r="P155" t="s">
        <v>76</v>
      </c>
      <c r="S155" t="s">
        <v>56</v>
      </c>
      <c r="T155">
        <v>3</v>
      </c>
      <c r="V155">
        <v>1</v>
      </c>
      <c r="W155" t="s">
        <v>68</v>
      </c>
      <c r="AA155" t="s">
        <v>38</v>
      </c>
      <c r="AB155">
        <v>2</v>
      </c>
      <c r="AC155">
        <v>1</v>
      </c>
      <c r="AD155">
        <v>2</v>
      </c>
      <c r="AE155" t="s">
        <v>39</v>
      </c>
      <c r="AI155">
        <v>0</v>
      </c>
      <c r="AJ155">
        <v>13</v>
      </c>
    </row>
    <row r="156" spans="1:36" x14ac:dyDescent="0.25">
      <c r="A156" t="s">
        <v>757</v>
      </c>
      <c r="B156">
        <v>158</v>
      </c>
      <c r="C156" t="s">
        <v>48</v>
      </c>
      <c r="D156">
        <v>1</v>
      </c>
      <c r="F156">
        <v>1</v>
      </c>
      <c r="G156" t="s">
        <v>89</v>
      </c>
      <c r="H156" t="s">
        <v>84</v>
      </c>
      <c r="I156" t="s">
        <v>127</v>
      </c>
      <c r="J156" t="s">
        <v>129</v>
      </c>
      <c r="K156" t="s">
        <v>63</v>
      </c>
      <c r="L156">
        <v>2</v>
      </c>
      <c r="N156">
        <v>1</v>
      </c>
      <c r="O156" t="s">
        <v>103</v>
      </c>
      <c r="P156" t="s">
        <v>146</v>
      </c>
      <c r="Q156" t="s">
        <v>147</v>
      </c>
      <c r="R156" t="s">
        <v>149</v>
      </c>
      <c r="S156" t="s">
        <v>56</v>
      </c>
      <c r="T156">
        <v>3</v>
      </c>
      <c r="V156">
        <v>1</v>
      </c>
      <c r="W156" t="s">
        <v>57</v>
      </c>
      <c r="AA156" t="s">
        <v>38</v>
      </c>
      <c r="AB156">
        <v>3</v>
      </c>
      <c r="AC156">
        <v>1</v>
      </c>
      <c r="AD156">
        <v>2</v>
      </c>
      <c r="AE156" t="s">
        <v>39</v>
      </c>
      <c r="AI156">
        <v>0</v>
      </c>
      <c r="AJ156">
        <v>16</v>
      </c>
    </row>
    <row r="157" spans="1:36" x14ac:dyDescent="0.25">
      <c r="A157" t="s">
        <v>758</v>
      </c>
      <c r="B157">
        <v>159</v>
      </c>
      <c r="C157" t="s">
        <v>56</v>
      </c>
      <c r="D157">
        <v>1</v>
      </c>
      <c r="F157">
        <v>1</v>
      </c>
      <c r="G157" t="s">
        <v>120</v>
      </c>
      <c r="H157" t="s">
        <v>121</v>
      </c>
      <c r="I157" t="s">
        <v>87</v>
      </c>
      <c r="J157" t="s">
        <v>125</v>
      </c>
      <c r="K157" t="s">
        <v>38</v>
      </c>
      <c r="L157">
        <v>1</v>
      </c>
      <c r="M157">
        <v>2</v>
      </c>
      <c r="N157">
        <v>2</v>
      </c>
      <c r="O157" t="s">
        <v>67</v>
      </c>
      <c r="P157" t="s">
        <v>70</v>
      </c>
      <c r="S157" t="s">
        <v>33</v>
      </c>
      <c r="T157">
        <v>1</v>
      </c>
      <c r="V157">
        <v>1</v>
      </c>
      <c r="W157" t="s">
        <v>65</v>
      </c>
      <c r="AA157" t="s">
        <v>43</v>
      </c>
      <c r="AB157">
        <v>2</v>
      </c>
      <c r="AD157">
        <v>1</v>
      </c>
      <c r="AE157" t="s">
        <v>73</v>
      </c>
      <c r="AF157" t="s">
        <v>74</v>
      </c>
      <c r="AG157" t="s">
        <v>75</v>
      </c>
      <c r="AI157">
        <v>0</v>
      </c>
      <c r="AJ157">
        <v>15</v>
      </c>
    </row>
    <row r="158" spans="1:36" x14ac:dyDescent="0.25">
      <c r="A158" t="s">
        <v>759</v>
      </c>
      <c r="B158">
        <v>160</v>
      </c>
      <c r="C158" t="s">
        <v>56</v>
      </c>
      <c r="D158">
        <v>1</v>
      </c>
      <c r="F158">
        <v>2</v>
      </c>
      <c r="G158" t="s">
        <v>68</v>
      </c>
      <c r="H158" t="s">
        <v>121</v>
      </c>
      <c r="I158" t="s">
        <v>87</v>
      </c>
      <c r="K158" t="s">
        <v>38</v>
      </c>
      <c r="L158">
        <v>2</v>
      </c>
      <c r="M158">
        <v>1</v>
      </c>
      <c r="N158">
        <v>2</v>
      </c>
      <c r="O158" t="s">
        <v>67</v>
      </c>
      <c r="S158" t="s">
        <v>33</v>
      </c>
      <c r="T158">
        <v>1</v>
      </c>
      <c r="V158">
        <v>1</v>
      </c>
      <c r="W158" t="s">
        <v>65</v>
      </c>
      <c r="AA158" t="s">
        <v>45</v>
      </c>
      <c r="AB158">
        <v>3</v>
      </c>
      <c r="AD158">
        <v>1</v>
      </c>
      <c r="AE158" t="s">
        <v>140</v>
      </c>
      <c r="AF158" t="s">
        <v>141</v>
      </c>
      <c r="AI158">
        <v>0</v>
      </c>
      <c r="AJ158">
        <v>12</v>
      </c>
    </row>
    <row r="159" spans="1:36" x14ac:dyDescent="0.25">
      <c r="A159" t="s">
        <v>760</v>
      </c>
      <c r="B159">
        <v>161</v>
      </c>
      <c r="C159" t="s">
        <v>56</v>
      </c>
      <c r="D159">
        <v>3</v>
      </c>
      <c r="F159">
        <v>1</v>
      </c>
      <c r="G159" t="s">
        <v>68</v>
      </c>
      <c r="H159" t="s">
        <v>122</v>
      </c>
      <c r="I159" t="s">
        <v>85</v>
      </c>
      <c r="K159" t="s">
        <v>38</v>
      </c>
      <c r="L159">
        <v>3</v>
      </c>
      <c r="M159">
        <v>1</v>
      </c>
      <c r="N159">
        <v>2</v>
      </c>
      <c r="O159" t="s">
        <v>39</v>
      </c>
      <c r="P159" t="s">
        <v>96</v>
      </c>
      <c r="S159" t="s">
        <v>33</v>
      </c>
      <c r="T159">
        <v>1</v>
      </c>
      <c r="V159">
        <v>2</v>
      </c>
      <c r="W159" t="s">
        <v>65</v>
      </c>
      <c r="X159" t="s">
        <v>66</v>
      </c>
      <c r="AA159" t="s">
        <v>63</v>
      </c>
      <c r="AB159">
        <v>2</v>
      </c>
      <c r="AD159">
        <v>1</v>
      </c>
      <c r="AE159" t="s">
        <v>145</v>
      </c>
      <c r="AF159" t="s">
        <v>95</v>
      </c>
      <c r="AG159" t="s">
        <v>147</v>
      </c>
      <c r="AI159">
        <v>0</v>
      </c>
      <c r="AJ159">
        <v>17</v>
      </c>
    </row>
    <row r="160" spans="1:36" x14ac:dyDescent="0.25">
      <c r="A160" t="s">
        <v>761</v>
      </c>
      <c r="B160">
        <v>162</v>
      </c>
      <c r="C160" t="s">
        <v>56</v>
      </c>
      <c r="D160">
        <v>2</v>
      </c>
      <c r="F160">
        <v>2</v>
      </c>
      <c r="G160" t="s">
        <v>120</v>
      </c>
      <c r="H160" t="s">
        <v>121</v>
      </c>
      <c r="I160" t="s">
        <v>123</v>
      </c>
      <c r="K160" t="s">
        <v>38</v>
      </c>
      <c r="L160">
        <v>1</v>
      </c>
      <c r="M160">
        <v>1</v>
      </c>
      <c r="N160">
        <v>2</v>
      </c>
      <c r="O160" t="s">
        <v>39</v>
      </c>
      <c r="P160" t="s">
        <v>96</v>
      </c>
      <c r="S160" t="s">
        <v>43</v>
      </c>
      <c r="T160">
        <v>1</v>
      </c>
      <c r="V160">
        <v>2</v>
      </c>
      <c r="W160" t="s">
        <v>73</v>
      </c>
      <c r="X160" t="s">
        <v>99</v>
      </c>
      <c r="Y160" t="s">
        <v>75</v>
      </c>
      <c r="Z160" t="s">
        <v>101</v>
      </c>
      <c r="AA160" t="s">
        <v>45</v>
      </c>
      <c r="AB160">
        <v>3</v>
      </c>
      <c r="AD160">
        <v>1</v>
      </c>
      <c r="AE160" t="s">
        <v>140</v>
      </c>
      <c r="AI160">
        <v>0</v>
      </c>
      <c r="AJ160">
        <v>16</v>
      </c>
    </row>
    <row r="161" spans="1:36" x14ac:dyDescent="0.25">
      <c r="A161" t="s">
        <v>762</v>
      </c>
      <c r="B161">
        <v>163</v>
      </c>
      <c r="C161" t="s">
        <v>56</v>
      </c>
      <c r="D161">
        <v>3</v>
      </c>
      <c r="F161">
        <v>1</v>
      </c>
      <c r="G161" t="s">
        <v>57</v>
      </c>
      <c r="H161" t="s">
        <v>69</v>
      </c>
      <c r="I161" t="s">
        <v>85</v>
      </c>
      <c r="J161" t="s">
        <v>125</v>
      </c>
      <c r="K161" t="s">
        <v>38</v>
      </c>
      <c r="L161">
        <v>3</v>
      </c>
      <c r="M161">
        <v>1</v>
      </c>
      <c r="N161">
        <v>2</v>
      </c>
      <c r="O161" t="s">
        <v>39</v>
      </c>
      <c r="P161" t="s">
        <v>40</v>
      </c>
      <c r="Q161" t="s">
        <v>41</v>
      </c>
      <c r="R161" t="s">
        <v>156</v>
      </c>
      <c r="S161" t="s">
        <v>43</v>
      </c>
      <c r="T161">
        <v>1</v>
      </c>
      <c r="V161">
        <v>2</v>
      </c>
      <c r="W161" t="s">
        <v>44</v>
      </c>
      <c r="AA161" t="s">
        <v>63</v>
      </c>
      <c r="AB161">
        <v>3</v>
      </c>
      <c r="AD161">
        <v>1</v>
      </c>
      <c r="AE161" t="s">
        <v>103</v>
      </c>
      <c r="AF161" t="s">
        <v>146</v>
      </c>
      <c r="AG161" t="s">
        <v>147</v>
      </c>
      <c r="AH161" t="s">
        <v>151</v>
      </c>
      <c r="AI161">
        <v>0</v>
      </c>
      <c r="AJ161">
        <v>21</v>
      </c>
    </row>
    <row r="162" spans="1:36" x14ac:dyDescent="0.25">
      <c r="A162" t="s">
        <v>763</v>
      </c>
      <c r="B162">
        <v>164</v>
      </c>
      <c r="C162" t="s">
        <v>56</v>
      </c>
      <c r="D162">
        <v>3</v>
      </c>
      <c r="F162">
        <v>3</v>
      </c>
      <c r="G162" t="s">
        <v>57</v>
      </c>
      <c r="H162" t="s">
        <v>121</v>
      </c>
      <c r="I162" t="s">
        <v>123</v>
      </c>
      <c r="J162" t="s">
        <v>88</v>
      </c>
      <c r="K162" t="s">
        <v>38</v>
      </c>
      <c r="L162">
        <v>2</v>
      </c>
      <c r="M162">
        <v>3</v>
      </c>
      <c r="N162">
        <v>2</v>
      </c>
      <c r="O162" t="s">
        <v>39</v>
      </c>
      <c r="P162" t="s">
        <v>96</v>
      </c>
      <c r="Q162" t="s">
        <v>41</v>
      </c>
      <c r="R162" t="s">
        <v>156</v>
      </c>
      <c r="S162" t="s">
        <v>45</v>
      </c>
      <c r="T162">
        <v>3</v>
      </c>
      <c r="V162">
        <v>3</v>
      </c>
      <c r="W162" t="s">
        <v>140</v>
      </c>
      <c r="X162" t="s">
        <v>76</v>
      </c>
      <c r="Y162" t="s">
        <v>102</v>
      </c>
      <c r="Z162" t="s">
        <v>144</v>
      </c>
      <c r="AA162" t="s">
        <v>63</v>
      </c>
      <c r="AB162">
        <v>3</v>
      </c>
      <c r="AD162">
        <v>2</v>
      </c>
      <c r="AE162" t="s">
        <v>103</v>
      </c>
      <c r="AF162" t="s">
        <v>146</v>
      </c>
      <c r="AG162" t="s">
        <v>147</v>
      </c>
      <c r="AH162" t="s">
        <v>150</v>
      </c>
      <c r="AI162">
        <v>0</v>
      </c>
      <c r="AJ162">
        <v>33</v>
      </c>
    </row>
    <row r="163" spans="1:36" x14ac:dyDescent="0.25">
      <c r="A163" t="s">
        <v>764</v>
      </c>
      <c r="B163">
        <v>166</v>
      </c>
      <c r="C163" t="s">
        <v>43</v>
      </c>
      <c r="D163">
        <v>3</v>
      </c>
      <c r="F163">
        <v>1</v>
      </c>
      <c r="G163" t="s">
        <v>44</v>
      </c>
      <c r="K163" t="s">
        <v>63</v>
      </c>
      <c r="L163">
        <v>1</v>
      </c>
      <c r="N163">
        <v>1</v>
      </c>
      <c r="O163" t="s">
        <v>145</v>
      </c>
      <c r="P163" t="s">
        <v>95</v>
      </c>
      <c r="S163" t="s">
        <v>48</v>
      </c>
      <c r="T163">
        <v>2</v>
      </c>
      <c r="V163">
        <v>1</v>
      </c>
      <c r="W163" t="s">
        <v>89</v>
      </c>
      <c r="AA163" t="s">
        <v>33</v>
      </c>
      <c r="AB163">
        <v>1</v>
      </c>
      <c r="AD163">
        <v>1</v>
      </c>
      <c r="AE163" t="s">
        <v>34</v>
      </c>
      <c r="AI163">
        <v>0</v>
      </c>
      <c r="AJ163">
        <v>8</v>
      </c>
    </row>
    <row r="164" spans="1:36" x14ac:dyDescent="0.25">
      <c r="A164" t="s">
        <v>765</v>
      </c>
      <c r="B164">
        <v>168</v>
      </c>
      <c r="C164" t="s">
        <v>45</v>
      </c>
      <c r="D164">
        <v>3</v>
      </c>
      <c r="F164">
        <v>1</v>
      </c>
      <c r="G164" t="s">
        <v>86</v>
      </c>
      <c r="H164" t="s">
        <v>76</v>
      </c>
      <c r="K164" t="s">
        <v>63</v>
      </c>
      <c r="L164">
        <v>1</v>
      </c>
      <c r="N164">
        <v>1</v>
      </c>
      <c r="O164" t="s">
        <v>72</v>
      </c>
      <c r="P164" t="s">
        <v>95</v>
      </c>
      <c r="Q164" t="s">
        <v>148</v>
      </c>
      <c r="R164" t="s">
        <v>151</v>
      </c>
      <c r="S164" t="s">
        <v>48</v>
      </c>
      <c r="T164">
        <v>1</v>
      </c>
      <c r="V164">
        <v>1</v>
      </c>
      <c r="W164" t="s">
        <v>126</v>
      </c>
      <c r="X164" t="s">
        <v>84</v>
      </c>
      <c r="Y164" t="s">
        <v>90</v>
      </c>
      <c r="Z164" t="s">
        <v>52</v>
      </c>
      <c r="AA164" t="s">
        <v>33</v>
      </c>
      <c r="AB164">
        <v>2</v>
      </c>
      <c r="AD164">
        <v>2</v>
      </c>
      <c r="AE164" t="s">
        <v>46</v>
      </c>
      <c r="AI164">
        <v>0</v>
      </c>
      <c r="AJ164">
        <v>16</v>
      </c>
    </row>
    <row r="165" spans="1:36" x14ac:dyDescent="0.25">
      <c r="A165" t="s">
        <v>766</v>
      </c>
      <c r="B165">
        <v>170</v>
      </c>
      <c r="C165" t="s">
        <v>63</v>
      </c>
      <c r="D165">
        <v>2</v>
      </c>
      <c r="F165">
        <v>1</v>
      </c>
      <c r="G165" t="s">
        <v>145</v>
      </c>
      <c r="H165" t="s">
        <v>95</v>
      </c>
      <c r="I165" t="s">
        <v>104</v>
      </c>
      <c r="J165" t="s">
        <v>149</v>
      </c>
      <c r="K165" t="s">
        <v>38</v>
      </c>
      <c r="L165">
        <v>3</v>
      </c>
      <c r="M165">
        <v>1</v>
      </c>
      <c r="N165">
        <v>2</v>
      </c>
      <c r="O165" t="s">
        <v>67</v>
      </c>
      <c r="S165" t="s">
        <v>48</v>
      </c>
      <c r="T165">
        <v>2</v>
      </c>
      <c r="V165">
        <v>2</v>
      </c>
      <c r="W165" t="s">
        <v>89</v>
      </c>
      <c r="X165" t="s">
        <v>84</v>
      </c>
      <c r="Y165" t="s">
        <v>51</v>
      </c>
      <c r="Z165" t="s">
        <v>52</v>
      </c>
      <c r="AA165" t="s">
        <v>33</v>
      </c>
      <c r="AB165">
        <v>1</v>
      </c>
      <c r="AD165">
        <v>2</v>
      </c>
      <c r="AE165" t="s">
        <v>65</v>
      </c>
      <c r="AF165" t="s">
        <v>35</v>
      </c>
      <c r="AI165">
        <v>0</v>
      </c>
      <c r="AJ165">
        <v>20</v>
      </c>
    </row>
    <row r="166" spans="1:36" x14ac:dyDescent="0.25">
      <c r="A166" t="s">
        <v>767</v>
      </c>
      <c r="B166">
        <v>173</v>
      </c>
      <c r="C166" t="s">
        <v>48</v>
      </c>
      <c r="D166">
        <v>3</v>
      </c>
      <c r="F166">
        <v>1</v>
      </c>
      <c r="G166" t="s">
        <v>89</v>
      </c>
      <c r="H166" t="s">
        <v>84</v>
      </c>
      <c r="I166" t="s">
        <v>90</v>
      </c>
      <c r="J166" t="s">
        <v>129</v>
      </c>
      <c r="K166" t="s">
        <v>43</v>
      </c>
      <c r="L166">
        <v>2</v>
      </c>
      <c r="N166">
        <v>2</v>
      </c>
      <c r="O166" t="s">
        <v>44</v>
      </c>
      <c r="P166" t="s">
        <v>136</v>
      </c>
      <c r="Q166" t="s">
        <v>75</v>
      </c>
      <c r="R166" t="s">
        <v>138</v>
      </c>
      <c r="S166" t="s">
        <v>33</v>
      </c>
      <c r="T166">
        <v>1</v>
      </c>
      <c r="V166">
        <v>2</v>
      </c>
      <c r="W166" t="s">
        <v>46</v>
      </c>
      <c r="AA166" t="s">
        <v>38</v>
      </c>
      <c r="AB166">
        <v>3</v>
      </c>
      <c r="AC166">
        <v>1</v>
      </c>
      <c r="AD166">
        <v>2</v>
      </c>
      <c r="AE166" t="s">
        <v>67</v>
      </c>
      <c r="AF166" t="s">
        <v>40</v>
      </c>
      <c r="AG166" t="s">
        <v>41</v>
      </c>
      <c r="AI166">
        <v>0</v>
      </c>
      <c r="AJ166">
        <v>20</v>
      </c>
    </row>
    <row r="167" spans="1:36" x14ac:dyDescent="0.25">
      <c r="A167" t="s">
        <v>768</v>
      </c>
      <c r="B167">
        <v>175</v>
      </c>
      <c r="C167" t="s">
        <v>48</v>
      </c>
      <c r="D167">
        <v>1</v>
      </c>
      <c r="F167">
        <v>1</v>
      </c>
      <c r="G167" t="s">
        <v>126</v>
      </c>
      <c r="H167" t="s">
        <v>84</v>
      </c>
      <c r="I167" t="s">
        <v>51</v>
      </c>
      <c r="J167" t="s">
        <v>128</v>
      </c>
      <c r="K167" t="s">
        <v>43</v>
      </c>
      <c r="L167">
        <v>3</v>
      </c>
      <c r="N167">
        <v>1</v>
      </c>
      <c r="O167" t="s">
        <v>44</v>
      </c>
      <c r="P167" t="s">
        <v>99</v>
      </c>
      <c r="Q167" t="s">
        <v>137</v>
      </c>
      <c r="S167" t="s">
        <v>45</v>
      </c>
      <c r="T167">
        <v>3</v>
      </c>
      <c r="V167">
        <v>1</v>
      </c>
      <c r="W167" t="s">
        <v>140</v>
      </c>
      <c r="AA167" t="s">
        <v>38</v>
      </c>
      <c r="AB167">
        <v>2</v>
      </c>
      <c r="AC167">
        <v>1</v>
      </c>
      <c r="AD167">
        <v>2</v>
      </c>
      <c r="AE167" t="s">
        <v>39</v>
      </c>
      <c r="AF167" t="s">
        <v>40</v>
      </c>
      <c r="AG167" t="s">
        <v>41</v>
      </c>
      <c r="AI167">
        <v>0</v>
      </c>
      <c r="AJ167">
        <v>17</v>
      </c>
    </row>
    <row r="168" spans="1:36" x14ac:dyDescent="0.25">
      <c r="A168" t="s">
        <v>769</v>
      </c>
      <c r="B168">
        <v>179</v>
      </c>
      <c r="C168" t="s">
        <v>48</v>
      </c>
      <c r="D168">
        <v>1</v>
      </c>
      <c r="F168">
        <v>1</v>
      </c>
      <c r="G168" t="s">
        <v>89</v>
      </c>
      <c r="H168" t="s">
        <v>50</v>
      </c>
      <c r="I168" t="s">
        <v>51</v>
      </c>
      <c r="K168" t="s">
        <v>45</v>
      </c>
      <c r="L168">
        <v>3</v>
      </c>
      <c r="N168">
        <v>1</v>
      </c>
      <c r="O168" t="s">
        <v>140</v>
      </c>
      <c r="P168" t="s">
        <v>92</v>
      </c>
      <c r="S168" t="s">
        <v>33</v>
      </c>
      <c r="T168">
        <v>2</v>
      </c>
      <c r="V168">
        <v>2</v>
      </c>
      <c r="W168" t="s">
        <v>34</v>
      </c>
      <c r="AA168" t="s">
        <v>38</v>
      </c>
      <c r="AB168">
        <v>1</v>
      </c>
      <c r="AC168">
        <v>1</v>
      </c>
      <c r="AD168">
        <v>3</v>
      </c>
      <c r="AE168" t="s">
        <v>39</v>
      </c>
      <c r="AF168" t="s">
        <v>96</v>
      </c>
      <c r="AI168">
        <v>0</v>
      </c>
      <c r="AJ168">
        <v>14</v>
      </c>
    </row>
    <row r="169" spans="1:36" x14ac:dyDescent="0.25">
      <c r="A169" t="s">
        <v>770</v>
      </c>
      <c r="B169">
        <v>180</v>
      </c>
      <c r="C169" t="s">
        <v>48</v>
      </c>
      <c r="D169">
        <v>1</v>
      </c>
      <c r="F169">
        <v>3</v>
      </c>
      <c r="G169" t="s">
        <v>89</v>
      </c>
      <c r="H169" t="s">
        <v>71</v>
      </c>
      <c r="I169" t="s">
        <v>127</v>
      </c>
      <c r="J169" t="s">
        <v>52</v>
      </c>
      <c r="K169" t="s">
        <v>45</v>
      </c>
      <c r="L169">
        <v>3</v>
      </c>
      <c r="N169">
        <v>2</v>
      </c>
      <c r="O169" t="s">
        <v>140</v>
      </c>
      <c r="P169" t="s">
        <v>141</v>
      </c>
      <c r="S169" t="s">
        <v>43</v>
      </c>
      <c r="T169">
        <v>1</v>
      </c>
      <c r="V169">
        <v>1</v>
      </c>
      <c r="W169" t="s">
        <v>44</v>
      </c>
      <c r="X169" t="s">
        <v>136</v>
      </c>
      <c r="Y169" t="s">
        <v>75</v>
      </c>
      <c r="AA169" t="s">
        <v>63</v>
      </c>
      <c r="AB169">
        <v>2</v>
      </c>
      <c r="AD169">
        <v>1</v>
      </c>
      <c r="AE169" t="s">
        <v>145</v>
      </c>
      <c r="AF169" t="s">
        <v>146</v>
      </c>
      <c r="AG169" t="s">
        <v>104</v>
      </c>
      <c r="AI169">
        <v>0</v>
      </c>
      <c r="AJ169">
        <v>18</v>
      </c>
    </row>
    <row r="170" spans="1:36" x14ac:dyDescent="0.25">
      <c r="A170" t="s">
        <v>771</v>
      </c>
      <c r="B170">
        <v>181</v>
      </c>
      <c r="C170" t="s">
        <v>48</v>
      </c>
      <c r="D170">
        <v>2</v>
      </c>
      <c r="F170">
        <v>1</v>
      </c>
      <c r="G170" t="s">
        <v>89</v>
      </c>
      <c r="H170" t="s">
        <v>71</v>
      </c>
      <c r="I170" t="s">
        <v>51</v>
      </c>
      <c r="J170" t="s">
        <v>128</v>
      </c>
      <c r="K170" t="s">
        <v>45</v>
      </c>
      <c r="L170">
        <v>2</v>
      </c>
      <c r="N170">
        <v>1</v>
      </c>
      <c r="O170" t="s">
        <v>140</v>
      </c>
      <c r="S170" t="s">
        <v>43</v>
      </c>
      <c r="T170">
        <v>2</v>
      </c>
      <c r="V170">
        <v>1</v>
      </c>
      <c r="W170" t="s">
        <v>44</v>
      </c>
      <c r="AA170" t="s">
        <v>38</v>
      </c>
      <c r="AB170">
        <v>1</v>
      </c>
      <c r="AC170">
        <v>1</v>
      </c>
      <c r="AD170">
        <v>2</v>
      </c>
      <c r="AE170" t="s">
        <v>39</v>
      </c>
      <c r="AF170" t="s">
        <v>40</v>
      </c>
      <c r="AG170" t="s">
        <v>153</v>
      </c>
      <c r="AI170">
        <v>0</v>
      </c>
      <c r="AJ170">
        <v>13</v>
      </c>
    </row>
    <row r="171" spans="1:36" x14ac:dyDescent="0.25">
      <c r="A171" t="s">
        <v>772</v>
      </c>
      <c r="B171">
        <v>184</v>
      </c>
      <c r="C171" t="s">
        <v>33</v>
      </c>
      <c r="D171">
        <v>1</v>
      </c>
      <c r="F171">
        <v>2</v>
      </c>
      <c r="G171" t="s">
        <v>34</v>
      </c>
      <c r="H171" t="s">
        <v>66</v>
      </c>
      <c r="I171" t="s">
        <v>132</v>
      </c>
      <c r="J171" t="s">
        <v>134</v>
      </c>
      <c r="K171" t="s">
        <v>45</v>
      </c>
      <c r="L171">
        <v>3</v>
      </c>
      <c r="N171">
        <v>2</v>
      </c>
      <c r="O171" t="s">
        <v>140</v>
      </c>
      <c r="P171" t="s">
        <v>76</v>
      </c>
      <c r="S171" t="s">
        <v>48</v>
      </c>
      <c r="T171">
        <v>1</v>
      </c>
      <c r="V171">
        <v>1</v>
      </c>
      <c r="W171" t="s">
        <v>89</v>
      </c>
      <c r="X171" t="s">
        <v>50</v>
      </c>
      <c r="AA171" t="s">
        <v>63</v>
      </c>
      <c r="AB171">
        <v>2</v>
      </c>
      <c r="AD171">
        <v>1</v>
      </c>
      <c r="AE171" t="s">
        <v>145</v>
      </c>
      <c r="AF171" t="s">
        <v>146</v>
      </c>
      <c r="AG171" t="s">
        <v>104</v>
      </c>
      <c r="AI171">
        <v>0</v>
      </c>
      <c r="AJ171">
        <v>16</v>
      </c>
    </row>
    <row r="172" spans="1:36" x14ac:dyDescent="0.25">
      <c r="A172" t="s">
        <v>773</v>
      </c>
      <c r="B172">
        <v>185</v>
      </c>
      <c r="C172" t="s">
        <v>48</v>
      </c>
      <c r="D172">
        <v>1</v>
      </c>
      <c r="F172">
        <v>1</v>
      </c>
      <c r="G172" t="s">
        <v>89</v>
      </c>
      <c r="H172" t="s">
        <v>50</v>
      </c>
      <c r="I172" t="s">
        <v>51</v>
      </c>
      <c r="J172" t="s">
        <v>128</v>
      </c>
      <c r="K172" t="s">
        <v>63</v>
      </c>
      <c r="L172">
        <v>1</v>
      </c>
      <c r="N172">
        <v>1</v>
      </c>
      <c r="O172" t="s">
        <v>145</v>
      </c>
      <c r="P172" t="s">
        <v>146</v>
      </c>
      <c r="Q172" t="s">
        <v>147</v>
      </c>
      <c r="S172" t="s">
        <v>33</v>
      </c>
      <c r="T172">
        <v>2</v>
      </c>
      <c r="V172">
        <v>1</v>
      </c>
      <c r="W172" t="s">
        <v>34</v>
      </c>
      <c r="AA172" t="s">
        <v>38</v>
      </c>
      <c r="AB172">
        <v>3</v>
      </c>
      <c r="AC172">
        <v>1</v>
      </c>
      <c r="AD172">
        <v>1</v>
      </c>
      <c r="AE172" t="s">
        <v>67</v>
      </c>
      <c r="AI172">
        <v>0</v>
      </c>
      <c r="AJ172">
        <v>12</v>
      </c>
    </row>
    <row r="173" spans="1:36" x14ac:dyDescent="0.25">
      <c r="A173" t="s">
        <v>774</v>
      </c>
      <c r="B173">
        <v>186</v>
      </c>
      <c r="C173" t="s">
        <v>48</v>
      </c>
      <c r="D173">
        <v>1</v>
      </c>
      <c r="F173">
        <v>3</v>
      </c>
      <c r="G173" t="s">
        <v>126</v>
      </c>
      <c r="H173" t="s">
        <v>84</v>
      </c>
      <c r="I173" t="s">
        <v>90</v>
      </c>
      <c r="J173" t="s">
        <v>128</v>
      </c>
      <c r="K173" t="s">
        <v>63</v>
      </c>
      <c r="L173">
        <v>3</v>
      </c>
      <c r="N173">
        <v>1</v>
      </c>
      <c r="O173" t="s">
        <v>72</v>
      </c>
      <c r="P173" t="s">
        <v>146</v>
      </c>
      <c r="Q173" t="s">
        <v>148</v>
      </c>
      <c r="R173" t="s">
        <v>149</v>
      </c>
      <c r="S173" t="s">
        <v>43</v>
      </c>
      <c r="T173">
        <v>3</v>
      </c>
      <c r="V173">
        <v>2</v>
      </c>
      <c r="W173" t="s">
        <v>44</v>
      </c>
      <c r="X173" t="s">
        <v>99</v>
      </c>
      <c r="Y173" t="s">
        <v>137</v>
      </c>
      <c r="Z173" t="s">
        <v>139</v>
      </c>
      <c r="AA173" t="s">
        <v>45</v>
      </c>
      <c r="AB173">
        <v>3</v>
      </c>
      <c r="AD173">
        <v>1</v>
      </c>
      <c r="AE173" t="s">
        <v>47</v>
      </c>
      <c r="AF173" t="s">
        <v>141</v>
      </c>
      <c r="AI173">
        <v>0</v>
      </c>
      <c r="AJ173">
        <v>24</v>
      </c>
    </row>
    <row r="174" spans="1:36" x14ac:dyDescent="0.25">
      <c r="A174" t="s">
        <v>775</v>
      </c>
      <c r="B174">
        <v>187</v>
      </c>
      <c r="C174" t="s">
        <v>48</v>
      </c>
      <c r="D174">
        <v>2</v>
      </c>
      <c r="F174">
        <v>1</v>
      </c>
      <c r="G174" t="s">
        <v>126</v>
      </c>
      <c r="H174" t="s">
        <v>71</v>
      </c>
      <c r="I174" t="s">
        <v>90</v>
      </c>
      <c r="J174" t="s">
        <v>128</v>
      </c>
      <c r="K174" t="s">
        <v>63</v>
      </c>
      <c r="L174">
        <v>2</v>
      </c>
      <c r="N174">
        <v>1</v>
      </c>
      <c r="O174" t="s">
        <v>72</v>
      </c>
      <c r="P174" t="s">
        <v>146</v>
      </c>
      <c r="Q174" t="s">
        <v>147</v>
      </c>
      <c r="S174" t="s">
        <v>43</v>
      </c>
      <c r="T174">
        <v>3</v>
      </c>
      <c r="V174">
        <v>1</v>
      </c>
      <c r="W174" t="s">
        <v>44</v>
      </c>
      <c r="X174" t="s">
        <v>99</v>
      </c>
      <c r="AA174" t="s">
        <v>38</v>
      </c>
      <c r="AB174">
        <v>1</v>
      </c>
      <c r="AC174">
        <v>1</v>
      </c>
      <c r="AD174">
        <v>2</v>
      </c>
      <c r="AE174" t="s">
        <v>39</v>
      </c>
      <c r="AF174" t="s">
        <v>40</v>
      </c>
      <c r="AG174" t="s">
        <v>153</v>
      </c>
      <c r="AH174" t="s">
        <v>155</v>
      </c>
      <c r="AI174">
        <v>0</v>
      </c>
      <c r="AJ174">
        <v>19</v>
      </c>
    </row>
    <row r="175" spans="1:36" x14ac:dyDescent="0.25">
      <c r="A175" t="s">
        <v>776</v>
      </c>
      <c r="B175">
        <v>188</v>
      </c>
      <c r="C175" t="s">
        <v>48</v>
      </c>
      <c r="D175">
        <v>2</v>
      </c>
      <c r="F175">
        <v>2</v>
      </c>
      <c r="G175" t="s">
        <v>89</v>
      </c>
      <c r="H175" t="s">
        <v>84</v>
      </c>
      <c r="I175" t="s">
        <v>90</v>
      </c>
      <c r="J175" t="s">
        <v>129</v>
      </c>
      <c r="K175" t="s">
        <v>63</v>
      </c>
      <c r="L175">
        <v>3</v>
      </c>
      <c r="N175">
        <v>1</v>
      </c>
      <c r="O175" t="s">
        <v>72</v>
      </c>
      <c r="P175" t="s">
        <v>146</v>
      </c>
      <c r="Q175" t="s">
        <v>147</v>
      </c>
      <c r="R175" t="s">
        <v>150</v>
      </c>
      <c r="S175" t="s">
        <v>45</v>
      </c>
      <c r="T175">
        <v>3</v>
      </c>
      <c r="V175">
        <v>2</v>
      </c>
      <c r="W175" t="s">
        <v>86</v>
      </c>
      <c r="X175" t="s">
        <v>141</v>
      </c>
      <c r="Y175" t="s">
        <v>102</v>
      </c>
      <c r="AA175" t="s">
        <v>38</v>
      </c>
      <c r="AB175">
        <v>3</v>
      </c>
      <c r="AC175">
        <v>1</v>
      </c>
      <c r="AD175">
        <v>1</v>
      </c>
      <c r="AE175" t="s">
        <v>39</v>
      </c>
      <c r="AF175" t="s">
        <v>40</v>
      </c>
      <c r="AG175" t="s">
        <v>153</v>
      </c>
      <c r="AI175">
        <v>0</v>
      </c>
      <c r="AJ175">
        <v>23</v>
      </c>
    </row>
    <row r="176" spans="1:36" x14ac:dyDescent="0.25">
      <c r="A176" t="s">
        <v>777</v>
      </c>
      <c r="B176">
        <v>189</v>
      </c>
      <c r="C176" t="s">
        <v>48</v>
      </c>
      <c r="D176">
        <v>1</v>
      </c>
      <c r="F176">
        <v>1</v>
      </c>
      <c r="G176" t="s">
        <v>126</v>
      </c>
      <c r="H176" t="s">
        <v>50</v>
      </c>
      <c r="K176" t="s">
        <v>38</v>
      </c>
      <c r="L176">
        <v>3</v>
      </c>
      <c r="M176">
        <v>1</v>
      </c>
      <c r="N176">
        <v>2</v>
      </c>
      <c r="O176" t="s">
        <v>67</v>
      </c>
      <c r="P176" t="s">
        <v>96</v>
      </c>
      <c r="S176" t="s">
        <v>33</v>
      </c>
      <c r="T176">
        <v>1</v>
      </c>
      <c r="V176">
        <v>1</v>
      </c>
      <c r="W176" t="s">
        <v>65</v>
      </c>
      <c r="X176" t="s">
        <v>130</v>
      </c>
      <c r="AA176" t="s">
        <v>43</v>
      </c>
      <c r="AB176">
        <v>2</v>
      </c>
      <c r="AD176">
        <v>1</v>
      </c>
      <c r="AE176" t="s">
        <v>44</v>
      </c>
      <c r="AF176" t="s">
        <v>136</v>
      </c>
      <c r="AI176">
        <v>0</v>
      </c>
      <c r="AJ176">
        <v>12</v>
      </c>
    </row>
    <row r="177" spans="1:36" x14ac:dyDescent="0.25">
      <c r="A177" t="s">
        <v>778</v>
      </c>
      <c r="B177">
        <v>190</v>
      </c>
      <c r="C177" t="s">
        <v>48</v>
      </c>
      <c r="D177">
        <v>1</v>
      </c>
      <c r="F177">
        <v>1</v>
      </c>
      <c r="G177" t="s">
        <v>126</v>
      </c>
      <c r="H177" t="s">
        <v>50</v>
      </c>
      <c r="I177" t="s">
        <v>51</v>
      </c>
      <c r="J177" t="s">
        <v>129</v>
      </c>
      <c r="K177" t="s">
        <v>38</v>
      </c>
      <c r="L177">
        <v>3</v>
      </c>
      <c r="M177">
        <v>2</v>
      </c>
      <c r="N177">
        <v>2</v>
      </c>
      <c r="O177" t="s">
        <v>67</v>
      </c>
      <c r="P177" t="s">
        <v>70</v>
      </c>
      <c r="S177" t="s">
        <v>33</v>
      </c>
      <c r="T177">
        <v>1</v>
      </c>
      <c r="V177">
        <v>1</v>
      </c>
      <c r="W177" t="s">
        <v>65</v>
      </c>
      <c r="X177" t="s">
        <v>130</v>
      </c>
      <c r="AA177" t="s">
        <v>45</v>
      </c>
      <c r="AB177">
        <v>3</v>
      </c>
      <c r="AD177">
        <v>1</v>
      </c>
      <c r="AE177" t="s">
        <v>140</v>
      </c>
      <c r="AF177" t="s">
        <v>92</v>
      </c>
      <c r="AG177" t="s">
        <v>93</v>
      </c>
      <c r="AI177">
        <v>0</v>
      </c>
      <c r="AJ177">
        <v>17</v>
      </c>
    </row>
    <row r="178" spans="1:36" x14ac:dyDescent="0.25">
      <c r="A178" t="s">
        <v>779</v>
      </c>
      <c r="B178">
        <v>191</v>
      </c>
      <c r="C178" t="s">
        <v>48</v>
      </c>
      <c r="D178">
        <v>2</v>
      </c>
      <c r="F178">
        <v>1</v>
      </c>
      <c r="G178" t="s">
        <v>89</v>
      </c>
      <c r="H178" t="s">
        <v>71</v>
      </c>
      <c r="I178" t="s">
        <v>51</v>
      </c>
      <c r="J178" t="s">
        <v>52</v>
      </c>
      <c r="K178" t="s">
        <v>38</v>
      </c>
      <c r="L178">
        <v>1</v>
      </c>
      <c r="M178">
        <v>2</v>
      </c>
      <c r="N178">
        <v>2</v>
      </c>
      <c r="O178" t="s">
        <v>67</v>
      </c>
      <c r="P178" t="s">
        <v>70</v>
      </c>
      <c r="S178" t="s">
        <v>33</v>
      </c>
      <c r="T178">
        <v>1</v>
      </c>
      <c r="V178">
        <v>2</v>
      </c>
      <c r="W178" t="s">
        <v>65</v>
      </c>
      <c r="AA178" t="s">
        <v>63</v>
      </c>
      <c r="AB178">
        <v>1</v>
      </c>
      <c r="AD178">
        <v>2</v>
      </c>
      <c r="AE178" t="s">
        <v>145</v>
      </c>
      <c r="AF178" t="s">
        <v>146</v>
      </c>
      <c r="AI178">
        <v>0</v>
      </c>
      <c r="AJ178">
        <v>16</v>
      </c>
    </row>
    <row r="179" spans="1:36" x14ac:dyDescent="0.25">
      <c r="A179" t="s">
        <v>780</v>
      </c>
      <c r="B179">
        <v>192</v>
      </c>
      <c r="C179" t="s">
        <v>48</v>
      </c>
      <c r="D179">
        <v>1</v>
      </c>
      <c r="F179">
        <v>1</v>
      </c>
      <c r="G179" t="s">
        <v>126</v>
      </c>
      <c r="H179" t="s">
        <v>50</v>
      </c>
      <c r="I179" t="s">
        <v>51</v>
      </c>
      <c r="J179" t="s">
        <v>128</v>
      </c>
      <c r="K179" t="s">
        <v>38</v>
      </c>
      <c r="L179">
        <v>1</v>
      </c>
      <c r="M179">
        <v>1</v>
      </c>
      <c r="N179">
        <v>2</v>
      </c>
      <c r="O179" t="s">
        <v>39</v>
      </c>
      <c r="P179" t="s">
        <v>40</v>
      </c>
      <c r="Q179" t="s">
        <v>153</v>
      </c>
      <c r="R179" t="s">
        <v>156</v>
      </c>
      <c r="S179" t="s">
        <v>43</v>
      </c>
      <c r="T179">
        <v>2</v>
      </c>
      <c r="V179">
        <v>1</v>
      </c>
      <c r="W179" t="s">
        <v>44</v>
      </c>
      <c r="AA179" t="s">
        <v>45</v>
      </c>
      <c r="AB179">
        <v>3</v>
      </c>
      <c r="AD179">
        <v>1</v>
      </c>
      <c r="AE179" t="s">
        <v>47</v>
      </c>
      <c r="AF179" t="s">
        <v>76</v>
      </c>
      <c r="AG179" t="s">
        <v>93</v>
      </c>
      <c r="AI179">
        <v>0</v>
      </c>
      <c r="AJ179">
        <v>17</v>
      </c>
    </row>
    <row r="180" spans="1:36" x14ac:dyDescent="0.25">
      <c r="A180" t="s">
        <v>781</v>
      </c>
      <c r="B180">
        <v>193</v>
      </c>
      <c r="C180" t="s">
        <v>48</v>
      </c>
      <c r="D180">
        <v>1</v>
      </c>
      <c r="F180">
        <v>1</v>
      </c>
      <c r="G180" t="s">
        <v>89</v>
      </c>
      <c r="H180" t="s">
        <v>50</v>
      </c>
      <c r="I180" t="s">
        <v>51</v>
      </c>
      <c r="J180" t="s">
        <v>129</v>
      </c>
      <c r="K180" t="s">
        <v>38</v>
      </c>
      <c r="L180">
        <v>1</v>
      </c>
      <c r="M180">
        <v>2</v>
      </c>
      <c r="N180">
        <v>2</v>
      </c>
      <c r="O180" t="s">
        <v>67</v>
      </c>
      <c r="P180" t="s">
        <v>40</v>
      </c>
      <c r="Q180" t="s">
        <v>154</v>
      </c>
      <c r="S180" t="s">
        <v>43</v>
      </c>
      <c r="T180">
        <v>1</v>
      </c>
      <c r="V180">
        <v>1</v>
      </c>
      <c r="W180" t="s">
        <v>44</v>
      </c>
      <c r="X180" t="s">
        <v>136</v>
      </c>
      <c r="AA180" t="s">
        <v>63</v>
      </c>
      <c r="AB180">
        <v>2</v>
      </c>
      <c r="AD180">
        <v>1</v>
      </c>
      <c r="AE180" t="s">
        <v>145</v>
      </c>
      <c r="AF180" t="s">
        <v>95</v>
      </c>
      <c r="AG180" t="s">
        <v>104</v>
      </c>
      <c r="AI180">
        <v>0</v>
      </c>
      <c r="AJ180">
        <v>15</v>
      </c>
    </row>
    <row r="181" spans="1:36" x14ac:dyDescent="0.25">
      <c r="A181" t="s">
        <v>782</v>
      </c>
      <c r="B181">
        <v>194</v>
      </c>
      <c r="C181" t="s">
        <v>45</v>
      </c>
      <c r="D181">
        <v>3</v>
      </c>
      <c r="F181">
        <v>1</v>
      </c>
      <c r="G181" t="s">
        <v>86</v>
      </c>
      <c r="H181" t="s">
        <v>76</v>
      </c>
      <c r="K181" t="s">
        <v>63</v>
      </c>
      <c r="L181">
        <v>1</v>
      </c>
      <c r="N181">
        <v>1</v>
      </c>
      <c r="O181" t="s">
        <v>103</v>
      </c>
      <c r="P181" t="s">
        <v>95</v>
      </c>
      <c r="Q181" t="s">
        <v>148</v>
      </c>
      <c r="S181" t="s">
        <v>48</v>
      </c>
      <c r="T181">
        <v>2</v>
      </c>
      <c r="V181">
        <v>1</v>
      </c>
      <c r="W181" t="s">
        <v>89</v>
      </c>
      <c r="X181" t="s">
        <v>50</v>
      </c>
      <c r="AA181" t="s">
        <v>38</v>
      </c>
      <c r="AB181">
        <v>1</v>
      </c>
      <c r="AC181">
        <v>1</v>
      </c>
      <c r="AD181">
        <v>2</v>
      </c>
      <c r="AE181" t="s">
        <v>39</v>
      </c>
      <c r="AF181" t="s">
        <v>96</v>
      </c>
      <c r="AI181">
        <v>0</v>
      </c>
      <c r="AJ181">
        <v>13</v>
      </c>
    </row>
    <row r="182" spans="1:36" x14ac:dyDescent="0.25">
      <c r="A182" t="s">
        <v>783</v>
      </c>
      <c r="B182">
        <v>195</v>
      </c>
      <c r="C182" t="s">
        <v>45</v>
      </c>
      <c r="D182">
        <v>3</v>
      </c>
      <c r="F182">
        <v>2</v>
      </c>
      <c r="G182" t="s">
        <v>140</v>
      </c>
      <c r="K182" t="s">
        <v>63</v>
      </c>
      <c r="L182">
        <v>1</v>
      </c>
      <c r="N182">
        <v>1</v>
      </c>
      <c r="O182" t="s">
        <v>72</v>
      </c>
      <c r="P182" t="s">
        <v>95</v>
      </c>
      <c r="Q182" t="s">
        <v>148</v>
      </c>
      <c r="R182" t="s">
        <v>151</v>
      </c>
      <c r="S182" t="s">
        <v>33</v>
      </c>
      <c r="T182">
        <v>1</v>
      </c>
      <c r="V182">
        <v>2</v>
      </c>
      <c r="W182" t="s">
        <v>34</v>
      </c>
      <c r="AA182" t="s">
        <v>43</v>
      </c>
      <c r="AB182">
        <v>2</v>
      </c>
      <c r="AD182">
        <v>1</v>
      </c>
      <c r="AE182" t="s">
        <v>44</v>
      </c>
      <c r="AF182" t="s">
        <v>136</v>
      </c>
      <c r="AI182">
        <v>0</v>
      </c>
      <c r="AJ182">
        <v>13</v>
      </c>
    </row>
    <row r="183" spans="1:36" x14ac:dyDescent="0.25">
      <c r="A183" t="s">
        <v>784</v>
      </c>
      <c r="B183">
        <v>196</v>
      </c>
      <c r="C183" t="s">
        <v>45</v>
      </c>
      <c r="D183">
        <v>3</v>
      </c>
      <c r="F183">
        <v>1</v>
      </c>
      <c r="G183" t="s">
        <v>140</v>
      </c>
      <c r="K183" t="s">
        <v>38</v>
      </c>
      <c r="L183">
        <v>2</v>
      </c>
      <c r="M183">
        <v>1</v>
      </c>
      <c r="N183">
        <v>2</v>
      </c>
      <c r="O183" t="s">
        <v>67</v>
      </c>
      <c r="P183" t="s">
        <v>40</v>
      </c>
      <c r="S183" t="s">
        <v>33</v>
      </c>
      <c r="T183">
        <v>1</v>
      </c>
      <c r="V183">
        <v>1</v>
      </c>
      <c r="W183" t="s">
        <v>46</v>
      </c>
      <c r="AA183" t="s">
        <v>43</v>
      </c>
      <c r="AB183">
        <v>1</v>
      </c>
      <c r="AD183">
        <v>1</v>
      </c>
      <c r="AE183" t="s">
        <v>44</v>
      </c>
      <c r="AF183" t="s">
        <v>136</v>
      </c>
      <c r="AG183" t="s">
        <v>100</v>
      </c>
      <c r="AI183">
        <v>0</v>
      </c>
      <c r="AJ183">
        <v>12</v>
      </c>
    </row>
    <row r="184" spans="1:36" x14ac:dyDescent="0.25">
      <c r="A184" t="s">
        <v>785</v>
      </c>
      <c r="B184">
        <v>197</v>
      </c>
      <c r="C184" t="s">
        <v>63</v>
      </c>
      <c r="D184">
        <v>1</v>
      </c>
      <c r="F184">
        <v>1</v>
      </c>
      <c r="G184" t="s">
        <v>145</v>
      </c>
      <c r="H184" t="s">
        <v>146</v>
      </c>
      <c r="I184" t="s">
        <v>104</v>
      </c>
      <c r="K184" t="s">
        <v>38</v>
      </c>
      <c r="L184">
        <v>1</v>
      </c>
      <c r="M184">
        <v>2</v>
      </c>
      <c r="N184">
        <v>2</v>
      </c>
      <c r="O184" t="s">
        <v>67</v>
      </c>
      <c r="P184" t="s">
        <v>40</v>
      </c>
      <c r="S184" t="s">
        <v>33</v>
      </c>
      <c r="T184">
        <v>1</v>
      </c>
      <c r="V184">
        <v>1</v>
      </c>
      <c r="W184" t="s">
        <v>65</v>
      </c>
      <c r="AA184" t="s">
        <v>43</v>
      </c>
      <c r="AB184">
        <v>2</v>
      </c>
      <c r="AD184">
        <v>1</v>
      </c>
      <c r="AE184" t="s">
        <v>44</v>
      </c>
      <c r="AF184" t="s">
        <v>136</v>
      </c>
      <c r="AI184">
        <v>0</v>
      </c>
      <c r="AJ184">
        <v>11</v>
      </c>
    </row>
    <row r="185" spans="1:36" x14ac:dyDescent="0.25">
      <c r="A185" t="s">
        <v>786</v>
      </c>
      <c r="B185">
        <v>198</v>
      </c>
      <c r="C185" t="s">
        <v>33</v>
      </c>
      <c r="D185">
        <v>1</v>
      </c>
      <c r="F185">
        <v>2</v>
      </c>
      <c r="G185" t="s">
        <v>34</v>
      </c>
      <c r="H185" t="s">
        <v>35</v>
      </c>
      <c r="I185" t="s">
        <v>36</v>
      </c>
      <c r="K185" t="s">
        <v>45</v>
      </c>
      <c r="L185">
        <v>3</v>
      </c>
      <c r="N185">
        <v>1</v>
      </c>
      <c r="O185" t="s">
        <v>140</v>
      </c>
      <c r="S185" t="s">
        <v>43</v>
      </c>
      <c r="T185">
        <v>1</v>
      </c>
      <c r="V185">
        <v>1</v>
      </c>
      <c r="W185" t="s">
        <v>44</v>
      </c>
      <c r="X185" t="s">
        <v>136</v>
      </c>
      <c r="AA185" t="s">
        <v>63</v>
      </c>
      <c r="AB185">
        <v>2</v>
      </c>
      <c r="AD185">
        <v>1</v>
      </c>
      <c r="AE185" t="s">
        <v>72</v>
      </c>
      <c r="AI185">
        <v>0</v>
      </c>
      <c r="AJ185">
        <v>11</v>
      </c>
    </row>
    <row r="186" spans="1:36" x14ac:dyDescent="0.25">
      <c r="A186" t="s">
        <v>787</v>
      </c>
      <c r="B186">
        <v>199</v>
      </c>
      <c r="C186" t="s">
        <v>43</v>
      </c>
      <c r="D186">
        <v>1</v>
      </c>
      <c r="F186">
        <v>1</v>
      </c>
      <c r="G186" t="s">
        <v>44</v>
      </c>
      <c r="H186" t="s">
        <v>136</v>
      </c>
      <c r="I186" t="s">
        <v>100</v>
      </c>
      <c r="K186" t="s">
        <v>38</v>
      </c>
      <c r="L186">
        <v>1</v>
      </c>
      <c r="M186">
        <v>1</v>
      </c>
      <c r="N186">
        <v>2</v>
      </c>
      <c r="O186" t="s">
        <v>67</v>
      </c>
      <c r="P186" t="s">
        <v>96</v>
      </c>
      <c r="Q186" t="s">
        <v>41</v>
      </c>
      <c r="S186" t="s">
        <v>33</v>
      </c>
      <c r="T186">
        <v>1</v>
      </c>
      <c r="V186">
        <v>1</v>
      </c>
      <c r="W186" t="s">
        <v>65</v>
      </c>
      <c r="AA186" t="s">
        <v>45</v>
      </c>
      <c r="AB186">
        <v>3</v>
      </c>
      <c r="AD186">
        <v>1</v>
      </c>
      <c r="AE186" t="s">
        <v>140</v>
      </c>
      <c r="AI186">
        <v>0</v>
      </c>
      <c r="AJ186">
        <v>11</v>
      </c>
    </row>
    <row r="187" spans="1:36" x14ac:dyDescent="0.25">
      <c r="A187" t="s">
        <v>788</v>
      </c>
      <c r="B187">
        <v>200</v>
      </c>
      <c r="C187" t="s">
        <v>63</v>
      </c>
      <c r="D187">
        <v>1</v>
      </c>
      <c r="F187">
        <v>1</v>
      </c>
      <c r="G187" t="s">
        <v>145</v>
      </c>
      <c r="H187" t="s">
        <v>146</v>
      </c>
      <c r="I187" t="s">
        <v>104</v>
      </c>
      <c r="K187" t="s">
        <v>38</v>
      </c>
      <c r="L187">
        <v>1</v>
      </c>
      <c r="M187">
        <v>1</v>
      </c>
      <c r="N187">
        <v>2</v>
      </c>
      <c r="O187" t="s">
        <v>67</v>
      </c>
      <c r="P187" t="s">
        <v>96</v>
      </c>
      <c r="Q187" t="s">
        <v>154</v>
      </c>
      <c r="S187" t="s">
        <v>33</v>
      </c>
      <c r="T187">
        <v>1</v>
      </c>
      <c r="V187">
        <v>1</v>
      </c>
      <c r="W187" t="s">
        <v>65</v>
      </c>
      <c r="AA187" t="s">
        <v>45</v>
      </c>
      <c r="AB187">
        <v>2</v>
      </c>
      <c r="AD187">
        <v>2</v>
      </c>
      <c r="AE187" t="s">
        <v>86</v>
      </c>
      <c r="AI187">
        <v>0</v>
      </c>
      <c r="AJ187">
        <v>11</v>
      </c>
    </row>
    <row r="188" spans="1:36" x14ac:dyDescent="0.25">
      <c r="A188" t="s">
        <v>789</v>
      </c>
      <c r="B188">
        <v>201</v>
      </c>
      <c r="C188" t="s">
        <v>43</v>
      </c>
      <c r="D188">
        <v>1</v>
      </c>
      <c r="F188">
        <v>1</v>
      </c>
      <c r="G188" t="s">
        <v>44</v>
      </c>
      <c r="H188" t="s">
        <v>99</v>
      </c>
      <c r="I188" t="s">
        <v>75</v>
      </c>
      <c r="J188" t="s">
        <v>139</v>
      </c>
      <c r="K188" t="s">
        <v>45</v>
      </c>
      <c r="L188">
        <v>3</v>
      </c>
      <c r="N188">
        <v>1</v>
      </c>
      <c r="O188" t="s">
        <v>86</v>
      </c>
      <c r="P188" t="s">
        <v>141</v>
      </c>
      <c r="S188" t="s">
        <v>33</v>
      </c>
      <c r="T188">
        <v>1</v>
      </c>
      <c r="V188">
        <v>1</v>
      </c>
      <c r="W188" t="s">
        <v>46</v>
      </c>
      <c r="AA188" t="s">
        <v>63</v>
      </c>
      <c r="AB188">
        <v>1</v>
      </c>
      <c r="AD188">
        <v>1</v>
      </c>
      <c r="AE188" t="s">
        <v>72</v>
      </c>
      <c r="AF188" t="s">
        <v>146</v>
      </c>
      <c r="AG188" t="s">
        <v>104</v>
      </c>
      <c r="AH188" t="s">
        <v>150</v>
      </c>
      <c r="AI188">
        <v>0</v>
      </c>
      <c r="AJ188">
        <v>14</v>
      </c>
    </row>
    <row r="189" spans="1:36" x14ac:dyDescent="0.25">
      <c r="A189" t="s">
        <v>790</v>
      </c>
      <c r="B189">
        <v>202</v>
      </c>
      <c r="C189" t="s">
        <v>33</v>
      </c>
      <c r="D189">
        <v>1</v>
      </c>
      <c r="F189">
        <v>1</v>
      </c>
      <c r="G189" t="s">
        <v>65</v>
      </c>
      <c r="K189" t="s">
        <v>63</v>
      </c>
      <c r="L189">
        <v>3</v>
      </c>
      <c r="N189">
        <v>3</v>
      </c>
      <c r="O189" t="s">
        <v>145</v>
      </c>
      <c r="P189" t="s">
        <v>146</v>
      </c>
      <c r="Q189" t="s">
        <v>147</v>
      </c>
      <c r="R189" t="s">
        <v>149</v>
      </c>
      <c r="S189" t="s">
        <v>43</v>
      </c>
      <c r="T189">
        <v>2</v>
      </c>
      <c r="V189">
        <v>1</v>
      </c>
      <c r="W189" t="s">
        <v>44</v>
      </c>
      <c r="X189" t="s">
        <v>99</v>
      </c>
      <c r="Y189" t="s">
        <v>75</v>
      </c>
      <c r="Z189" t="s">
        <v>139</v>
      </c>
      <c r="AA189" t="s">
        <v>38</v>
      </c>
      <c r="AB189">
        <v>3</v>
      </c>
      <c r="AC189">
        <v>2</v>
      </c>
      <c r="AD189">
        <v>3</v>
      </c>
      <c r="AE189" t="s">
        <v>67</v>
      </c>
      <c r="AF189" t="s">
        <v>40</v>
      </c>
      <c r="AG189" t="s">
        <v>41</v>
      </c>
      <c r="AH189" t="s">
        <v>156</v>
      </c>
      <c r="AI189">
        <v>0</v>
      </c>
      <c r="AJ189">
        <v>24</v>
      </c>
    </row>
    <row r="190" spans="1:36" x14ac:dyDescent="0.25">
      <c r="A190" t="s">
        <v>791</v>
      </c>
      <c r="B190">
        <v>203</v>
      </c>
      <c r="C190" t="s">
        <v>33</v>
      </c>
      <c r="D190">
        <v>1</v>
      </c>
      <c r="F190">
        <v>1</v>
      </c>
      <c r="G190" t="s">
        <v>65</v>
      </c>
      <c r="K190" t="s">
        <v>63</v>
      </c>
      <c r="L190">
        <v>3</v>
      </c>
      <c r="N190">
        <v>3</v>
      </c>
      <c r="O190" t="s">
        <v>145</v>
      </c>
      <c r="P190" t="s">
        <v>146</v>
      </c>
      <c r="Q190" t="s">
        <v>104</v>
      </c>
      <c r="R190" t="s">
        <v>149</v>
      </c>
      <c r="S190" t="s">
        <v>45</v>
      </c>
      <c r="T190">
        <v>3</v>
      </c>
      <c r="V190">
        <v>1</v>
      </c>
      <c r="W190" t="s">
        <v>86</v>
      </c>
      <c r="AA190" t="s">
        <v>38</v>
      </c>
      <c r="AB190">
        <v>1</v>
      </c>
      <c r="AC190">
        <v>3</v>
      </c>
      <c r="AD190">
        <v>3</v>
      </c>
      <c r="AE190" t="s">
        <v>67</v>
      </c>
      <c r="AF190" t="s">
        <v>40</v>
      </c>
      <c r="AG190" t="s">
        <v>41</v>
      </c>
      <c r="AH190" t="s">
        <v>156</v>
      </c>
      <c r="AI190">
        <v>0</v>
      </c>
      <c r="AJ190">
        <v>20</v>
      </c>
    </row>
    <row r="191" spans="1:36" x14ac:dyDescent="0.25">
      <c r="A191" t="s">
        <v>792</v>
      </c>
      <c r="B191">
        <v>204</v>
      </c>
      <c r="C191" t="s">
        <v>43</v>
      </c>
      <c r="D191">
        <v>1</v>
      </c>
      <c r="F191">
        <v>1</v>
      </c>
      <c r="G191" t="s">
        <v>44</v>
      </c>
      <c r="H191" t="s">
        <v>99</v>
      </c>
      <c r="I191" t="s">
        <v>75</v>
      </c>
      <c r="J191" t="s">
        <v>139</v>
      </c>
      <c r="K191" t="s">
        <v>45</v>
      </c>
      <c r="L191">
        <v>2</v>
      </c>
      <c r="N191">
        <v>2</v>
      </c>
      <c r="O191" t="s">
        <v>140</v>
      </c>
      <c r="P191" t="s">
        <v>141</v>
      </c>
      <c r="Q191" t="s">
        <v>102</v>
      </c>
      <c r="S191" t="s">
        <v>33</v>
      </c>
      <c r="T191">
        <v>1</v>
      </c>
      <c r="V191">
        <v>1</v>
      </c>
      <c r="W191" t="s">
        <v>46</v>
      </c>
      <c r="AA191" t="s">
        <v>38</v>
      </c>
      <c r="AB191">
        <v>1</v>
      </c>
      <c r="AC191">
        <v>1</v>
      </c>
      <c r="AD191">
        <v>2</v>
      </c>
      <c r="AE191" t="s">
        <v>39</v>
      </c>
      <c r="AF191" t="s">
        <v>96</v>
      </c>
      <c r="AG191" t="s">
        <v>41</v>
      </c>
      <c r="AH191" t="s">
        <v>156</v>
      </c>
      <c r="AI191">
        <v>0</v>
      </c>
      <c r="AJ191">
        <v>15</v>
      </c>
    </row>
    <row r="192" spans="1:36" x14ac:dyDescent="0.25">
      <c r="A192" t="s">
        <v>793</v>
      </c>
      <c r="B192">
        <v>205</v>
      </c>
      <c r="C192" t="s">
        <v>43</v>
      </c>
      <c r="D192">
        <v>2</v>
      </c>
      <c r="F192">
        <v>2</v>
      </c>
      <c r="G192" t="s">
        <v>44</v>
      </c>
      <c r="H192" t="s">
        <v>136</v>
      </c>
      <c r="I192" t="s">
        <v>137</v>
      </c>
      <c r="K192" t="s">
        <v>63</v>
      </c>
      <c r="L192">
        <v>2</v>
      </c>
      <c r="N192">
        <v>1</v>
      </c>
      <c r="O192" t="s">
        <v>145</v>
      </c>
      <c r="P192" t="s">
        <v>146</v>
      </c>
      <c r="Q192" t="s">
        <v>147</v>
      </c>
      <c r="R192" t="s">
        <v>149</v>
      </c>
      <c r="S192" t="s">
        <v>33</v>
      </c>
      <c r="T192">
        <v>1</v>
      </c>
      <c r="V192">
        <v>1</v>
      </c>
      <c r="W192" t="s">
        <v>46</v>
      </c>
      <c r="AA192" t="s">
        <v>38</v>
      </c>
      <c r="AB192">
        <v>3</v>
      </c>
      <c r="AC192">
        <v>1</v>
      </c>
      <c r="AD192">
        <v>2</v>
      </c>
      <c r="AE192" t="s">
        <v>67</v>
      </c>
      <c r="AF192" t="s">
        <v>40</v>
      </c>
      <c r="AI192">
        <v>0</v>
      </c>
      <c r="AJ192">
        <v>16</v>
      </c>
    </row>
    <row r="193" spans="1:36" x14ac:dyDescent="0.25">
      <c r="A193" t="s">
        <v>794</v>
      </c>
      <c r="B193">
        <v>206</v>
      </c>
      <c r="C193" t="s">
        <v>33</v>
      </c>
      <c r="D193">
        <v>2</v>
      </c>
      <c r="F193">
        <v>1</v>
      </c>
      <c r="G193" t="s">
        <v>46</v>
      </c>
      <c r="K193" t="s">
        <v>38</v>
      </c>
      <c r="L193">
        <v>3</v>
      </c>
      <c r="M193">
        <v>1</v>
      </c>
      <c r="N193">
        <v>1</v>
      </c>
      <c r="O193" t="s">
        <v>39</v>
      </c>
      <c r="P193" t="s">
        <v>96</v>
      </c>
      <c r="Q193" t="s">
        <v>41</v>
      </c>
      <c r="R193" t="s">
        <v>156</v>
      </c>
      <c r="S193" t="s">
        <v>45</v>
      </c>
      <c r="T193">
        <v>2</v>
      </c>
      <c r="V193">
        <v>1</v>
      </c>
      <c r="W193" t="s">
        <v>140</v>
      </c>
      <c r="AA193" t="s">
        <v>63</v>
      </c>
      <c r="AB193">
        <v>3</v>
      </c>
      <c r="AD193">
        <v>1</v>
      </c>
      <c r="AE193" t="s">
        <v>72</v>
      </c>
      <c r="AF193" t="s">
        <v>95</v>
      </c>
      <c r="AG193" t="s">
        <v>147</v>
      </c>
      <c r="AH193" t="s">
        <v>151</v>
      </c>
      <c r="AI193">
        <v>0</v>
      </c>
      <c r="AJ193">
        <v>17</v>
      </c>
    </row>
    <row r="194" spans="1:36" x14ac:dyDescent="0.25">
      <c r="A194" t="s">
        <v>795</v>
      </c>
      <c r="B194">
        <v>207</v>
      </c>
      <c r="C194" t="s">
        <v>43</v>
      </c>
      <c r="D194">
        <v>3</v>
      </c>
      <c r="F194">
        <v>1</v>
      </c>
      <c r="G194" t="s">
        <v>44</v>
      </c>
      <c r="H194" t="s">
        <v>99</v>
      </c>
      <c r="I194" t="s">
        <v>75</v>
      </c>
      <c r="J194" t="s">
        <v>139</v>
      </c>
      <c r="K194" t="s">
        <v>45</v>
      </c>
      <c r="L194">
        <v>3</v>
      </c>
      <c r="N194">
        <v>1</v>
      </c>
      <c r="O194" t="s">
        <v>86</v>
      </c>
      <c r="P194" t="s">
        <v>141</v>
      </c>
      <c r="Q194" t="s">
        <v>93</v>
      </c>
      <c r="S194" t="s">
        <v>63</v>
      </c>
      <c r="T194">
        <v>2</v>
      </c>
      <c r="V194">
        <v>2</v>
      </c>
      <c r="W194" t="s">
        <v>145</v>
      </c>
      <c r="X194" t="s">
        <v>146</v>
      </c>
      <c r="Y194" t="s">
        <v>104</v>
      </c>
      <c r="AA194" t="s">
        <v>38</v>
      </c>
      <c r="AB194">
        <v>1</v>
      </c>
      <c r="AC194">
        <v>1</v>
      </c>
      <c r="AD194">
        <v>3</v>
      </c>
      <c r="AE194" t="s">
        <v>39</v>
      </c>
      <c r="AI194">
        <v>0</v>
      </c>
      <c r="AJ194">
        <v>19</v>
      </c>
    </row>
    <row r="195" spans="1:36" x14ac:dyDescent="0.25">
      <c r="A195" t="s">
        <v>796</v>
      </c>
      <c r="B195">
        <v>208</v>
      </c>
      <c r="C195" t="s">
        <v>43</v>
      </c>
      <c r="D195">
        <v>1</v>
      </c>
      <c r="F195">
        <v>1</v>
      </c>
      <c r="G195" t="s">
        <v>44</v>
      </c>
      <c r="K195" t="s">
        <v>63</v>
      </c>
      <c r="L195">
        <v>3</v>
      </c>
      <c r="N195">
        <v>3</v>
      </c>
      <c r="O195" t="s">
        <v>145</v>
      </c>
      <c r="P195" t="s">
        <v>146</v>
      </c>
      <c r="Q195" t="s">
        <v>104</v>
      </c>
      <c r="S195" t="s">
        <v>45</v>
      </c>
      <c r="T195">
        <v>2</v>
      </c>
      <c r="V195">
        <v>1</v>
      </c>
      <c r="W195" t="s">
        <v>140</v>
      </c>
      <c r="X195" t="s">
        <v>141</v>
      </c>
      <c r="Y195" t="s">
        <v>93</v>
      </c>
      <c r="Z195" t="s">
        <v>94</v>
      </c>
      <c r="AA195" t="s">
        <v>38</v>
      </c>
      <c r="AB195">
        <v>2</v>
      </c>
      <c r="AC195">
        <v>1</v>
      </c>
      <c r="AD195">
        <v>3</v>
      </c>
      <c r="AE195" t="s">
        <v>67</v>
      </c>
      <c r="AF195" t="s">
        <v>40</v>
      </c>
      <c r="AG195" t="s">
        <v>41</v>
      </c>
      <c r="AH195" t="s">
        <v>155</v>
      </c>
      <c r="AI195">
        <v>0</v>
      </c>
      <c r="AJ195">
        <v>20</v>
      </c>
    </row>
    <row r="196" spans="1:36" x14ac:dyDescent="0.25">
      <c r="A196" t="s">
        <v>797</v>
      </c>
      <c r="B196">
        <v>209</v>
      </c>
      <c r="C196" t="s">
        <v>45</v>
      </c>
      <c r="D196">
        <v>3</v>
      </c>
      <c r="F196">
        <v>1</v>
      </c>
      <c r="G196" t="s">
        <v>140</v>
      </c>
      <c r="H196" t="s">
        <v>92</v>
      </c>
      <c r="I196" t="s">
        <v>102</v>
      </c>
      <c r="K196" t="s">
        <v>63</v>
      </c>
      <c r="L196">
        <v>1</v>
      </c>
      <c r="N196">
        <v>2</v>
      </c>
      <c r="O196" t="s">
        <v>103</v>
      </c>
      <c r="P196" t="s">
        <v>95</v>
      </c>
      <c r="Q196" t="s">
        <v>147</v>
      </c>
      <c r="R196" t="s">
        <v>151</v>
      </c>
      <c r="S196" t="s">
        <v>43</v>
      </c>
      <c r="T196">
        <v>1</v>
      </c>
      <c r="V196">
        <v>1</v>
      </c>
      <c r="W196" t="s">
        <v>44</v>
      </c>
      <c r="X196" t="s">
        <v>136</v>
      </c>
      <c r="Y196" t="s">
        <v>137</v>
      </c>
      <c r="AA196" t="s">
        <v>38</v>
      </c>
      <c r="AB196">
        <v>3</v>
      </c>
      <c r="AC196">
        <v>1</v>
      </c>
      <c r="AD196">
        <v>1</v>
      </c>
      <c r="AE196" t="s">
        <v>39</v>
      </c>
      <c r="AF196" t="s">
        <v>40</v>
      </c>
      <c r="AG196" t="s">
        <v>153</v>
      </c>
      <c r="AH196" t="s">
        <v>42</v>
      </c>
      <c r="AI196">
        <v>0</v>
      </c>
      <c r="AJ196">
        <v>20</v>
      </c>
    </row>
    <row r="197" spans="1:36" x14ac:dyDescent="0.25">
      <c r="A197" s="36" t="s">
        <v>1008</v>
      </c>
      <c r="B197">
        <v>171</v>
      </c>
      <c r="C197" t="s">
        <v>33</v>
      </c>
      <c r="D197">
        <v>1</v>
      </c>
      <c r="F197">
        <v>3</v>
      </c>
      <c r="G197" t="s">
        <v>34</v>
      </c>
      <c r="H197" t="s">
        <v>66</v>
      </c>
      <c r="I197" t="s">
        <v>36</v>
      </c>
      <c r="K197" t="s">
        <v>45</v>
      </c>
      <c r="L197">
        <v>3</v>
      </c>
      <c r="N197">
        <v>1</v>
      </c>
      <c r="O197" t="s">
        <v>140</v>
      </c>
      <c r="S197" t="s">
        <v>48</v>
      </c>
      <c r="T197">
        <v>2</v>
      </c>
      <c r="V197">
        <v>1</v>
      </c>
      <c r="W197" t="s">
        <v>89</v>
      </c>
      <c r="X197" t="s">
        <v>50</v>
      </c>
      <c r="AA197" t="s">
        <v>43</v>
      </c>
      <c r="AB197">
        <v>2</v>
      </c>
      <c r="AD197">
        <v>1</v>
      </c>
      <c r="AE197" t="s">
        <v>44</v>
      </c>
      <c r="AI197">
        <v>0</v>
      </c>
      <c r="AJ197">
        <v>13</v>
      </c>
    </row>
    <row r="198" spans="1:36" x14ac:dyDescent="0.25">
      <c r="A198" s="36" t="s">
        <v>1009</v>
      </c>
      <c r="B198">
        <v>172</v>
      </c>
      <c r="C198" t="s">
        <v>48</v>
      </c>
      <c r="D198">
        <v>2</v>
      </c>
      <c r="F198">
        <v>1</v>
      </c>
      <c r="G198" t="s">
        <v>89</v>
      </c>
      <c r="H198" t="s">
        <v>84</v>
      </c>
      <c r="I198" t="s">
        <v>90</v>
      </c>
      <c r="J198" t="s">
        <v>129</v>
      </c>
      <c r="K198" t="s">
        <v>43</v>
      </c>
      <c r="L198">
        <v>3</v>
      </c>
      <c r="N198">
        <v>3</v>
      </c>
      <c r="O198" t="s">
        <v>44</v>
      </c>
      <c r="P198" t="s">
        <v>99</v>
      </c>
      <c r="Q198" t="s">
        <v>75</v>
      </c>
      <c r="R198" t="s">
        <v>101</v>
      </c>
      <c r="S198" t="s">
        <v>33</v>
      </c>
      <c r="T198">
        <v>1</v>
      </c>
      <c r="V198">
        <v>2</v>
      </c>
      <c r="W198" t="s">
        <v>34</v>
      </c>
      <c r="AA198" t="s">
        <v>63</v>
      </c>
      <c r="AB198">
        <v>3</v>
      </c>
      <c r="AD198">
        <v>3</v>
      </c>
      <c r="AE198" t="s">
        <v>145</v>
      </c>
      <c r="AF198" t="s">
        <v>95</v>
      </c>
      <c r="AG198" t="s">
        <v>147</v>
      </c>
      <c r="AH198" t="s">
        <v>151</v>
      </c>
      <c r="AI198">
        <v>0</v>
      </c>
      <c r="AJ198">
        <v>26</v>
      </c>
    </row>
    <row r="199" spans="1:36" x14ac:dyDescent="0.25">
      <c r="A199" s="36" t="s">
        <v>1010</v>
      </c>
      <c r="B199">
        <v>174</v>
      </c>
      <c r="C199" t="s">
        <v>48</v>
      </c>
      <c r="D199">
        <v>1</v>
      </c>
      <c r="F199">
        <v>1</v>
      </c>
      <c r="G199" t="s">
        <v>89</v>
      </c>
      <c r="H199" t="s">
        <v>71</v>
      </c>
      <c r="I199" t="s">
        <v>51</v>
      </c>
      <c r="K199" t="s">
        <v>43</v>
      </c>
      <c r="L199">
        <v>3</v>
      </c>
      <c r="N199">
        <v>1</v>
      </c>
      <c r="O199" t="s">
        <v>44</v>
      </c>
      <c r="P199" t="s">
        <v>99</v>
      </c>
      <c r="Q199" t="s">
        <v>75</v>
      </c>
      <c r="S199" t="s">
        <v>45</v>
      </c>
      <c r="T199">
        <v>2</v>
      </c>
      <c r="V199">
        <v>1</v>
      </c>
      <c r="W199" t="s">
        <v>86</v>
      </c>
      <c r="AA199" t="s">
        <v>63</v>
      </c>
      <c r="AB199">
        <v>1</v>
      </c>
      <c r="AD199">
        <v>1</v>
      </c>
      <c r="AE199" t="s">
        <v>145</v>
      </c>
      <c r="AF199" t="s">
        <v>146</v>
      </c>
      <c r="AG199" t="s">
        <v>104</v>
      </c>
      <c r="AI199">
        <v>0</v>
      </c>
      <c r="AJ199">
        <v>13</v>
      </c>
    </row>
    <row r="200" spans="1:36" x14ac:dyDescent="0.25">
      <c r="A200" s="36" t="s">
        <v>1011</v>
      </c>
      <c r="B200">
        <v>176</v>
      </c>
      <c r="C200" t="s">
        <v>63</v>
      </c>
      <c r="D200">
        <v>3</v>
      </c>
      <c r="F200">
        <v>1</v>
      </c>
      <c r="G200" t="s">
        <v>145</v>
      </c>
      <c r="H200" t="s">
        <v>146</v>
      </c>
      <c r="I200" t="s">
        <v>148</v>
      </c>
      <c r="J200" t="s">
        <v>149</v>
      </c>
      <c r="K200" t="s">
        <v>38</v>
      </c>
      <c r="L200">
        <v>3</v>
      </c>
      <c r="M200">
        <v>1</v>
      </c>
      <c r="N200">
        <v>3</v>
      </c>
      <c r="O200" t="s">
        <v>39</v>
      </c>
      <c r="P200" t="s">
        <v>40</v>
      </c>
      <c r="S200" t="s">
        <v>48</v>
      </c>
      <c r="T200">
        <v>2</v>
      </c>
      <c r="V200">
        <v>2</v>
      </c>
      <c r="W200" t="s">
        <v>89</v>
      </c>
      <c r="X200" t="s">
        <v>71</v>
      </c>
      <c r="Y200" t="s">
        <v>51</v>
      </c>
      <c r="Z200" t="s">
        <v>52</v>
      </c>
      <c r="AA200" t="s">
        <v>43</v>
      </c>
      <c r="AB200">
        <v>2</v>
      </c>
      <c r="AD200">
        <v>1</v>
      </c>
      <c r="AE200" t="s">
        <v>44</v>
      </c>
      <c r="AF200" t="s">
        <v>74</v>
      </c>
      <c r="AI200">
        <v>0</v>
      </c>
      <c r="AJ200">
        <v>22</v>
      </c>
    </row>
    <row r="201" spans="1:36" x14ac:dyDescent="0.25">
      <c r="A201" s="36" t="s">
        <v>1012</v>
      </c>
      <c r="B201">
        <v>177</v>
      </c>
      <c r="C201" t="s">
        <v>48</v>
      </c>
      <c r="D201">
        <v>2</v>
      </c>
      <c r="F201">
        <v>1</v>
      </c>
      <c r="G201" t="s">
        <v>89</v>
      </c>
      <c r="H201" t="s">
        <v>84</v>
      </c>
      <c r="K201" t="s">
        <v>45</v>
      </c>
      <c r="L201">
        <v>3</v>
      </c>
      <c r="N201">
        <v>2</v>
      </c>
      <c r="O201" t="s">
        <v>140</v>
      </c>
      <c r="S201" t="s">
        <v>33</v>
      </c>
      <c r="T201">
        <v>2</v>
      </c>
      <c r="V201">
        <v>2</v>
      </c>
      <c r="W201" t="s">
        <v>34</v>
      </c>
      <c r="AA201" t="s">
        <v>43</v>
      </c>
      <c r="AB201">
        <v>1</v>
      </c>
      <c r="AD201">
        <v>1</v>
      </c>
      <c r="AE201" t="s">
        <v>44</v>
      </c>
      <c r="AF201" t="s">
        <v>136</v>
      </c>
      <c r="AI201">
        <v>0</v>
      </c>
      <c r="AJ201">
        <v>12</v>
      </c>
    </row>
    <row r="202" spans="1:36" x14ac:dyDescent="0.25">
      <c r="A202" s="36" t="s">
        <v>1013</v>
      </c>
      <c r="B202">
        <v>178</v>
      </c>
      <c r="C202" t="s">
        <v>48</v>
      </c>
      <c r="D202">
        <v>3</v>
      </c>
      <c r="F202">
        <v>3</v>
      </c>
      <c r="G202" t="s">
        <v>89</v>
      </c>
      <c r="H202" t="s">
        <v>71</v>
      </c>
      <c r="I202" t="s">
        <v>127</v>
      </c>
      <c r="J202" t="s">
        <v>129</v>
      </c>
      <c r="K202" t="s">
        <v>45</v>
      </c>
      <c r="L202">
        <v>3</v>
      </c>
      <c r="N202">
        <v>3</v>
      </c>
      <c r="O202" t="s">
        <v>140</v>
      </c>
      <c r="P202" t="s">
        <v>141</v>
      </c>
      <c r="Q202" t="s">
        <v>93</v>
      </c>
      <c r="R202" t="s">
        <v>94</v>
      </c>
      <c r="S202" t="s">
        <v>33</v>
      </c>
      <c r="T202">
        <v>1</v>
      </c>
      <c r="V202">
        <v>1</v>
      </c>
      <c r="W202" t="s">
        <v>34</v>
      </c>
      <c r="X202" t="s">
        <v>66</v>
      </c>
      <c r="AA202" t="s">
        <v>63</v>
      </c>
      <c r="AB202">
        <v>3</v>
      </c>
      <c r="AD202">
        <v>2</v>
      </c>
      <c r="AE202" t="s">
        <v>145</v>
      </c>
      <c r="AF202" t="s">
        <v>146</v>
      </c>
      <c r="AG202" t="s">
        <v>147</v>
      </c>
      <c r="AH202" t="s">
        <v>149</v>
      </c>
      <c r="AI202">
        <v>0</v>
      </c>
      <c r="AJ202">
        <v>25</v>
      </c>
    </row>
    <row r="203" spans="1:36" x14ac:dyDescent="0.25">
      <c r="A203" s="36" t="s">
        <v>1014</v>
      </c>
      <c r="B203">
        <v>182</v>
      </c>
      <c r="C203" t="s">
        <v>48</v>
      </c>
      <c r="D203">
        <v>1</v>
      </c>
      <c r="F203">
        <v>2</v>
      </c>
      <c r="G203" t="s">
        <v>89</v>
      </c>
      <c r="H203" t="s">
        <v>50</v>
      </c>
      <c r="I203" t="s">
        <v>51</v>
      </c>
      <c r="J203" t="s">
        <v>129</v>
      </c>
      <c r="K203" t="s">
        <v>45</v>
      </c>
      <c r="L203">
        <v>3</v>
      </c>
      <c r="N203">
        <v>1</v>
      </c>
      <c r="O203" t="s">
        <v>86</v>
      </c>
      <c r="P203" t="s">
        <v>141</v>
      </c>
      <c r="Q203" t="s">
        <v>93</v>
      </c>
      <c r="S203" t="s">
        <v>63</v>
      </c>
      <c r="T203">
        <v>2</v>
      </c>
      <c r="V203">
        <v>1</v>
      </c>
      <c r="W203" t="s">
        <v>72</v>
      </c>
      <c r="X203" t="s">
        <v>146</v>
      </c>
      <c r="Y203" t="s">
        <v>104</v>
      </c>
      <c r="AA203" t="s">
        <v>38</v>
      </c>
      <c r="AB203">
        <v>3</v>
      </c>
      <c r="AC203">
        <v>1</v>
      </c>
      <c r="AD203">
        <v>1</v>
      </c>
      <c r="AE203" t="s">
        <v>39</v>
      </c>
      <c r="AI203">
        <v>0</v>
      </c>
      <c r="AJ203">
        <v>19</v>
      </c>
    </row>
    <row r="204" spans="1:36" x14ac:dyDescent="0.25">
      <c r="A204" s="36" t="s">
        <v>1015</v>
      </c>
      <c r="B204">
        <v>183</v>
      </c>
      <c r="C204" t="s">
        <v>33</v>
      </c>
      <c r="D204">
        <v>1</v>
      </c>
      <c r="F204">
        <v>2</v>
      </c>
      <c r="G204" t="s">
        <v>34</v>
      </c>
      <c r="H204" t="s">
        <v>130</v>
      </c>
      <c r="I204" t="s">
        <v>36</v>
      </c>
      <c r="K204" t="s">
        <v>43</v>
      </c>
      <c r="L204">
        <v>2</v>
      </c>
      <c r="N204">
        <v>1</v>
      </c>
      <c r="O204" t="s">
        <v>44</v>
      </c>
      <c r="P204" t="s">
        <v>99</v>
      </c>
      <c r="S204" t="s">
        <v>48</v>
      </c>
      <c r="T204">
        <v>1</v>
      </c>
      <c r="V204">
        <v>1</v>
      </c>
      <c r="W204" t="s">
        <v>126</v>
      </c>
      <c r="X204" t="s">
        <v>50</v>
      </c>
      <c r="Y204" t="s">
        <v>127</v>
      </c>
      <c r="Z204" t="s">
        <v>52</v>
      </c>
      <c r="AA204" t="s">
        <v>63</v>
      </c>
      <c r="AB204">
        <v>1</v>
      </c>
      <c r="AD204">
        <v>1</v>
      </c>
      <c r="AE204" t="s">
        <v>72</v>
      </c>
      <c r="AF204" t="s">
        <v>146</v>
      </c>
      <c r="AI204">
        <v>0</v>
      </c>
      <c r="AJ204">
        <v>14</v>
      </c>
    </row>
    <row r="205" spans="1:36" x14ac:dyDescent="0.25">
      <c r="A205" s="36" t="s">
        <v>1026</v>
      </c>
      <c r="B205">
        <v>95</v>
      </c>
      <c r="C205" t="s">
        <v>53</v>
      </c>
      <c r="D205">
        <v>1</v>
      </c>
      <c r="E205">
        <v>1</v>
      </c>
      <c r="F205">
        <v>1</v>
      </c>
      <c r="G205" t="s">
        <v>112</v>
      </c>
      <c r="H205" t="s">
        <v>113</v>
      </c>
      <c r="I205" t="s">
        <v>105</v>
      </c>
      <c r="K205" t="s">
        <v>38</v>
      </c>
      <c r="L205">
        <v>3</v>
      </c>
      <c r="M205">
        <v>2</v>
      </c>
      <c r="N205">
        <v>2</v>
      </c>
      <c r="O205" t="s">
        <v>67</v>
      </c>
      <c r="P205" t="s">
        <v>40</v>
      </c>
      <c r="Q205" t="s">
        <v>154</v>
      </c>
      <c r="S205" t="s">
        <v>48</v>
      </c>
      <c r="T205">
        <v>1</v>
      </c>
      <c r="V205">
        <v>1</v>
      </c>
      <c r="W205" t="s">
        <v>126</v>
      </c>
      <c r="X205" t="s">
        <v>84</v>
      </c>
      <c r="Y205" t="s">
        <v>90</v>
      </c>
      <c r="AA205" t="s">
        <v>33</v>
      </c>
      <c r="AB205">
        <v>2</v>
      </c>
      <c r="AD205">
        <v>3</v>
      </c>
      <c r="AE205" t="s">
        <v>65</v>
      </c>
      <c r="AF205" t="s">
        <v>35</v>
      </c>
      <c r="AG205" t="s">
        <v>131</v>
      </c>
      <c r="AI205">
        <v>0</v>
      </c>
      <c r="AJ205">
        <v>19</v>
      </c>
    </row>
    <row r="206" spans="1:36" x14ac:dyDescent="0.25">
      <c r="A206" s="36" t="s">
        <v>1027</v>
      </c>
      <c r="B206">
        <v>125</v>
      </c>
      <c r="C206" t="s">
        <v>56</v>
      </c>
      <c r="D206">
        <v>2</v>
      </c>
      <c r="F206">
        <v>1</v>
      </c>
      <c r="G206" t="s">
        <v>120</v>
      </c>
      <c r="H206" t="s">
        <v>122</v>
      </c>
      <c r="K206" t="s">
        <v>43</v>
      </c>
      <c r="L206">
        <v>3</v>
      </c>
      <c r="N206">
        <v>1</v>
      </c>
      <c r="O206" t="s">
        <v>44</v>
      </c>
      <c r="P206" t="s">
        <v>74</v>
      </c>
      <c r="S206" t="s">
        <v>48</v>
      </c>
      <c r="T206">
        <v>1</v>
      </c>
      <c r="V206">
        <v>1</v>
      </c>
      <c r="W206" t="s">
        <v>126</v>
      </c>
      <c r="X206" t="s">
        <v>84</v>
      </c>
      <c r="AA206" t="s">
        <v>33</v>
      </c>
      <c r="AB206">
        <v>2</v>
      </c>
      <c r="AD206">
        <v>2</v>
      </c>
      <c r="AE206" t="s">
        <v>46</v>
      </c>
      <c r="AI206">
        <v>0</v>
      </c>
      <c r="AJ206">
        <v>12</v>
      </c>
    </row>
    <row r="207" spans="1:36" x14ac:dyDescent="0.25">
      <c r="A207" s="36" t="s">
        <v>1028</v>
      </c>
      <c r="B207">
        <v>135</v>
      </c>
      <c r="C207" t="s">
        <v>56</v>
      </c>
      <c r="D207">
        <v>3</v>
      </c>
      <c r="F207">
        <v>1</v>
      </c>
      <c r="G207" t="s">
        <v>120</v>
      </c>
      <c r="H207" t="s">
        <v>122</v>
      </c>
      <c r="K207" t="s">
        <v>45</v>
      </c>
      <c r="L207">
        <v>3</v>
      </c>
      <c r="N207">
        <v>1</v>
      </c>
      <c r="O207" t="s">
        <v>86</v>
      </c>
      <c r="P207" t="s">
        <v>76</v>
      </c>
      <c r="S207" t="s">
        <v>48</v>
      </c>
      <c r="T207">
        <v>1</v>
      </c>
      <c r="V207">
        <v>1</v>
      </c>
      <c r="W207" t="s">
        <v>126</v>
      </c>
      <c r="X207" t="s">
        <v>84</v>
      </c>
      <c r="Y207" t="s">
        <v>90</v>
      </c>
      <c r="AA207" t="s">
        <v>33</v>
      </c>
      <c r="AB207">
        <v>2</v>
      </c>
      <c r="AD207">
        <v>3</v>
      </c>
      <c r="AE207" t="s">
        <v>46</v>
      </c>
      <c r="AI207">
        <v>0</v>
      </c>
      <c r="AJ207">
        <v>15</v>
      </c>
    </row>
    <row r="208" spans="1:36" x14ac:dyDescent="0.25">
      <c r="A208" s="36" t="s">
        <v>1029</v>
      </c>
      <c r="B208">
        <v>145</v>
      </c>
      <c r="C208" t="s">
        <v>56</v>
      </c>
      <c r="D208">
        <v>2</v>
      </c>
      <c r="F208">
        <v>1</v>
      </c>
      <c r="G208" t="s">
        <v>68</v>
      </c>
      <c r="H208" t="s">
        <v>122</v>
      </c>
      <c r="I208" t="s">
        <v>85</v>
      </c>
      <c r="K208" t="s">
        <v>63</v>
      </c>
      <c r="L208">
        <v>1</v>
      </c>
      <c r="N208">
        <v>1</v>
      </c>
      <c r="O208" t="s">
        <v>145</v>
      </c>
      <c r="P208" t="s">
        <v>95</v>
      </c>
      <c r="Q208" t="s">
        <v>104</v>
      </c>
      <c r="S208" t="s">
        <v>48</v>
      </c>
      <c r="T208">
        <v>1</v>
      </c>
      <c r="V208">
        <v>1</v>
      </c>
      <c r="W208" t="s">
        <v>89</v>
      </c>
      <c r="X208" t="s">
        <v>84</v>
      </c>
      <c r="Y208" t="s">
        <v>51</v>
      </c>
      <c r="Z208" t="s">
        <v>128</v>
      </c>
      <c r="AA208" t="s">
        <v>33</v>
      </c>
      <c r="AB208">
        <v>1</v>
      </c>
      <c r="AD208">
        <v>2</v>
      </c>
      <c r="AE208" t="s">
        <v>34</v>
      </c>
      <c r="AF208" t="s">
        <v>35</v>
      </c>
      <c r="AI208">
        <v>0</v>
      </c>
      <c r="AJ208">
        <v>14</v>
      </c>
    </row>
    <row r="209" spans="1:36" x14ac:dyDescent="0.25">
      <c r="A209" s="36" t="s">
        <v>1030</v>
      </c>
      <c r="B209">
        <v>165</v>
      </c>
      <c r="C209" t="s">
        <v>43</v>
      </c>
      <c r="D209">
        <v>3</v>
      </c>
      <c r="F209">
        <v>2</v>
      </c>
      <c r="G209" t="s">
        <v>44</v>
      </c>
      <c r="K209" t="s">
        <v>45</v>
      </c>
      <c r="L209">
        <v>3</v>
      </c>
      <c r="N209">
        <v>1</v>
      </c>
      <c r="O209" t="s">
        <v>140</v>
      </c>
      <c r="P209" t="s">
        <v>141</v>
      </c>
      <c r="S209" t="s">
        <v>48</v>
      </c>
      <c r="T209">
        <v>1</v>
      </c>
      <c r="V209">
        <v>1</v>
      </c>
      <c r="W209" t="s">
        <v>126</v>
      </c>
      <c r="X209" t="s">
        <v>71</v>
      </c>
      <c r="Y209" t="s">
        <v>90</v>
      </c>
      <c r="AA209" t="s">
        <v>33</v>
      </c>
      <c r="AB209">
        <v>1</v>
      </c>
      <c r="AD209">
        <v>1</v>
      </c>
      <c r="AE209" t="s">
        <v>46</v>
      </c>
      <c r="AI209">
        <v>0</v>
      </c>
      <c r="AJ209">
        <v>12</v>
      </c>
    </row>
    <row r="210" spans="1:36" x14ac:dyDescent="0.25">
      <c r="A210" s="36" t="s">
        <v>1031</v>
      </c>
      <c r="B210">
        <v>167</v>
      </c>
      <c r="C210" t="s">
        <v>43</v>
      </c>
      <c r="D210">
        <v>3</v>
      </c>
      <c r="F210">
        <v>1</v>
      </c>
      <c r="G210" t="s">
        <v>44</v>
      </c>
      <c r="H210" t="s">
        <v>136</v>
      </c>
      <c r="I210" t="s">
        <v>137</v>
      </c>
      <c r="K210" t="s">
        <v>38</v>
      </c>
      <c r="L210">
        <v>1</v>
      </c>
      <c r="M210">
        <v>2</v>
      </c>
      <c r="N210">
        <v>2</v>
      </c>
      <c r="O210" t="s">
        <v>67</v>
      </c>
      <c r="P210" t="s">
        <v>40</v>
      </c>
      <c r="Q210" t="s">
        <v>41</v>
      </c>
      <c r="R210" t="s">
        <v>155</v>
      </c>
      <c r="S210" t="s">
        <v>48</v>
      </c>
      <c r="T210">
        <v>1</v>
      </c>
      <c r="V210">
        <v>1</v>
      </c>
      <c r="W210" t="s">
        <v>126</v>
      </c>
      <c r="X210" t="s">
        <v>71</v>
      </c>
      <c r="Y210" t="s">
        <v>90</v>
      </c>
      <c r="Z210" t="s">
        <v>128</v>
      </c>
      <c r="AA210" t="s">
        <v>33</v>
      </c>
      <c r="AB210">
        <v>1</v>
      </c>
      <c r="AD210">
        <v>1</v>
      </c>
      <c r="AE210" t="s">
        <v>65</v>
      </c>
      <c r="AI210">
        <v>0</v>
      </c>
      <c r="AJ210">
        <v>18</v>
      </c>
    </row>
    <row r="211" spans="1:36" x14ac:dyDescent="0.25">
      <c r="A211" s="36" t="s">
        <v>1032</v>
      </c>
      <c r="B211">
        <v>169</v>
      </c>
      <c r="C211" t="s">
        <v>45</v>
      </c>
      <c r="D211">
        <v>3</v>
      </c>
      <c r="F211">
        <v>1</v>
      </c>
      <c r="G211" t="s">
        <v>140</v>
      </c>
      <c r="H211" t="s">
        <v>141</v>
      </c>
      <c r="I211" t="s">
        <v>102</v>
      </c>
      <c r="J211" t="s">
        <v>143</v>
      </c>
      <c r="K211" t="s">
        <v>38</v>
      </c>
      <c r="L211">
        <v>3</v>
      </c>
      <c r="M211">
        <v>1</v>
      </c>
      <c r="N211">
        <v>2</v>
      </c>
      <c r="O211" t="s">
        <v>67</v>
      </c>
      <c r="P211" t="s">
        <v>40</v>
      </c>
      <c r="Q211" t="s">
        <v>154</v>
      </c>
      <c r="R211" t="s">
        <v>155</v>
      </c>
      <c r="S211" t="s">
        <v>48</v>
      </c>
      <c r="T211">
        <v>1</v>
      </c>
      <c r="V211">
        <v>3</v>
      </c>
      <c r="W211" t="s">
        <v>126</v>
      </c>
      <c r="X211" t="s">
        <v>84</v>
      </c>
      <c r="Y211" t="s">
        <v>90</v>
      </c>
      <c r="Z211" t="s">
        <v>128</v>
      </c>
      <c r="AA211" t="s">
        <v>33</v>
      </c>
      <c r="AB211">
        <v>1</v>
      </c>
      <c r="AD211">
        <v>3</v>
      </c>
      <c r="AE211" t="s">
        <v>65</v>
      </c>
      <c r="AI211">
        <v>0</v>
      </c>
      <c r="AJ211">
        <v>22</v>
      </c>
    </row>
  </sheetData>
  <conditionalFormatting sqref="B1:B1048576">
    <cfRule type="duplicateValues" dxfId="2" priority="1"/>
  </conditionalFormatting>
  <conditionalFormatting sqref="A2:B211">
    <cfRule type="duplicateValues" dxfId="1" priority="572"/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FA1AE-AF65-4366-A552-86EB86485CFA}">
  <dimension ref="A1:P212"/>
  <sheetViews>
    <sheetView workbookViewId="0">
      <selection activeCell="O24" sqref="O24"/>
    </sheetView>
  </sheetViews>
  <sheetFormatPr defaultRowHeight="15" x14ac:dyDescent="0.25"/>
  <cols>
    <col min="1" max="1" width="10.5703125" bestFit="1" customWidth="1"/>
    <col min="2" max="2" width="11.42578125" bestFit="1" customWidth="1"/>
    <col min="3" max="3" width="13.5703125" bestFit="1" customWidth="1"/>
    <col min="4" max="5" width="11.42578125" bestFit="1" customWidth="1"/>
    <col min="6" max="6" width="13.5703125" bestFit="1" customWidth="1"/>
    <col min="7" max="7" width="9.42578125" bestFit="1" customWidth="1"/>
    <col min="9" max="10" width="11.42578125" bestFit="1" customWidth="1"/>
    <col min="11" max="11" width="9.42578125" bestFit="1" customWidth="1"/>
    <col min="12" max="12" width="7.42578125" bestFit="1" customWidth="1"/>
    <col min="13" max="13" width="10.85546875" bestFit="1" customWidth="1"/>
    <col min="15" max="15" width="25.140625" bestFit="1" customWidth="1"/>
    <col min="16" max="16" width="3" bestFit="1" customWidth="1"/>
    <col min="18" max="18" width="9.28515625" bestFit="1" customWidth="1"/>
  </cols>
  <sheetData>
    <row r="1" spans="1:16" ht="15.75" thickBot="1" x14ac:dyDescent="0.3">
      <c r="A1" s="37" t="s">
        <v>78</v>
      </c>
      <c r="B1" s="38"/>
      <c r="C1" s="38"/>
      <c r="D1" s="38"/>
      <c r="E1" s="38"/>
      <c r="F1" s="38"/>
      <c r="G1" s="39"/>
      <c r="I1" s="37" t="s">
        <v>82</v>
      </c>
      <c r="J1" s="38"/>
      <c r="K1" s="38"/>
      <c r="L1" s="38"/>
      <c r="M1" s="39"/>
      <c r="O1" s="4" t="s">
        <v>157</v>
      </c>
      <c r="P1" s="30">
        <f>MIN(Scenario5[crystals])</f>
        <v>0</v>
      </c>
    </row>
    <row r="2" spans="1:16" ht="15.75" thickBot="1" x14ac:dyDescent="0.3">
      <c r="A2" t="s">
        <v>59</v>
      </c>
      <c r="B2" t="s">
        <v>60</v>
      </c>
      <c r="C2" t="s">
        <v>81</v>
      </c>
      <c r="D2" t="s">
        <v>61</v>
      </c>
      <c r="E2" t="s">
        <v>62</v>
      </c>
      <c r="F2" t="s">
        <v>77</v>
      </c>
      <c r="G2" t="s">
        <v>58</v>
      </c>
      <c r="I2" t="s">
        <v>59</v>
      </c>
      <c r="J2" t="s">
        <v>60</v>
      </c>
      <c r="K2" t="s">
        <v>58</v>
      </c>
      <c r="L2" t="s">
        <v>79</v>
      </c>
      <c r="M2" t="s">
        <v>80</v>
      </c>
      <c r="O2" s="4" t="s">
        <v>107</v>
      </c>
      <c r="P2" s="30">
        <f>AVERAGE(Scenario5[crystals])</f>
        <v>0</v>
      </c>
    </row>
    <row r="3" spans="1:16" ht="15.75" thickBot="1" x14ac:dyDescent="0.3">
      <c r="A3" t="s">
        <v>53</v>
      </c>
      <c r="B3" t="s">
        <v>56</v>
      </c>
      <c r="C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" t="s">
        <v>48</v>
      </c>
      <c r="E3" t="s">
        <v>33</v>
      </c>
      <c r="F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">
        <f>ScenarioStat5[[#This Row],[team-1-win]]+ScenarioStat5[[#This Row],[team-2-win]]</f>
        <v>1</v>
      </c>
      <c r="I3" t="s">
        <v>53</v>
      </c>
      <c r="J3" t="s">
        <v>56</v>
      </c>
      <c r="K3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3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10</v>
      </c>
      <c r="M3" s="3">
        <f>IF(ScenarioTeams5[[#This Row],[battles]],ScenarioTeams5[[#This Row],[wins]]/ScenarioTeams5[[#This Row],[battles]],0)</f>
        <v>0.66666666666666663</v>
      </c>
      <c r="O3" s="4" t="s">
        <v>159</v>
      </c>
      <c r="P3" s="30">
        <f>MAX(Scenario5[crystals])</f>
        <v>0</v>
      </c>
    </row>
    <row r="4" spans="1:16" ht="15.75" thickBot="1" x14ac:dyDescent="0.3">
      <c r="A4" t="s">
        <v>53</v>
      </c>
      <c r="B4" t="s">
        <v>56</v>
      </c>
      <c r="C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" t="s">
        <v>48</v>
      </c>
      <c r="E4" t="s">
        <v>43</v>
      </c>
      <c r="F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">
        <f>ScenarioStat5[[#This Row],[team-1-win]]+ScenarioStat5[[#This Row],[team-2-win]]</f>
        <v>1</v>
      </c>
      <c r="I4" t="s">
        <v>53</v>
      </c>
      <c r="J4" t="s">
        <v>48</v>
      </c>
      <c r="K4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4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5</v>
      </c>
      <c r="M4" s="3">
        <f>IF(ScenarioTeams5[[#This Row],[battles]],ScenarioTeams5[[#This Row],[wins]]/ScenarioTeams5[[#This Row],[battles]],0)</f>
        <v>0.33333333333333331</v>
      </c>
    </row>
    <row r="5" spans="1:16" ht="15.75" thickBot="1" x14ac:dyDescent="0.3">
      <c r="A5" t="s">
        <v>53</v>
      </c>
      <c r="B5" t="s">
        <v>56</v>
      </c>
      <c r="C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" t="s">
        <v>48</v>
      </c>
      <c r="E5" t="s">
        <v>45</v>
      </c>
      <c r="F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">
        <f>ScenarioStat5[[#This Row],[team-1-win]]+ScenarioStat5[[#This Row],[team-2-win]]</f>
        <v>1</v>
      </c>
      <c r="I5" t="s">
        <v>53</v>
      </c>
      <c r="J5" t="s">
        <v>33</v>
      </c>
      <c r="K5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5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6</v>
      </c>
      <c r="M5" s="3">
        <f>IF(ScenarioTeams5[[#This Row],[battles]],ScenarioTeams5[[#This Row],[wins]]/ScenarioTeams5[[#This Row],[battles]],0)</f>
        <v>0.4</v>
      </c>
      <c r="O5" s="4" t="s">
        <v>158</v>
      </c>
      <c r="P5" s="30">
        <f>MIN(Scenario5[turns])</f>
        <v>8</v>
      </c>
    </row>
    <row r="6" spans="1:16" ht="15.75" thickBot="1" x14ac:dyDescent="0.3">
      <c r="A6" t="s">
        <v>53</v>
      </c>
      <c r="B6" t="s">
        <v>56</v>
      </c>
      <c r="C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" t="s">
        <v>48</v>
      </c>
      <c r="E6" t="s">
        <v>63</v>
      </c>
      <c r="F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6">
        <f>ScenarioStat5[[#This Row],[team-1-win]]+ScenarioStat5[[#This Row],[team-2-win]]</f>
        <v>1</v>
      </c>
      <c r="I6" t="s">
        <v>53</v>
      </c>
      <c r="J6" t="s">
        <v>43</v>
      </c>
      <c r="K6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6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11</v>
      </c>
      <c r="M6" s="3">
        <f>IF(ScenarioTeams5[[#This Row],[battles]],ScenarioTeams5[[#This Row],[wins]]/ScenarioTeams5[[#This Row],[battles]],0)</f>
        <v>0.73333333333333328</v>
      </c>
      <c r="O6" s="5" t="s">
        <v>108</v>
      </c>
      <c r="P6" s="31">
        <f>AVERAGE(Scenario5[turns])</f>
        <v>17.876190476190477</v>
      </c>
    </row>
    <row r="7" spans="1:16" ht="15.75" thickBot="1" x14ac:dyDescent="0.3">
      <c r="A7" t="s">
        <v>53</v>
      </c>
      <c r="B7" t="s">
        <v>56</v>
      </c>
      <c r="C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" t="s">
        <v>48</v>
      </c>
      <c r="E7" t="s">
        <v>38</v>
      </c>
      <c r="F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">
        <f>ScenarioStat5[[#This Row],[team-1-win]]+ScenarioStat5[[#This Row],[team-2-win]]</f>
        <v>1</v>
      </c>
      <c r="I7" t="s">
        <v>53</v>
      </c>
      <c r="J7" t="s">
        <v>45</v>
      </c>
      <c r="K7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7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9</v>
      </c>
      <c r="M7" s="3">
        <f>IF(ScenarioTeams5[[#This Row],[battles]],ScenarioTeams5[[#This Row],[wins]]/ScenarioTeams5[[#This Row],[battles]],0)</f>
        <v>0.6</v>
      </c>
      <c r="O7" s="5" t="s">
        <v>160</v>
      </c>
      <c r="P7" s="31">
        <f>MAX(Scenario5[turns])</f>
        <v>36</v>
      </c>
    </row>
    <row r="8" spans="1:16" ht="15.75" thickBot="1" x14ac:dyDescent="0.3">
      <c r="A8" t="s">
        <v>53</v>
      </c>
      <c r="B8" t="s">
        <v>56</v>
      </c>
      <c r="C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" t="s">
        <v>33</v>
      </c>
      <c r="E8" t="s">
        <v>43</v>
      </c>
      <c r="F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8">
        <f>ScenarioStat5[[#This Row],[team-1-win]]+ScenarioStat5[[#This Row],[team-2-win]]</f>
        <v>1</v>
      </c>
      <c r="I8" t="s">
        <v>53</v>
      </c>
      <c r="J8" t="s">
        <v>63</v>
      </c>
      <c r="K8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8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7</v>
      </c>
      <c r="M8" s="3">
        <f>IF(ScenarioTeams5[[#This Row],[battles]],ScenarioTeams5[[#This Row],[wins]]/ScenarioTeams5[[#This Row],[battles]],0)</f>
        <v>0.46666666666666667</v>
      </c>
    </row>
    <row r="9" spans="1:16" ht="15.75" thickBot="1" x14ac:dyDescent="0.3">
      <c r="A9" t="s">
        <v>53</v>
      </c>
      <c r="B9" t="s">
        <v>56</v>
      </c>
      <c r="C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9" t="s">
        <v>33</v>
      </c>
      <c r="E9" t="s">
        <v>45</v>
      </c>
      <c r="F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">
        <f>ScenarioStat5[[#This Row],[team-1-win]]+ScenarioStat5[[#This Row],[team-2-win]]</f>
        <v>1</v>
      </c>
      <c r="I9" t="s">
        <v>53</v>
      </c>
      <c r="J9" t="s">
        <v>38</v>
      </c>
      <c r="K9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9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9</v>
      </c>
      <c r="M9" s="3">
        <f>IF(ScenarioTeams5[[#This Row],[battles]],ScenarioTeams5[[#This Row],[wins]]/ScenarioTeams5[[#This Row],[battles]],0)</f>
        <v>0.6</v>
      </c>
      <c r="O9" s="4" t="s">
        <v>185</v>
      </c>
      <c r="P9" s="30">
        <f>120000*$P$6/1000/60</f>
        <v>35.752380952380953</v>
      </c>
    </row>
    <row r="10" spans="1:16" ht="15.75" thickBot="1" x14ac:dyDescent="0.3">
      <c r="A10" t="s">
        <v>53</v>
      </c>
      <c r="B10" t="s">
        <v>56</v>
      </c>
      <c r="C1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" t="s">
        <v>33</v>
      </c>
      <c r="E10" t="s">
        <v>63</v>
      </c>
      <c r="F1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">
        <f>ScenarioStat5[[#This Row],[team-1-win]]+ScenarioStat5[[#This Row],[team-2-win]]</f>
        <v>1</v>
      </c>
      <c r="I10" t="s">
        <v>56</v>
      </c>
      <c r="J10" t="s">
        <v>48</v>
      </c>
      <c r="K10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0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2</v>
      </c>
      <c r="M10" s="3">
        <f>IF(ScenarioTeams5[[#This Row],[battles]],ScenarioTeams5[[#This Row],[wins]]/ScenarioTeams5[[#This Row],[battles]],0)</f>
        <v>0.13333333333333333</v>
      </c>
      <c r="O10" s="5" t="s">
        <v>186</v>
      </c>
      <c r="P10" s="31">
        <f>P9*COUNTA(ScenarioStat5[hero-1])/60/24</f>
        <v>5.2138888888888895</v>
      </c>
    </row>
    <row r="11" spans="1:16" x14ac:dyDescent="0.25">
      <c r="A11" t="s">
        <v>53</v>
      </c>
      <c r="B11" t="s">
        <v>56</v>
      </c>
      <c r="C1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1" t="s">
        <v>33</v>
      </c>
      <c r="E11" t="s">
        <v>38</v>
      </c>
      <c r="F1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">
        <f>ScenarioStat5[[#This Row],[team-1-win]]+ScenarioStat5[[#This Row],[team-2-win]]</f>
        <v>1</v>
      </c>
      <c r="I11" t="s">
        <v>56</v>
      </c>
      <c r="J11" t="s">
        <v>33</v>
      </c>
      <c r="K11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1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4</v>
      </c>
      <c r="M11" s="3">
        <f>IF(ScenarioTeams5[[#This Row],[battles]],ScenarioTeams5[[#This Row],[wins]]/ScenarioTeams5[[#This Row],[battles]],0)</f>
        <v>0.26666666666666666</v>
      </c>
    </row>
    <row r="12" spans="1:16" x14ac:dyDescent="0.25">
      <c r="A12" t="s">
        <v>53</v>
      </c>
      <c r="B12" t="s">
        <v>56</v>
      </c>
      <c r="C1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2" t="s">
        <v>43</v>
      </c>
      <c r="E12" t="s">
        <v>45</v>
      </c>
      <c r="F1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">
        <f>ScenarioStat5[[#This Row],[team-1-win]]+ScenarioStat5[[#This Row],[team-2-win]]</f>
        <v>1</v>
      </c>
      <c r="I12" t="s">
        <v>56</v>
      </c>
      <c r="J12" t="s">
        <v>43</v>
      </c>
      <c r="K12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2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9</v>
      </c>
      <c r="M12" s="3">
        <f>IF(ScenarioTeams5[[#This Row],[battles]],ScenarioTeams5[[#This Row],[wins]]/ScenarioTeams5[[#This Row],[battles]],0)</f>
        <v>0.6</v>
      </c>
    </row>
    <row r="13" spans="1:16" x14ac:dyDescent="0.25">
      <c r="A13" t="s">
        <v>53</v>
      </c>
      <c r="B13" t="s">
        <v>56</v>
      </c>
      <c r="C1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" t="s">
        <v>43</v>
      </c>
      <c r="E13" t="s">
        <v>63</v>
      </c>
      <c r="F1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3">
        <f>ScenarioStat5[[#This Row],[team-1-win]]+ScenarioStat5[[#This Row],[team-2-win]]</f>
        <v>1</v>
      </c>
      <c r="I13" t="s">
        <v>56</v>
      </c>
      <c r="J13" t="s">
        <v>45</v>
      </c>
      <c r="K13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3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11</v>
      </c>
      <c r="M13" s="3">
        <f>IF(ScenarioTeams5[[#This Row],[battles]],ScenarioTeams5[[#This Row],[wins]]/ScenarioTeams5[[#This Row],[battles]],0)</f>
        <v>0.73333333333333328</v>
      </c>
    </row>
    <row r="14" spans="1:16" x14ac:dyDescent="0.25">
      <c r="A14" t="s">
        <v>53</v>
      </c>
      <c r="B14" t="s">
        <v>56</v>
      </c>
      <c r="C1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" t="s">
        <v>43</v>
      </c>
      <c r="E14" t="s">
        <v>38</v>
      </c>
      <c r="F1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">
        <f>ScenarioStat5[[#This Row],[team-1-win]]+ScenarioStat5[[#This Row],[team-2-win]]</f>
        <v>1</v>
      </c>
      <c r="I14" t="s">
        <v>56</v>
      </c>
      <c r="J14" t="s">
        <v>63</v>
      </c>
      <c r="K14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4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10</v>
      </c>
      <c r="M14" s="3">
        <f>IF(ScenarioTeams5[[#This Row],[battles]],ScenarioTeams5[[#This Row],[wins]]/ScenarioTeams5[[#This Row],[battles]],0)</f>
        <v>0.66666666666666663</v>
      </c>
    </row>
    <row r="15" spans="1:16" x14ac:dyDescent="0.25">
      <c r="A15" t="s">
        <v>53</v>
      </c>
      <c r="B15" t="s">
        <v>56</v>
      </c>
      <c r="C1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5" t="s">
        <v>45</v>
      </c>
      <c r="E15" t="s">
        <v>63</v>
      </c>
      <c r="F1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5">
        <f>ScenarioStat5[[#This Row],[team-1-win]]+ScenarioStat5[[#This Row],[team-2-win]]</f>
        <v>1</v>
      </c>
      <c r="I15" t="s">
        <v>56</v>
      </c>
      <c r="J15" t="s">
        <v>38</v>
      </c>
      <c r="K15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5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11</v>
      </c>
      <c r="M15" s="3">
        <f>IF(ScenarioTeams5[[#This Row],[battles]],ScenarioTeams5[[#This Row],[wins]]/ScenarioTeams5[[#This Row],[battles]],0)</f>
        <v>0.73333333333333328</v>
      </c>
    </row>
    <row r="16" spans="1:16" x14ac:dyDescent="0.25">
      <c r="A16" t="s">
        <v>53</v>
      </c>
      <c r="B16" t="s">
        <v>56</v>
      </c>
      <c r="C1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" t="s">
        <v>45</v>
      </c>
      <c r="E16" t="s">
        <v>38</v>
      </c>
      <c r="F1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">
        <f>ScenarioStat5[[#This Row],[team-1-win]]+ScenarioStat5[[#This Row],[team-2-win]]</f>
        <v>1</v>
      </c>
      <c r="I16" t="s">
        <v>48</v>
      </c>
      <c r="J16" t="s">
        <v>33</v>
      </c>
      <c r="K16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6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</v>
      </c>
      <c r="M16" s="3">
        <f>IF(ScenarioTeams5[[#This Row],[battles]],ScenarioTeams5[[#This Row],[wins]]/ScenarioTeams5[[#This Row],[battles]],0)</f>
        <v>6.6666666666666666E-2</v>
      </c>
    </row>
    <row r="17" spans="1:13" x14ac:dyDescent="0.25">
      <c r="A17" t="s">
        <v>53</v>
      </c>
      <c r="B17" t="s">
        <v>56</v>
      </c>
      <c r="C1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7" t="s">
        <v>63</v>
      </c>
      <c r="E17" t="s">
        <v>38</v>
      </c>
      <c r="F1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">
        <f>ScenarioStat5[[#This Row],[team-1-win]]+ScenarioStat5[[#This Row],[team-2-win]]</f>
        <v>1</v>
      </c>
      <c r="I17" t="s">
        <v>48</v>
      </c>
      <c r="J17" t="s">
        <v>43</v>
      </c>
      <c r="K17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7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9</v>
      </c>
      <c r="M17" s="3">
        <f>IF(ScenarioTeams5[[#This Row],[battles]],ScenarioTeams5[[#This Row],[wins]]/ScenarioTeams5[[#This Row],[battles]],0)</f>
        <v>0.6</v>
      </c>
    </row>
    <row r="18" spans="1:13" x14ac:dyDescent="0.25">
      <c r="A18" t="s">
        <v>53</v>
      </c>
      <c r="B18" t="s">
        <v>48</v>
      </c>
      <c r="C1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" t="s">
        <v>56</v>
      </c>
      <c r="E18" t="s">
        <v>33</v>
      </c>
      <c r="F1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8">
        <f>ScenarioStat5[[#This Row],[team-1-win]]+ScenarioStat5[[#This Row],[team-2-win]]</f>
        <v>1</v>
      </c>
      <c r="I18" t="s">
        <v>48</v>
      </c>
      <c r="J18" t="s">
        <v>45</v>
      </c>
      <c r="K18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8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11</v>
      </c>
      <c r="M18" s="3">
        <f>IF(ScenarioTeams5[[#This Row],[battles]],ScenarioTeams5[[#This Row],[wins]]/ScenarioTeams5[[#This Row],[battles]],0)</f>
        <v>0.73333333333333328</v>
      </c>
    </row>
    <row r="19" spans="1:13" x14ac:dyDescent="0.25">
      <c r="A19" t="s">
        <v>53</v>
      </c>
      <c r="B19" t="s">
        <v>48</v>
      </c>
      <c r="C1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" t="s">
        <v>56</v>
      </c>
      <c r="E19" t="s">
        <v>43</v>
      </c>
      <c r="F1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9">
        <f>ScenarioStat5[[#This Row],[team-1-win]]+ScenarioStat5[[#This Row],[team-2-win]]</f>
        <v>1</v>
      </c>
      <c r="I19" t="s">
        <v>48</v>
      </c>
      <c r="J19" t="s">
        <v>63</v>
      </c>
      <c r="K19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9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6</v>
      </c>
      <c r="M19" s="3">
        <f>IF(ScenarioTeams5[[#This Row],[battles]],ScenarioTeams5[[#This Row],[wins]]/ScenarioTeams5[[#This Row],[battles]],0)</f>
        <v>0.4</v>
      </c>
    </row>
    <row r="20" spans="1:13" x14ac:dyDescent="0.25">
      <c r="A20" t="s">
        <v>53</v>
      </c>
      <c r="B20" t="s">
        <v>48</v>
      </c>
      <c r="C2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" t="s">
        <v>56</v>
      </c>
      <c r="E20" t="s">
        <v>45</v>
      </c>
      <c r="F2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">
        <f>ScenarioStat5[[#This Row],[team-1-win]]+ScenarioStat5[[#This Row],[team-2-win]]</f>
        <v>1</v>
      </c>
      <c r="I20" t="s">
        <v>48</v>
      </c>
      <c r="J20" t="s">
        <v>38</v>
      </c>
      <c r="K20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0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5</v>
      </c>
      <c r="M20" s="3">
        <f>IF(ScenarioTeams5[[#This Row],[battles]],ScenarioTeams5[[#This Row],[wins]]/ScenarioTeams5[[#This Row],[battles]],0)</f>
        <v>0.33333333333333331</v>
      </c>
    </row>
    <row r="21" spans="1:13" x14ac:dyDescent="0.25">
      <c r="A21" t="s">
        <v>53</v>
      </c>
      <c r="B21" t="s">
        <v>48</v>
      </c>
      <c r="C2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1" t="s">
        <v>56</v>
      </c>
      <c r="E21" t="s">
        <v>63</v>
      </c>
      <c r="F2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1">
        <f>ScenarioStat5[[#This Row],[team-1-win]]+ScenarioStat5[[#This Row],[team-2-win]]</f>
        <v>1</v>
      </c>
      <c r="I21" t="s">
        <v>33</v>
      </c>
      <c r="J21" t="s">
        <v>43</v>
      </c>
      <c r="K21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1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5</v>
      </c>
      <c r="M21" s="3">
        <f>IF(ScenarioTeams5[[#This Row],[battles]],ScenarioTeams5[[#This Row],[wins]]/ScenarioTeams5[[#This Row],[battles]],0)</f>
        <v>0.33333333333333331</v>
      </c>
    </row>
    <row r="22" spans="1:13" x14ac:dyDescent="0.25">
      <c r="A22" t="s">
        <v>53</v>
      </c>
      <c r="B22" t="s">
        <v>48</v>
      </c>
      <c r="C2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2" t="s">
        <v>56</v>
      </c>
      <c r="E22" t="s">
        <v>38</v>
      </c>
      <c r="F2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2">
        <f>ScenarioStat5[[#This Row],[team-1-win]]+ScenarioStat5[[#This Row],[team-2-win]]</f>
        <v>1</v>
      </c>
      <c r="I22" t="s">
        <v>33</v>
      </c>
      <c r="J22" t="s">
        <v>45</v>
      </c>
      <c r="K22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2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7</v>
      </c>
      <c r="M22" s="3">
        <f>IF(ScenarioTeams5[[#This Row],[battles]],ScenarioTeams5[[#This Row],[wins]]/ScenarioTeams5[[#This Row],[battles]],0)</f>
        <v>0.46666666666666667</v>
      </c>
    </row>
    <row r="23" spans="1:13" x14ac:dyDescent="0.25">
      <c r="A23" t="s">
        <v>53</v>
      </c>
      <c r="B23" t="s">
        <v>48</v>
      </c>
      <c r="C2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3" t="s">
        <v>33</v>
      </c>
      <c r="E23" t="s">
        <v>43</v>
      </c>
      <c r="F2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3">
        <f>ScenarioStat5[[#This Row],[team-1-win]]+ScenarioStat5[[#This Row],[team-2-win]]</f>
        <v>1</v>
      </c>
      <c r="I23" t="s">
        <v>33</v>
      </c>
      <c r="J23" t="s">
        <v>63</v>
      </c>
      <c r="K23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3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4</v>
      </c>
      <c r="M23" s="3">
        <f>IF(ScenarioTeams5[[#This Row],[battles]],ScenarioTeams5[[#This Row],[wins]]/ScenarioTeams5[[#This Row],[battles]],0)</f>
        <v>0.26666666666666666</v>
      </c>
    </row>
    <row r="24" spans="1:13" x14ac:dyDescent="0.25">
      <c r="A24" t="s">
        <v>53</v>
      </c>
      <c r="B24" t="s">
        <v>48</v>
      </c>
      <c r="C2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4" t="s">
        <v>33</v>
      </c>
      <c r="E24" t="s">
        <v>45</v>
      </c>
      <c r="F2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4">
        <f>ScenarioStat5[[#This Row],[team-1-win]]+ScenarioStat5[[#This Row],[team-2-win]]</f>
        <v>1</v>
      </c>
      <c r="I24" t="s">
        <v>33</v>
      </c>
      <c r="J24" t="s">
        <v>38</v>
      </c>
      <c r="K24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4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5</v>
      </c>
      <c r="M24" s="3">
        <f>IF(ScenarioTeams5[[#This Row],[battles]],ScenarioTeams5[[#This Row],[wins]]/ScenarioTeams5[[#This Row],[battles]],0)</f>
        <v>0.33333333333333331</v>
      </c>
    </row>
    <row r="25" spans="1:13" x14ac:dyDescent="0.25">
      <c r="A25" t="s">
        <v>53</v>
      </c>
      <c r="B25" t="s">
        <v>48</v>
      </c>
      <c r="C2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5" t="s">
        <v>33</v>
      </c>
      <c r="E25" t="s">
        <v>63</v>
      </c>
      <c r="F2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5">
        <f>ScenarioStat5[[#This Row],[team-1-win]]+ScenarioStat5[[#This Row],[team-2-win]]</f>
        <v>1</v>
      </c>
      <c r="I25" t="s">
        <v>43</v>
      </c>
      <c r="J25" t="s">
        <v>45</v>
      </c>
      <c r="K25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5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10</v>
      </c>
      <c r="M25" s="3">
        <f>IF(ScenarioTeams5[[#This Row],[battles]],ScenarioTeams5[[#This Row],[wins]]/ScenarioTeams5[[#This Row],[battles]],0)</f>
        <v>0.66666666666666663</v>
      </c>
    </row>
    <row r="26" spans="1:13" x14ac:dyDescent="0.25">
      <c r="A26" t="s">
        <v>53</v>
      </c>
      <c r="B26" t="s">
        <v>48</v>
      </c>
      <c r="C2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6" t="s">
        <v>33</v>
      </c>
      <c r="E26" t="s">
        <v>38</v>
      </c>
      <c r="F2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6">
        <f>ScenarioStat5[[#This Row],[team-1-win]]+ScenarioStat5[[#This Row],[team-2-win]]</f>
        <v>1</v>
      </c>
      <c r="I26" t="s">
        <v>43</v>
      </c>
      <c r="J26" t="s">
        <v>63</v>
      </c>
      <c r="K26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6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9</v>
      </c>
      <c r="M26" s="3">
        <f>IF(ScenarioTeams5[[#This Row],[battles]],ScenarioTeams5[[#This Row],[wins]]/ScenarioTeams5[[#This Row],[battles]],0)</f>
        <v>0.6</v>
      </c>
    </row>
    <row r="27" spans="1:13" x14ac:dyDescent="0.25">
      <c r="A27" t="s">
        <v>53</v>
      </c>
      <c r="B27" t="s">
        <v>48</v>
      </c>
      <c r="C2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7" t="s">
        <v>43</v>
      </c>
      <c r="E27" t="s">
        <v>45</v>
      </c>
      <c r="F2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7">
        <f>ScenarioStat5[[#This Row],[team-1-win]]+ScenarioStat5[[#This Row],[team-2-win]]</f>
        <v>1</v>
      </c>
      <c r="I27" t="s">
        <v>43</v>
      </c>
      <c r="J27" t="s">
        <v>38</v>
      </c>
      <c r="K27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7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8</v>
      </c>
      <c r="M27" s="3">
        <f>IF(ScenarioTeams5[[#This Row],[battles]],ScenarioTeams5[[#This Row],[wins]]/ScenarioTeams5[[#This Row],[battles]],0)</f>
        <v>0.53333333333333333</v>
      </c>
    </row>
    <row r="28" spans="1:13" x14ac:dyDescent="0.25">
      <c r="A28" t="s">
        <v>53</v>
      </c>
      <c r="B28" t="s">
        <v>48</v>
      </c>
      <c r="C2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8" t="s">
        <v>43</v>
      </c>
      <c r="E28" t="s">
        <v>63</v>
      </c>
      <c r="F2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8">
        <f>ScenarioStat5[[#This Row],[team-1-win]]+ScenarioStat5[[#This Row],[team-2-win]]</f>
        <v>1</v>
      </c>
      <c r="I28" t="s">
        <v>45</v>
      </c>
      <c r="J28" t="s">
        <v>63</v>
      </c>
      <c r="K28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8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10</v>
      </c>
      <c r="M28" s="3">
        <f>IF(ScenarioTeams5[[#This Row],[battles]],ScenarioTeams5[[#This Row],[wins]]/ScenarioTeams5[[#This Row],[battles]],0)</f>
        <v>0.66666666666666663</v>
      </c>
    </row>
    <row r="29" spans="1:13" x14ac:dyDescent="0.25">
      <c r="A29" t="s">
        <v>53</v>
      </c>
      <c r="B29" t="s">
        <v>48</v>
      </c>
      <c r="C2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9" t="s">
        <v>43</v>
      </c>
      <c r="E29" t="s">
        <v>38</v>
      </c>
      <c r="F2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9">
        <f>ScenarioStat5[[#This Row],[team-1-win]]+ScenarioStat5[[#This Row],[team-2-win]]</f>
        <v>1</v>
      </c>
      <c r="I29" t="s">
        <v>45</v>
      </c>
      <c r="J29" t="s">
        <v>38</v>
      </c>
      <c r="K29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9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6</v>
      </c>
      <c r="M29" s="3">
        <f>IF(ScenarioTeams5[[#This Row],[battles]],ScenarioTeams5[[#This Row],[wins]]/ScenarioTeams5[[#This Row],[battles]],0)</f>
        <v>0.4</v>
      </c>
    </row>
    <row r="30" spans="1:13" x14ac:dyDescent="0.25">
      <c r="A30" t="s">
        <v>53</v>
      </c>
      <c r="B30" t="s">
        <v>48</v>
      </c>
      <c r="C3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0" t="s">
        <v>45</v>
      </c>
      <c r="E30" t="s">
        <v>63</v>
      </c>
      <c r="F3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0">
        <f>ScenarioStat5[[#This Row],[team-1-win]]+ScenarioStat5[[#This Row],[team-2-win]]</f>
        <v>1</v>
      </c>
      <c r="I30" t="s">
        <v>63</v>
      </c>
      <c r="J30" t="s">
        <v>38</v>
      </c>
      <c r="K30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30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10</v>
      </c>
      <c r="M30" s="3">
        <f>IF(ScenarioTeams5[[#This Row],[battles]],ScenarioTeams5[[#This Row],[wins]]/ScenarioTeams5[[#This Row],[battles]],0)</f>
        <v>0.66666666666666663</v>
      </c>
    </row>
    <row r="31" spans="1:13" x14ac:dyDescent="0.25">
      <c r="A31" t="s">
        <v>53</v>
      </c>
      <c r="B31" t="s">
        <v>48</v>
      </c>
      <c r="C3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1" t="s">
        <v>45</v>
      </c>
      <c r="E31" t="s">
        <v>38</v>
      </c>
      <c r="F3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1">
        <f>ScenarioStat5[[#This Row],[team-1-win]]+ScenarioStat5[[#This Row],[team-2-win]]</f>
        <v>1</v>
      </c>
    </row>
    <row r="32" spans="1:13" x14ac:dyDescent="0.25">
      <c r="A32" t="s">
        <v>53</v>
      </c>
      <c r="B32" t="s">
        <v>48</v>
      </c>
      <c r="C3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2" t="s">
        <v>63</v>
      </c>
      <c r="E32" t="s">
        <v>38</v>
      </c>
      <c r="F3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2">
        <f>ScenarioStat5[[#This Row],[team-1-win]]+ScenarioStat5[[#This Row],[team-2-win]]</f>
        <v>1</v>
      </c>
    </row>
    <row r="33" spans="1:7" x14ac:dyDescent="0.25">
      <c r="A33" t="s">
        <v>53</v>
      </c>
      <c r="B33" t="s">
        <v>33</v>
      </c>
      <c r="C3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3" t="s">
        <v>56</v>
      </c>
      <c r="E33" t="s">
        <v>48</v>
      </c>
      <c r="F3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3">
        <f>ScenarioStat5[[#This Row],[team-1-win]]+ScenarioStat5[[#This Row],[team-2-win]]</f>
        <v>1</v>
      </c>
    </row>
    <row r="34" spans="1:7" x14ac:dyDescent="0.25">
      <c r="A34" t="s">
        <v>53</v>
      </c>
      <c r="B34" t="s">
        <v>33</v>
      </c>
      <c r="C3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4" t="s">
        <v>56</v>
      </c>
      <c r="E34" t="s">
        <v>43</v>
      </c>
      <c r="F3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4">
        <f>ScenarioStat5[[#This Row],[team-1-win]]+ScenarioStat5[[#This Row],[team-2-win]]</f>
        <v>1</v>
      </c>
    </row>
    <row r="35" spans="1:7" x14ac:dyDescent="0.25">
      <c r="A35" t="s">
        <v>53</v>
      </c>
      <c r="B35" t="s">
        <v>33</v>
      </c>
      <c r="C3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5" t="s">
        <v>56</v>
      </c>
      <c r="E35" t="s">
        <v>45</v>
      </c>
      <c r="F3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5">
        <f>ScenarioStat5[[#This Row],[team-1-win]]+ScenarioStat5[[#This Row],[team-2-win]]</f>
        <v>1</v>
      </c>
    </row>
    <row r="36" spans="1:7" x14ac:dyDescent="0.25">
      <c r="A36" t="s">
        <v>53</v>
      </c>
      <c r="B36" t="s">
        <v>33</v>
      </c>
      <c r="C3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6" t="s">
        <v>56</v>
      </c>
      <c r="E36" t="s">
        <v>63</v>
      </c>
      <c r="F3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6">
        <f>ScenarioStat5[[#This Row],[team-1-win]]+ScenarioStat5[[#This Row],[team-2-win]]</f>
        <v>1</v>
      </c>
    </row>
    <row r="37" spans="1:7" x14ac:dyDescent="0.25">
      <c r="A37" t="s">
        <v>53</v>
      </c>
      <c r="B37" t="s">
        <v>33</v>
      </c>
      <c r="C3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7" t="s">
        <v>56</v>
      </c>
      <c r="E37" t="s">
        <v>38</v>
      </c>
      <c r="F3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7">
        <f>ScenarioStat5[[#This Row],[team-1-win]]+ScenarioStat5[[#This Row],[team-2-win]]</f>
        <v>1</v>
      </c>
    </row>
    <row r="38" spans="1:7" x14ac:dyDescent="0.25">
      <c r="A38" t="s">
        <v>53</v>
      </c>
      <c r="B38" t="s">
        <v>33</v>
      </c>
      <c r="C3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8" t="s">
        <v>48</v>
      </c>
      <c r="E38" t="s">
        <v>43</v>
      </c>
      <c r="F3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8">
        <f>ScenarioStat5[[#This Row],[team-1-win]]+ScenarioStat5[[#This Row],[team-2-win]]</f>
        <v>1</v>
      </c>
    </row>
    <row r="39" spans="1:7" x14ac:dyDescent="0.25">
      <c r="A39" t="s">
        <v>53</v>
      </c>
      <c r="B39" t="s">
        <v>33</v>
      </c>
      <c r="C3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9" t="s">
        <v>48</v>
      </c>
      <c r="E39" t="s">
        <v>45</v>
      </c>
      <c r="F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9">
        <f>ScenarioStat5[[#This Row],[team-1-win]]+ScenarioStat5[[#This Row],[team-2-win]]</f>
        <v>1</v>
      </c>
    </row>
    <row r="40" spans="1:7" x14ac:dyDescent="0.25">
      <c r="A40" t="s">
        <v>53</v>
      </c>
      <c r="B40" t="s">
        <v>33</v>
      </c>
      <c r="C4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0" t="s">
        <v>48</v>
      </c>
      <c r="E40" t="s">
        <v>63</v>
      </c>
      <c r="F4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0">
        <f>ScenarioStat5[[#This Row],[team-1-win]]+ScenarioStat5[[#This Row],[team-2-win]]</f>
        <v>1</v>
      </c>
    </row>
    <row r="41" spans="1:7" x14ac:dyDescent="0.25">
      <c r="A41" t="s">
        <v>53</v>
      </c>
      <c r="B41" t="s">
        <v>33</v>
      </c>
      <c r="C4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1" t="s">
        <v>48</v>
      </c>
      <c r="E41" t="s">
        <v>38</v>
      </c>
      <c r="F4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1">
        <f>ScenarioStat5[[#This Row],[team-1-win]]+ScenarioStat5[[#This Row],[team-2-win]]</f>
        <v>1</v>
      </c>
    </row>
    <row r="42" spans="1:7" x14ac:dyDescent="0.25">
      <c r="A42" t="s">
        <v>53</v>
      </c>
      <c r="B42" t="s">
        <v>33</v>
      </c>
      <c r="C4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2" t="s">
        <v>43</v>
      </c>
      <c r="E42" t="s">
        <v>45</v>
      </c>
      <c r="F4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42">
        <f>ScenarioStat5[[#This Row],[team-1-win]]+ScenarioStat5[[#This Row],[team-2-win]]</f>
        <v>1</v>
      </c>
    </row>
    <row r="43" spans="1:7" x14ac:dyDescent="0.25">
      <c r="A43" t="s">
        <v>53</v>
      </c>
      <c r="B43" t="s">
        <v>33</v>
      </c>
      <c r="C4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3" t="s">
        <v>43</v>
      </c>
      <c r="E43" t="s">
        <v>63</v>
      </c>
      <c r="F4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43">
        <f>ScenarioStat5[[#This Row],[team-1-win]]+ScenarioStat5[[#This Row],[team-2-win]]</f>
        <v>1</v>
      </c>
    </row>
    <row r="44" spans="1:7" x14ac:dyDescent="0.25">
      <c r="A44" t="s">
        <v>53</v>
      </c>
      <c r="B44" t="s">
        <v>33</v>
      </c>
      <c r="C4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4" t="s">
        <v>43</v>
      </c>
      <c r="E44" t="s">
        <v>38</v>
      </c>
      <c r="F4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44">
        <f>ScenarioStat5[[#This Row],[team-1-win]]+ScenarioStat5[[#This Row],[team-2-win]]</f>
        <v>1</v>
      </c>
    </row>
    <row r="45" spans="1:7" x14ac:dyDescent="0.25">
      <c r="A45" t="s">
        <v>53</v>
      </c>
      <c r="B45" t="s">
        <v>33</v>
      </c>
      <c r="C4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5" t="s">
        <v>45</v>
      </c>
      <c r="E45" t="s">
        <v>63</v>
      </c>
      <c r="F4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45">
        <f>ScenarioStat5[[#This Row],[team-1-win]]+ScenarioStat5[[#This Row],[team-2-win]]</f>
        <v>1</v>
      </c>
    </row>
    <row r="46" spans="1:7" x14ac:dyDescent="0.25">
      <c r="A46" t="s">
        <v>53</v>
      </c>
      <c r="B46" t="s">
        <v>33</v>
      </c>
      <c r="C4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6" t="s">
        <v>45</v>
      </c>
      <c r="E46" t="s">
        <v>38</v>
      </c>
      <c r="F4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46">
        <f>ScenarioStat5[[#This Row],[team-1-win]]+ScenarioStat5[[#This Row],[team-2-win]]</f>
        <v>1</v>
      </c>
    </row>
    <row r="47" spans="1:7" x14ac:dyDescent="0.25">
      <c r="A47" t="s">
        <v>53</v>
      </c>
      <c r="B47" t="s">
        <v>33</v>
      </c>
      <c r="C4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7" t="s">
        <v>63</v>
      </c>
      <c r="E47" t="s">
        <v>38</v>
      </c>
      <c r="F4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47">
        <f>ScenarioStat5[[#This Row],[team-1-win]]+ScenarioStat5[[#This Row],[team-2-win]]</f>
        <v>1</v>
      </c>
    </row>
    <row r="48" spans="1:7" x14ac:dyDescent="0.25">
      <c r="A48" t="s">
        <v>53</v>
      </c>
      <c r="B48" t="s">
        <v>43</v>
      </c>
      <c r="C4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8" t="s">
        <v>56</v>
      </c>
      <c r="E48" t="s">
        <v>48</v>
      </c>
      <c r="F4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8">
        <f>ScenarioStat5[[#This Row],[team-1-win]]+ScenarioStat5[[#This Row],[team-2-win]]</f>
        <v>1</v>
      </c>
    </row>
    <row r="49" spans="1:7" x14ac:dyDescent="0.25">
      <c r="A49" t="s">
        <v>53</v>
      </c>
      <c r="B49" t="s">
        <v>43</v>
      </c>
      <c r="C4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9" t="s">
        <v>56</v>
      </c>
      <c r="E49" t="s">
        <v>33</v>
      </c>
      <c r="F4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9">
        <f>ScenarioStat5[[#This Row],[team-1-win]]+ScenarioStat5[[#This Row],[team-2-win]]</f>
        <v>1</v>
      </c>
    </row>
    <row r="50" spans="1:7" x14ac:dyDescent="0.25">
      <c r="A50" t="s">
        <v>53</v>
      </c>
      <c r="B50" t="s">
        <v>43</v>
      </c>
      <c r="C5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50" t="s">
        <v>56</v>
      </c>
      <c r="E50" t="s">
        <v>45</v>
      </c>
      <c r="F5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50">
        <f>ScenarioStat5[[#This Row],[team-1-win]]+ScenarioStat5[[#This Row],[team-2-win]]</f>
        <v>1</v>
      </c>
    </row>
    <row r="51" spans="1:7" x14ac:dyDescent="0.25">
      <c r="A51" t="s">
        <v>53</v>
      </c>
      <c r="B51" t="s">
        <v>43</v>
      </c>
      <c r="C5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1" t="s">
        <v>56</v>
      </c>
      <c r="E51" t="s">
        <v>63</v>
      </c>
      <c r="F5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1">
        <f>ScenarioStat5[[#This Row],[team-1-win]]+ScenarioStat5[[#This Row],[team-2-win]]</f>
        <v>1</v>
      </c>
    </row>
    <row r="52" spans="1:7" x14ac:dyDescent="0.25">
      <c r="A52" t="s">
        <v>53</v>
      </c>
      <c r="B52" t="s">
        <v>43</v>
      </c>
      <c r="C5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52" t="s">
        <v>56</v>
      </c>
      <c r="E52" t="s">
        <v>38</v>
      </c>
      <c r="F5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52">
        <f>ScenarioStat5[[#This Row],[team-1-win]]+ScenarioStat5[[#This Row],[team-2-win]]</f>
        <v>1</v>
      </c>
    </row>
    <row r="53" spans="1:7" x14ac:dyDescent="0.25">
      <c r="A53" t="s">
        <v>53</v>
      </c>
      <c r="B53" t="s">
        <v>43</v>
      </c>
      <c r="C5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3" t="s">
        <v>48</v>
      </c>
      <c r="E53" t="s">
        <v>33</v>
      </c>
      <c r="F5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3">
        <f>ScenarioStat5[[#This Row],[team-1-win]]+ScenarioStat5[[#This Row],[team-2-win]]</f>
        <v>1</v>
      </c>
    </row>
    <row r="54" spans="1:7" x14ac:dyDescent="0.25">
      <c r="A54" t="s">
        <v>53</v>
      </c>
      <c r="B54" t="s">
        <v>43</v>
      </c>
      <c r="C5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54" t="s">
        <v>48</v>
      </c>
      <c r="E54" t="s">
        <v>45</v>
      </c>
      <c r="F5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54">
        <f>ScenarioStat5[[#This Row],[team-1-win]]+ScenarioStat5[[#This Row],[team-2-win]]</f>
        <v>1</v>
      </c>
    </row>
    <row r="55" spans="1:7" x14ac:dyDescent="0.25">
      <c r="A55" t="s">
        <v>53</v>
      </c>
      <c r="B55" t="s">
        <v>43</v>
      </c>
      <c r="C5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5" t="s">
        <v>48</v>
      </c>
      <c r="E55" t="s">
        <v>63</v>
      </c>
      <c r="F5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5">
        <f>ScenarioStat5[[#This Row],[team-1-win]]+ScenarioStat5[[#This Row],[team-2-win]]</f>
        <v>1</v>
      </c>
    </row>
    <row r="56" spans="1:7" x14ac:dyDescent="0.25">
      <c r="A56" t="s">
        <v>53</v>
      </c>
      <c r="B56" t="s">
        <v>43</v>
      </c>
      <c r="C5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6" t="s">
        <v>48</v>
      </c>
      <c r="E56" t="s">
        <v>38</v>
      </c>
      <c r="F5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6">
        <f>ScenarioStat5[[#This Row],[team-1-win]]+ScenarioStat5[[#This Row],[team-2-win]]</f>
        <v>1</v>
      </c>
    </row>
    <row r="57" spans="1:7" x14ac:dyDescent="0.25">
      <c r="A57" t="s">
        <v>53</v>
      </c>
      <c r="B57" t="s">
        <v>43</v>
      </c>
      <c r="C5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7" t="s">
        <v>33</v>
      </c>
      <c r="E57" t="s">
        <v>45</v>
      </c>
      <c r="F5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7">
        <f>ScenarioStat5[[#This Row],[team-1-win]]+ScenarioStat5[[#This Row],[team-2-win]]</f>
        <v>1</v>
      </c>
    </row>
    <row r="58" spans="1:7" x14ac:dyDescent="0.25">
      <c r="A58" t="s">
        <v>53</v>
      </c>
      <c r="B58" t="s">
        <v>43</v>
      </c>
      <c r="C5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8" t="s">
        <v>33</v>
      </c>
      <c r="E58" t="s">
        <v>63</v>
      </c>
      <c r="F5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8">
        <f>ScenarioStat5[[#This Row],[team-1-win]]+ScenarioStat5[[#This Row],[team-2-win]]</f>
        <v>1</v>
      </c>
    </row>
    <row r="59" spans="1:7" x14ac:dyDescent="0.25">
      <c r="A59" t="s">
        <v>53</v>
      </c>
      <c r="B59" t="s">
        <v>43</v>
      </c>
      <c r="C5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59" t="s">
        <v>33</v>
      </c>
      <c r="E59" t="s">
        <v>38</v>
      </c>
      <c r="F5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59">
        <f>ScenarioStat5[[#This Row],[team-1-win]]+ScenarioStat5[[#This Row],[team-2-win]]</f>
        <v>1</v>
      </c>
    </row>
    <row r="60" spans="1:7" x14ac:dyDescent="0.25">
      <c r="A60" t="s">
        <v>53</v>
      </c>
      <c r="B60" t="s">
        <v>43</v>
      </c>
      <c r="C6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0" t="s">
        <v>45</v>
      </c>
      <c r="E60" t="s">
        <v>63</v>
      </c>
      <c r="F6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0">
        <f>ScenarioStat5[[#This Row],[team-1-win]]+ScenarioStat5[[#This Row],[team-2-win]]</f>
        <v>1</v>
      </c>
    </row>
    <row r="61" spans="1:7" x14ac:dyDescent="0.25">
      <c r="A61" t="s">
        <v>53</v>
      </c>
      <c r="B61" t="s">
        <v>43</v>
      </c>
      <c r="C6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1" t="s">
        <v>45</v>
      </c>
      <c r="E61" t="s">
        <v>38</v>
      </c>
      <c r="F6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1">
        <f>ScenarioStat5[[#This Row],[team-1-win]]+ScenarioStat5[[#This Row],[team-2-win]]</f>
        <v>1</v>
      </c>
    </row>
    <row r="62" spans="1:7" x14ac:dyDescent="0.25">
      <c r="A62" t="s">
        <v>53</v>
      </c>
      <c r="B62" t="s">
        <v>43</v>
      </c>
      <c r="C6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2" t="s">
        <v>63</v>
      </c>
      <c r="E62" t="s">
        <v>38</v>
      </c>
      <c r="F6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2">
        <f>ScenarioStat5[[#This Row],[team-1-win]]+ScenarioStat5[[#This Row],[team-2-win]]</f>
        <v>1</v>
      </c>
    </row>
    <row r="63" spans="1:7" x14ac:dyDescent="0.25">
      <c r="A63" t="s">
        <v>53</v>
      </c>
      <c r="B63" t="s">
        <v>45</v>
      </c>
      <c r="C6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3" t="s">
        <v>56</v>
      </c>
      <c r="E63" t="s">
        <v>48</v>
      </c>
      <c r="F6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3">
        <f>ScenarioStat5[[#This Row],[team-1-win]]+ScenarioStat5[[#This Row],[team-2-win]]</f>
        <v>1</v>
      </c>
    </row>
    <row r="64" spans="1:7" x14ac:dyDescent="0.25">
      <c r="A64" t="s">
        <v>53</v>
      </c>
      <c r="B64" t="s">
        <v>45</v>
      </c>
      <c r="C6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4" t="s">
        <v>56</v>
      </c>
      <c r="E64" t="s">
        <v>33</v>
      </c>
      <c r="F6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4">
        <f>ScenarioStat5[[#This Row],[team-1-win]]+ScenarioStat5[[#This Row],[team-2-win]]</f>
        <v>1</v>
      </c>
    </row>
    <row r="65" spans="1:7" x14ac:dyDescent="0.25">
      <c r="A65" t="s">
        <v>53</v>
      </c>
      <c r="B65" t="s">
        <v>45</v>
      </c>
      <c r="C6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5" t="s">
        <v>56</v>
      </c>
      <c r="E65" t="s">
        <v>43</v>
      </c>
      <c r="F6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65">
        <f>ScenarioStat5[[#This Row],[team-1-win]]+ScenarioStat5[[#This Row],[team-2-win]]</f>
        <v>1</v>
      </c>
    </row>
    <row r="66" spans="1:7" x14ac:dyDescent="0.25">
      <c r="A66" t="s">
        <v>53</v>
      </c>
      <c r="B66" t="s">
        <v>45</v>
      </c>
      <c r="C6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6" t="s">
        <v>56</v>
      </c>
      <c r="E66" t="s">
        <v>63</v>
      </c>
      <c r="F6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66">
        <f>ScenarioStat5[[#This Row],[team-1-win]]+ScenarioStat5[[#This Row],[team-2-win]]</f>
        <v>1</v>
      </c>
    </row>
    <row r="67" spans="1:7" x14ac:dyDescent="0.25">
      <c r="A67" t="s">
        <v>53</v>
      </c>
      <c r="B67" t="s">
        <v>45</v>
      </c>
      <c r="C6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7" t="s">
        <v>56</v>
      </c>
      <c r="E67" t="s">
        <v>38</v>
      </c>
      <c r="F6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67">
        <f>ScenarioStat5[[#This Row],[team-1-win]]+ScenarioStat5[[#This Row],[team-2-win]]</f>
        <v>1</v>
      </c>
    </row>
    <row r="68" spans="1:7" x14ac:dyDescent="0.25">
      <c r="A68" t="s">
        <v>53</v>
      </c>
      <c r="B68" t="s">
        <v>45</v>
      </c>
      <c r="C6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8" t="s">
        <v>48</v>
      </c>
      <c r="E68" t="s">
        <v>33</v>
      </c>
      <c r="F6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8">
        <f>ScenarioStat5[[#This Row],[team-1-win]]+ScenarioStat5[[#This Row],[team-2-win]]</f>
        <v>1</v>
      </c>
    </row>
    <row r="69" spans="1:7" x14ac:dyDescent="0.25">
      <c r="A69" t="s">
        <v>53</v>
      </c>
      <c r="B69" t="s">
        <v>45</v>
      </c>
      <c r="C6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9" t="s">
        <v>48</v>
      </c>
      <c r="E69" t="s">
        <v>43</v>
      </c>
      <c r="F6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9">
        <f>ScenarioStat5[[#This Row],[team-1-win]]+ScenarioStat5[[#This Row],[team-2-win]]</f>
        <v>1</v>
      </c>
    </row>
    <row r="70" spans="1:7" x14ac:dyDescent="0.25">
      <c r="A70" t="s">
        <v>53</v>
      </c>
      <c r="B70" t="s">
        <v>45</v>
      </c>
      <c r="C7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0" t="s">
        <v>48</v>
      </c>
      <c r="E70" t="s">
        <v>63</v>
      </c>
      <c r="F7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0">
        <f>ScenarioStat5[[#This Row],[team-1-win]]+ScenarioStat5[[#This Row],[team-2-win]]</f>
        <v>1</v>
      </c>
    </row>
    <row r="71" spans="1:7" x14ac:dyDescent="0.25">
      <c r="A71" t="s">
        <v>53</v>
      </c>
      <c r="B71" t="s">
        <v>45</v>
      </c>
      <c r="C7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1" t="s">
        <v>48</v>
      </c>
      <c r="E71" t="s">
        <v>38</v>
      </c>
      <c r="F7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1">
        <f>ScenarioStat5[[#This Row],[team-1-win]]+ScenarioStat5[[#This Row],[team-2-win]]</f>
        <v>1</v>
      </c>
    </row>
    <row r="72" spans="1:7" x14ac:dyDescent="0.25">
      <c r="A72" t="s">
        <v>53</v>
      </c>
      <c r="B72" t="s">
        <v>45</v>
      </c>
      <c r="C7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2" t="s">
        <v>33</v>
      </c>
      <c r="E72" t="s">
        <v>43</v>
      </c>
      <c r="F7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2">
        <f>ScenarioStat5[[#This Row],[team-1-win]]+ScenarioStat5[[#This Row],[team-2-win]]</f>
        <v>1</v>
      </c>
    </row>
    <row r="73" spans="1:7" x14ac:dyDescent="0.25">
      <c r="A73" t="s">
        <v>53</v>
      </c>
      <c r="B73" t="s">
        <v>45</v>
      </c>
      <c r="C7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3" t="s">
        <v>33</v>
      </c>
      <c r="E73" t="s">
        <v>63</v>
      </c>
      <c r="F7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3">
        <f>ScenarioStat5[[#This Row],[team-1-win]]+ScenarioStat5[[#This Row],[team-2-win]]</f>
        <v>1</v>
      </c>
    </row>
    <row r="74" spans="1:7" x14ac:dyDescent="0.25">
      <c r="A74" t="s">
        <v>53</v>
      </c>
      <c r="B74" t="s">
        <v>45</v>
      </c>
      <c r="C7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74" t="s">
        <v>33</v>
      </c>
      <c r="E74" t="s">
        <v>38</v>
      </c>
      <c r="F7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74">
        <f>ScenarioStat5[[#This Row],[team-1-win]]+ScenarioStat5[[#This Row],[team-2-win]]</f>
        <v>1</v>
      </c>
    </row>
    <row r="75" spans="1:7" x14ac:dyDescent="0.25">
      <c r="A75" t="s">
        <v>53</v>
      </c>
      <c r="B75" t="s">
        <v>45</v>
      </c>
      <c r="C7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5" t="s">
        <v>43</v>
      </c>
      <c r="E75" t="s">
        <v>63</v>
      </c>
      <c r="F7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5">
        <f>ScenarioStat5[[#This Row],[team-1-win]]+ScenarioStat5[[#This Row],[team-2-win]]</f>
        <v>1</v>
      </c>
    </row>
    <row r="76" spans="1:7" x14ac:dyDescent="0.25">
      <c r="A76" t="s">
        <v>53</v>
      </c>
      <c r="B76" t="s">
        <v>45</v>
      </c>
      <c r="C7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76" t="s">
        <v>43</v>
      </c>
      <c r="E76" t="s">
        <v>38</v>
      </c>
      <c r="F7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76">
        <f>ScenarioStat5[[#This Row],[team-1-win]]+ScenarioStat5[[#This Row],[team-2-win]]</f>
        <v>1</v>
      </c>
    </row>
    <row r="77" spans="1:7" x14ac:dyDescent="0.25">
      <c r="A77" t="s">
        <v>53</v>
      </c>
      <c r="B77" t="s">
        <v>45</v>
      </c>
      <c r="C7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77" t="s">
        <v>63</v>
      </c>
      <c r="E77" t="s">
        <v>38</v>
      </c>
      <c r="F7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77">
        <f>ScenarioStat5[[#This Row],[team-1-win]]+ScenarioStat5[[#This Row],[team-2-win]]</f>
        <v>1</v>
      </c>
    </row>
    <row r="78" spans="1:7" x14ac:dyDescent="0.25">
      <c r="A78" t="s">
        <v>53</v>
      </c>
      <c r="B78" t="s">
        <v>63</v>
      </c>
      <c r="C7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8" t="s">
        <v>56</v>
      </c>
      <c r="E78" t="s">
        <v>48</v>
      </c>
      <c r="F7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8">
        <f>ScenarioStat5[[#This Row],[team-1-win]]+ScenarioStat5[[#This Row],[team-2-win]]</f>
        <v>1</v>
      </c>
    </row>
    <row r="79" spans="1:7" x14ac:dyDescent="0.25">
      <c r="A79" t="s">
        <v>53</v>
      </c>
      <c r="B79" t="s">
        <v>63</v>
      </c>
      <c r="C7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79" t="s">
        <v>56</v>
      </c>
      <c r="E79" t="s">
        <v>33</v>
      </c>
      <c r="F7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79">
        <f>ScenarioStat5[[#This Row],[team-1-win]]+ScenarioStat5[[#This Row],[team-2-win]]</f>
        <v>1</v>
      </c>
    </row>
    <row r="80" spans="1:7" x14ac:dyDescent="0.25">
      <c r="A80" t="s">
        <v>53</v>
      </c>
      <c r="B80" t="s">
        <v>63</v>
      </c>
      <c r="C8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0" t="s">
        <v>56</v>
      </c>
      <c r="E80" t="s">
        <v>43</v>
      </c>
      <c r="F8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80">
        <f>ScenarioStat5[[#This Row],[team-1-win]]+ScenarioStat5[[#This Row],[team-2-win]]</f>
        <v>1</v>
      </c>
    </row>
    <row r="81" spans="1:7" x14ac:dyDescent="0.25">
      <c r="A81" t="s">
        <v>53</v>
      </c>
      <c r="B81" t="s">
        <v>63</v>
      </c>
      <c r="C8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81" t="s">
        <v>56</v>
      </c>
      <c r="E81" t="s">
        <v>45</v>
      </c>
      <c r="F8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1">
        <f>ScenarioStat5[[#This Row],[team-1-win]]+ScenarioStat5[[#This Row],[team-2-win]]</f>
        <v>1</v>
      </c>
    </row>
    <row r="82" spans="1:7" x14ac:dyDescent="0.25">
      <c r="A82" t="s">
        <v>53</v>
      </c>
      <c r="B82" t="s">
        <v>63</v>
      </c>
      <c r="C8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2" t="s">
        <v>56</v>
      </c>
      <c r="E82" t="s">
        <v>38</v>
      </c>
      <c r="F8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82">
        <f>ScenarioStat5[[#This Row],[team-1-win]]+ScenarioStat5[[#This Row],[team-2-win]]</f>
        <v>1</v>
      </c>
    </row>
    <row r="83" spans="1:7" x14ac:dyDescent="0.25">
      <c r="A83" t="s">
        <v>53</v>
      </c>
      <c r="B83" t="s">
        <v>63</v>
      </c>
      <c r="C8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83" t="s">
        <v>48</v>
      </c>
      <c r="E83" t="s">
        <v>33</v>
      </c>
      <c r="F8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3">
        <f>ScenarioStat5[[#This Row],[team-1-win]]+ScenarioStat5[[#This Row],[team-2-win]]</f>
        <v>1</v>
      </c>
    </row>
    <row r="84" spans="1:7" x14ac:dyDescent="0.25">
      <c r="A84" t="s">
        <v>53</v>
      </c>
      <c r="B84" t="s">
        <v>63</v>
      </c>
      <c r="C8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4" t="s">
        <v>48</v>
      </c>
      <c r="E84" t="s">
        <v>43</v>
      </c>
      <c r="F8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84">
        <f>ScenarioStat5[[#This Row],[team-1-win]]+ScenarioStat5[[#This Row],[team-2-win]]</f>
        <v>1</v>
      </c>
    </row>
    <row r="85" spans="1:7" x14ac:dyDescent="0.25">
      <c r="A85" t="s">
        <v>53</v>
      </c>
      <c r="B85" t="s">
        <v>63</v>
      </c>
      <c r="C8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5" t="s">
        <v>48</v>
      </c>
      <c r="E85" t="s">
        <v>45</v>
      </c>
      <c r="F8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85">
        <f>ScenarioStat5[[#This Row],[team-1-win]]+ScenarioStat5[[#This Row],[team-2-win]]</f>
        <v>1</v>
      </c>
    </row>
    <row r="86" spans="1:7" x14ac:dyDescent="0.25">
      <c r="A86" t="s">
        <v>53</v>
      </c>
      <c r="B86" t="s">
        <v>63</v>
      </c>
      <c r="C8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86" t="s">
        <v>48</v>
      </c>
      <c r="E86" t="s">
        <v>38</v>
      </c>
      <c r="F8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6">
        <f>ScenarioStat5[[#This Row],[team-1-win]]+ScenarioStat5[[#This Row],[team-2-win]]</f>
        <v>1</v>
      </c>
    </row>
    <row r="87" spans="1:7" x14ac:dyDescent="0.25">
      <c r="A87" t="s">
        <v>53</v>
      </c>
      <c r="B87" t="s">
        <v>63</v>
      </c>
      <c r="C8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87" t="s">
        <v>33</v>
      </c>
      <c r="E87" t="s">
        <v>43</v>
      </c>
      <c r="F8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7">
        <f>ScenarioStat5[[#This Row],[team-1-win]]+ScenarioStat5[[#This Row],[team-2-win]]</f>
        <v>1</v>
      </c>
    </row>
    <row r="88" spans="1:7" x14ac:dyDescent="0.25">
      <c r="A88" t="s">
        <v>53</v>
      </c>
      <c r="B88" t="s">
        <v>63</v>
      </c>
      <c r="C8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88" t="s">
        <v>33</v>
      </c>
      <c r="E88" t="s">
        <v>45</v>
      </c>
      <c r="F8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8">
        <f>ScenarioStat5[[#This Row],[team-1-win]]+ScenarioStat5[[#This Row],[team-2-win]]</f>
        <v>1</v>
      </c>
    </row>
    <row r="89" spans="1:7" x14ac:dyDescent="0.25">
      <c r="A89" t="s">
        <v>53</v>
      </c>
      <c r="B89" t="s">
        <v>63</v>
      </c>
      <c r="C8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9" t="s">
        <v>33</v>
      </c>
      <c r="E89" t="s">
        <v>38</v>
      </c>
      <c r="F8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89">
        <f>ScenarioStat5[[#This Row],[team-1-win]]+ScenarioStat5[[#This Row],[team-2-win]]</f>
        <v>1</v>
      </c>
    </row>
    <row r="90" spans="1:7" x14ac:dyDescent="0.25">
      <c r="A90" t="s">
        <v>53</v>
      </c>
      <c r="B90" t="s">
        <v>63</v>
      </c>
      <c r="C9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0" t="s">
        <v>43</v>
      </c>
      <c r="E90" t="s">
        <v>45</v>
      </c>
      <c r="F9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90">
        <f>ScenarioStat5[[#This Row],[team-1-win]]+ScenarioStat5[[#This Row],[team-2-win]]</f>
        <v>1</v>
      </c>
    </row>
    <row r="91" spans="1:7" x14ac:dyDescent="0.25">
      <c r="A91" t="s">
        <v>53</v>
      </c>
      <c r="B91" t="s">
        <v>63</v>
      </c>
      <c r="C9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1" t="s">
        <v>43</v>
      </c>
      <c r="E91" t="s">
        <v>38</v>
      </c>
      <c r="F9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91">
        <f>ScenarioStat5[[#This Row],[team-1-win]]+ScenarioStat5[[#This Row],[team-2-win]]</f>
        <v>1</v>
      </c>
    </row>
    <row r="92" spans="1:7" x14ac:dyDescent="0.25">
      <c r="A92" t="s">
        <v>53</v>
      </c>
      <c r="B92" t="s">
        <v>63</v>
      </c>
      <c r="C9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92" t="s">
        <v>45</v>
      </c>
      <c r="E92" t="s">
        <v>38</v>
      </c>
      <c r="F9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2">
        <f>ScenarioStat5[[#This Row],[team-1-win]]+ScenarioStat5[[#This Row],[team-2-win]]</f>
        <v>1</v>
      </c>
    </row>
    <row r="93" spans="1:7" x14ac:dyDescent="0.25">
      <c r="A93" t="s">
        <v>53</v>
      </c>
      <c r="B93" t="s">
        <v>38</v>
      </c>
      <c r="C9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3" t="s">
        <v>56</v>
      </c>
      <c r="E93" t="s">
        <v>48</v>
      </c>
      <c r="F9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93">
        <f>ScenarioStat5[[#This Row],[team-1-win]]+ScenarioStat5[[#This Row],[team-2-win]]</f>
        <v>1</v>
      </c>
    </row>
    <row r="94" spans="1:7" x14ac:dyDescent="0.25">
      <c r="A94" t="s">
        <v>53</v>
      </c>
      <c r="B94" t="s">
        <v>38</v>
      </c>
      <c r="C9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94" t="s">
        <v>56</v>
      </c>
      <c r="E94" t="s">
        <v>33</v>
      </c>
      <c r="F9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4">
        <f>ScenarioStat5[[#This Row],[team-1-win]]+ScenarioStat5[[#This Row],[team-2-win]]</f>
        <v>1</v>
      </c>
    </row>
    <row r="95" spans="1:7" x14ac:dyDescent="0.25">
      <c r="A95" t="s">
        <v>53</v>
      </c>
      <c r="B95" t="s">
        <v>38</v>
      </c>
      <c r="C9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95" t="s">
        <v>56</v>
      </c>
      <c r="E95" t="s">
        <v>43</v>
      </c>
      <c r="F9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5">
        <f>ScenarioStat5[[#This Row],[team-1-win]]+ScenarioStat5[[#This Row],[team-2-win]]</f>
        <v>1</v>
      </c>
    </row>
    <row r="96" spans="1:7" x14ac:dyDescent="0.25">
      <c r="A96" t="s">
        <v>53</v>
      </c>
      <c r="B96" t="s">
        <v>38</v>
      </c>
      <c r="C9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6" t="s">
        <v>56</v>
      </c>
      <c r="E96" t="s">
        <v>45</v>
      </c>
      <c r="F9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96">
        <f>ScenarioStat5[[#This Row],[team-1-win]]+ScenarioStat5[[#This Row],[team-2-win]]</f>
        <v>1</v>
      </c>
    </row>
    <row r="97" spans="1:7" x14ac:dyDescent="0.25">
      <c r="A97" t="s">
        <v>53</v>
      </c>
      <c r="B97" t="s">
        <v>38</v>
      </c>
      <c r="C9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97" t="s">
        <v>56</v>
      </c>
      <c r="E97" t="s">
        <v>63</v>
      </c>
      <c r="F9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7">
        <f>ScenarioStat5[[#This Row],[team-1-win]]+ScenarioStat5[[#This Row],[team-2-win]]</f>
        <v>1</v>
      </c>
    </row>
    <row r="98" spans="1:7" x14ac:dyDescent="0.25">
      <c r="A98" t="s">
        <v>53</v>
      </c>
      <c r="B98" t="s">
        <v>38</v>
      </c>
      <c r="C9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98" t="s">
        <v>48</v>
      </c>
      <c r="E98" t="s">
        <v>33</v>
      </c>
      <c r="F9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8">
        <f>ScenarioStat5[[#This Row],[team-1-win]]+ScenarioStat5[[#This Row],[team-2-win]]</f>
        <v>1</v>
      </c>
    </row>
    <row r="99" spans="1:7" x14ac:dyDescent="0.25">
      <c r="A99" t="s">
        <v>53</v>
      </c>
      <c r="B99" t="s">
        <v>38</v>
      </c>
      <c r="C9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9" t="s">
        <v>48</v>
      </c>
      <c r="E99" t="s">
        <v>43</v>
      </c>
      <c r="F9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99">
        <f>ScenarioStat5[[#This Row],[team-1-win]]+ScenarioStat5[[#This Row],[team-2-win]]</f>
        <v>1</v>
      </c>
    </row>
    <row r="100" spans="1:7" x14ac:dyDescent="0.25">
      <c r="A100" t="s">
        <v>53</v>
      </c>
      <c r="B100" t="s">
        <v>38</v>
      </c>
      <c r="C10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0" t="s">
        <v>48</v>
      </c>
      <c r="E100" t="s">
        <v>45</v>
      </c>
      <c r="F10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0">
        <f>ScenarioStat5[[#This Row],[team-1-win]]+ScenarioStat5[[#This Row],[team-2-win]]</f>
        <v>1</v>
      </c>
    </row>
    <row r="101" spans="1:7" x14ac:dyDescent="0.25">
      <c r="A101" t="s">
        <v>53</v>
      </c>
      <c r="B101" t="s">
        <v>38</v>
      </c>
      <c r="C10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1" t="s">
        <v>48</v>
      </c>
      <c r="E101" t="s">
        <v>63</v>
      </c>
      <c r="F10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1">
        <f>ScenarioStat5[[#This Row],[team-1-win]]+ScenarioStat5[[#This Row],[team-2-win]]</f>
        <v>1</v>
      </c>
    </row>
    <row r="102" spans="1:7" x14ac:dyDescent="0.25">
      <c r="A102" t="s">
        <v>53</v>
      </c>
      <c r="B102" t="s">
        <v>38</v>
      </c>
      <c r="C10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2" t="s">
        <v>33</v>
      </c>
      <c r="E102" t="s">
        <v>43</v>
      </c>
      <c r="F10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02">
        <f>ScenarioStat5[[#This Row],[team-1-win]]+ScenarioStat5[[#This Row],[team-2-win]]</f>
        <v>1</v>
      </c>
    </row>
    <row r="103" spans="1:7" x14ac:dyDescent="0.25">
      <c r="A103" t="s">
        <v>53</v>
      </c>
      <c r="B103" t="s">
        <v>38</v>
      </c>
      <c r="C10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3" t="s">
        <v>33</v>
      </c>
      <c r="E103" t="s">
        <v>45</v>
      </c>
      <c r="F10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3">
        <f>ScenarioStat5[[#This Row],[team-1-win]]+ScenarioStat5[[#This Row],[team-2-win]]</f>
        <v>1</v>
      </c>
    </row>
    <row r="104" spans="1:7" x14ac:dyDescent="0.25">
      <c r="A104" t="s">
        <v>53</v>
      </c>
      <c r="B104" t="s">
        <v>38</v>
      </c>
      <c r="C10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4" t="s">
        <v>33</v>
      </c>
      <c r="E104" t="s">
        <v>63</v>
      </c>
      <c r="F10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4">
        <f>ScenarioStat5[[#This Row],[team-1-win]]+ScenarioStat5[[#This Row],[team-2-win]]</f>
        <v>1</v>
      </c>
    </row>
    <row r="105" spans="1:7" x14ac:dyDescent="0.25">
      <c r="A105" t="s">
        <v>53</v>
      </c>
      <c r="B105" t="s">
        <v>38</v>
      </c>
      <c r="C10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5" t="s">
        <v>43</v>
      </c>
      <c r="E105" t="s">
        <v>45</v>
      </c>
      <c r="F10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05">
        <f>ScenarioStat5[[#This Row],[team-1-win]]+ScenarioStat5[[#This Row],[team-2-win]]</f>
        <v>1</v>
      </c>
    </row>
    <row r="106" spans="1:7" x14ac:dyDescent="0.25">
      <c r="A106" t="s">
        <v>53</v>
      </c>
      <c r="B106" t="s">
        <v>38</v>
      </c>
      <c r="C10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6" t="s">
        <v>43</v>
      </c>
      <c r="E106" t="s">
        <v>63</v>
      </c>
      <c r="F10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06">
        <f>ScenarioStat5[[#This Row],[team-1-win]]+ScenarioStat5[[#This Row],[team-2-win]]</f>
        <v>1</v>
      </c>
    </row>
    <row r="107" spans="1:7" x14ac:dyDescent="0.25">
      <c r="A107" t="s">
        <v>53</v>
      </c>
      <c r="B107" t="s">
        <v>38</v>
      </c>
      <c r="C10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7" t="s">
        <v>45</v>
      </c>
      <c r="E107" t="s">
        <v>63</v>
      </c>
      <c r="F10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7">
        <f>ScenarioStat5[[#This Row],[team-1-win]]+ScenarioStat5[[#This Row],[team-2-win]]</f>
        <v>1</v>
      </c>
    </row>
    <row r="108" spans="1:7" x14ac:dyDescent="0.25">
      <c r="A108" t="s">
        <v>56</v>
      </c>
      <c r="B108" t="s">
        <v>48</v>
      </c>
      <c r="C10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8" t="s">
        <v>33</v>
      </c>
      <c r="E108" t="s">
        <v>43</v>
      </c>
      <c r="F10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08">
        <f>ScenarioStat5[[#This Row],[team-1-win]]+ScenarioStat5[[#This Row],[team-2-win]]</f>
        <v>1</v>
      </c>
    </row>
    <row r="109" spans="1:7" x14ac:dyDescent="0.25">
      <c r="A109" t="s">
        <v>56</v>
      </c>
      <c r="B109" t="s">
        <v>48</v>
      </c>
      <c r="C10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9" t="s">
        <v>33</v>
      </c>
      <c r="E109" t="s">
        <v>45</v>
      </c>
      <c r="F10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09">
        <f>ScenarioStat5[[#This Row],[team-1-win]]+ScenarioStat5[[#This Row],[team-2-win]]</f>
        <v>1</v>
      </c>
    </row>
    <row r="110" spans="1:7" x14ac:dyDescent="0.25">
      <c r="A110" t="s">
        <v>56</v>
      </c>
      <c r="B110" t="s">
        <v>48</v>
      </c>
      <c r="C11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0" t="s">
        <v>33</v>
      </c>
      <c r="E110" t="s">
        <v>63</v>
      </c>
      <c r="F11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0">
        <f>ScenarioStat5[[#This Row],[team-1-win]]+ScenarioStat5[[#This Row],[team-2-win]]</f>
        <v>1</v>
      </c>
    </row>
    <row r="111" spans="1:7" x14ac:dyDescent="0.25">
      <c r="A111" t="s">
        <v>56</v>
      </c>
      <c r="B111" t="s">
        <v>48</v>
      </c>
      <c r="C11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1" t="s">
        <v>33</v>
      </c>
      <c r="E111" t="s">
        <v>38</v>
      </c>
      <c r="F11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1">
        <f>ScenarioStat5[[#This Row],[team-1-win]]+ScenarioStat5[[#This Row],[team-2-win]]</f>
        <v>1</v>
      </c>
    </row>
    <row r="112" spans="1:7" x14ac:dyDescent="0.25">
      <c r="A112" t="s">
        <v>56</v>
      </c>
      <c r="B112" t="s">
        <v>48</v>
      </c>
      <c r="C11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12" t="s">
        <v>43</v>
      </c>
      <c r="E112" t="s">
        <v>45</v>
      </c>
      <c r="F11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2">
        <f>ScenarioStat5[[#This Row],[team-1-win]]+ScenarioStat5[[#This Row],[team-2-win]]</f>
        <v>1</v>
      </c>
    </row>
    <row r="113" spans="1:7" x14ac:dyDescent="0.25">
      <c r="A113" t="s">
        <v>56</v>
      </c>
      <c r="B113" t="s">
        <v>48</v>
      </c>
      <c r="C11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3" t="s">
        <v>43</v>
      </c>
      <c r="E113" t="s">
        <v>63</v>
      </c>
      <c r="F11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3">
        <f>ScenarioStat5[[#This Row],[team-1-win]]+ScenarioStat5[[#This Row],[team-2-win]]</f>
        <v>1</v>
      </c>
    </row>
    <row r="114" spans="1:7" x14ac:dyDescent="0.25">
      <c r="A114" t="s">
        <v>56</v>
      </c>
      <c r="B114" t="s">
        <v>48</v>
      </c>
      <c r="C11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4" t="s">
        <v>43</v>
      </c>
      <c r="E114" t="s">
        <v>38</v>
      </c>
      <c r="F11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4">
        <f>ScenarioStat5[[#This Row],[team-1-win]]+ScenarioStat5[[#This Row],[team-2-win]]</f>
        <v>1</v>
      </c>
    </row>
    <row r="115" spans="1:7" x14ac:dyDescent="0.25">
      <c r="A115" t="s">
        <v>56</v>
      </c>
      <c r="B115" t="s">
        <v>48</v>
      </c>
      <c r="C11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5" t="s">
        <v>45</v>
      </c>
      <c r="E115" t="s">
        <v>63</v>
      </c>
      <c r="F11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5">
        <f>ScenarioStat5[[#This Row],[team-1-win]]+ScenarioStat5[[#This Row],[team-2-win]]</f>
        <v>1</v>
      </c>
    </row>
    <row r="116" spans="1:7" x14ac:dyDescent="0.25">
      <c r="A116" t="s">
        <v>56</v>
      </c>
      <c r="B116" t="s">
        <v>48</v>
      </c>
      <c r="C11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6" t="s">
        <v>45</v>
      </c>
      <c r="E116" t="s">
        <v>38</v>
      </c>
      <c r="F11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6">
        <f>ScenarioStat5[[#This Row],[team-1-win]]+ScenarioStat5[[#This Row],[team-2-win]]</f>
        <v>1</v>
      </c>
    </row>
    <row r="117" spans="1:7" x14ac:dyDescent="0.25">
      <c r="A117" t="s">
        <v>56</v>
      </c>
      <c r="B117" t="s">
        <v>48</v>
      </c>
      <c r="C11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7" t="s">
        <v>63</v>
      </c>
      <c r="E117" t="s">
        <v>38</v>
      </c>
      <c r="F11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7">
        <f>ScenarioStat5[[#This Row],[team-1-win]]+ScenarioStat5[[#This Row],[team-2-win]]</f>
        <v>1</v>
      </c>
    </row>
    <row r="118" spans="1:7" x14ac:dyDescent="0.25">
      <c r="A118" t="s">
        <v>56</v>
      </c>
      <c r="B118" t="s">
        <v>33</v>
      </c>
      <c r="C11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8" t="s">
        <v>48</v>
      </c>
      <c r="E118" t="s">
        <v>43</v>
      </c>
      <c r="F11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8">
        <f>ScenarioStat5[[#This Row],[team-1-win]]+ScenarioStat5[[#This Row],[team-2-win]]</f>
        <v>1</v>
      </c>
    </row>
    <row r="119" spans="1:7" x14ac:dyDescent="0.25">
      <c r="A119" t="s">
        <v>56</v>
      </c>
      <c r="B119" t="s">
        <v>33</v>
      </c>
      <c r="C11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9" t="s">
        <v>48</v>
      </c>
      <c r="E119" t="s">
        <v>45</v>
      </c>
      <c r="F11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9">
        <f>ScenarioStat5[[#This Row],[team-1-win]]+ScenarioStat5[[#This Row],[team-2-win]]</f>
        <v>1</v>
      </c>
    </row>
    <row r="120" spans="1:7" x14ac:dyDescent="0.25">
      <c r="A120" t="s">
        <v>56</v>
      </c>
      <c r="B120" t="s">
        <v>33</v>
      </c>
      <c r="C12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20" t="s">
        <v>48</v>
      </c>
      <c r="E120" t="s">
        <v>63</v>
      </c>
      <c r="F12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0">
        <f>ScenarioStat5[[#This Row],[team-1-win]]+ScenarioStat5[[#This Row],[team-2-win]]</f>
        <v>1</v>
      </c>
    </row>
    <row r="121" spans="1:7" x14ac:dyDescent="0.25">
      <c r="A121" t="s">
        <v>56</v>
      </c>
      <c r="B121" t="s">
        <v>33</v>
      </c>
      <c r="C12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21" t="s">
        <v>48</v>
      </c>
      <c r="E121" t="s">
        <v>38</v>
      </c>
      <c r="F12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1">
        <f>ScenarioStat5[[#This Row],[team-1-win]]+ScenarioStat5[[#This Row],[team-2-win]]</f>
        <v>1</v>
      </c>
    </row>
    <row r="122" spans="1:7" x14ac:dyDescent="0.25">
      <c r="A122" t="s">
        <v>56</v>
      </c>
      <c r="B122" t="s">
        <v>33</v>
      </c>
      <c r="C12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2" t="s">
        <v>43</v>
      </c>
      <c r="E122" t="s">
        <v>45</v>
      </c>
      <c r="F12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2">
        <f>ScenarioStat5[[#This Row],[team-1-win]]+ScenarioStat5[[#This Row],[team-2-win]]</f>
        <v>1</v>
      </c>
    </row>
    <row r="123" spans="1:7" x14ac:dyDescent="0.25">
      <c r="A123" t="s">
        <v>56</v>
      </c>
      <c r="B123" t="s">
        <v>33</v>
      </c>
      <c r="C12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3" t="s">
        <v>43</v>
      </c>
      <c r="E123" t="s">
        <v>63</v>
      </c>
      <c r="F12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3">
        <f>ScenarioStat5[[#This Row],[team-1-win]]+ScenarioStat5[[#This Row],[team-2-win]]</f>
        <v>1</v>
      </c>
    </row>
    <row r="124" spans="1:7" x14ac:dyDescent="0.25">
      <c r="A124" t="s">
        <v>56</v>
      </c>
      <c r="B124" t="s">
        <v>33</v>
      </c>
      <c r="C12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4" t="s">
        <v>43</v>
      </c>
      <c r="E124" t="s">
        <v>38</v>
      </c>
      <c r="F12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4">
        <f>ScenarioStat5[[#This Row],[team-1-win]]+ScenarioStat5[[#This Row],[team-2-win]]</f>
        <v>1</v>
      </c>
    </row>
    <row r="125" spans="1:7" x14ac:dyDescent="0.25">
      <c r="A125" t="s">
        <v>56</v>
      </c>
      <c r="B125" t="s">
        <v>33</v>
      </c>
      <c r="C12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5" t="s">
        <v>45</v>
      </c>
      <c r="E125" t="s">
        <v>63</v>
      </c>
      <c r="F12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5">
        <f>ScenarioStat5[[#This Row],[team-1-win]]+ScenarioStat5[[#This Row],[team-2-win]]</f>
        <v>1</v>
      </c>
    </row>
    <row r="126" spans="1:7" x14ac:dyDescent="0.25">
      <c r="A126" t="s">
        <v>56</v>
      </c>
      <c r="B126" t="s">
        <v>33</v>
      </c>
      <c r="C12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6" t="s">
        <v>45</v>
      </c>
      <c r="E126" t="s">
        <v>38</v>
      </c>
      <c r="F12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6">
        <f>ScenarioStat5[[#This Row],[team-1-win]]+ScenarioStat5[[#This Row],[team-2-win]]</f>
        <v>1</v>
      </c>
    </row>
    <row r="127" spans="1:7" x14ac:dyDescent="0.25">
      <c r="A127" t="s">
        <v>56</v>
      </c>
      <c r="B127" t="s">
        <v>33</v>
      </c>
      <c r="C12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7" t="s">
        <v>63</v>
      </c>
      <c r="E127" t="s">
        <v>38</v>
      </c>
      <c r="F12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7">
        <f>ScenarioStat5[[#This Row],[team-1-win]]+ScenarioStat5[[#This Row],[team-2-win]]</f>
        <v>1</v>
      </c>
    </row>
    <row r="128" spans="1:7" x14ac:dyDescent="0.25">
      <c r="A128" t="s">
        <v>56</v>
      </c>
      <c r="B128" t="s">
        <v>43</v>
      </c>
      <c r="C12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28" t="s">
        <v>48</v>
      </c>
      <c r="E128" t="s">
        <v>33</v>
      </c>
      <c r="F12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8">
        <f>ScenarioStat5[[#This Row],[team-1-win]]+ScenarioStat5[[#This Row],[team-2-win]]</f>
        <v>1</v>
      </c>
    </row>
    <row r="129" spans="1:7" x14ac:dyDescent="0.25">
      <c r="A129" t="s">
        <v>56</v>
      </c>
      <c r="B129" t="s">
        <v>43</v>
      </c>
      <c r="C12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9" t="s">
        <v>48</v>
      </c>
      <c r="E129" t="s">
        <v>45</v>
      </c>
      <c r="F12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9">
        <f>ScenarioStat5[[#This Row],[team-1-win]]+ScenarioStat5[[#This Row],[team-2-win]]</f>
        <v>1</v>
      </c>
    </row>
    <row r="130" spans="1:7" x14ac:dyDescent="0.25">
      <c r="A130" t="s">
        <v>56</v>
      </c>
      <c r="B130" t="s">
        <v>43</v>
      </c>
      <c r="C13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0" t="s">
        <v>48</v>
      </c>
      <c r="E130" t="s">
        <v>63</v>
      </c>
      <c r="F13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0">
        <f>ScenarioStat5[[#This Row],[team-1-win]]+ScenarioStat5[[#This Row],[team-2-win]]</f>
        <v>1</v>
      </c>
    </row>
    <row r="131" spans="1:7" x14ac:dyDescent="0.25">
      <c r="A131" t="s">
        <v>56</v>
      </c>
      <c r="B131" t="s">
        <v>43</v>
      </c>
      <c r="C13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1" t="s">
        <v>48</v>
      </c>
      <c r="E131" t="s">
        <v>38</v>
      </c>
      <c r="F13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1">
        <f>ScenarioStat5[[#This Row],[team-1-win]]+ScenarioStat5[[#This Row],[team-2-win]]</f>
        <v>1</v>
      </c>
    </row>
    <row r="132" spans="1:7" x14ac:dyDescent="0.25">
      <c r="A132" t="s">
        <v>56</v>
      </c>
      <c r="B132" t="s">
        <v>43</v>
      </c>
      <c r="C13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2" t="s">
        <v>33</v>
      </c>
      <c r="E132" t="s">
        <v>45</v>
      </c>
      <c r="F13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32">
        <f>ScenarioStat5[[#This Row],[team-1-win]]+ScenarioStat5[[#This Row],[team-2-win]]</f>
        <v>1</v>
      </c>
    </row>
    <row r="133" spans="1:7" x14ac:dyDescent="0.25">
      <c r="A133" t="s">
        <v>56</v>
      </c>
      <c r="B133" t="s">
        <v>43</v>
      </c>
      <c r="C13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3" t="s">
        <v>33</v>
      </c>
      <c r="E133" t="s">
        <v>63</v>
      </c>
      <c r="F13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3">
        <f>ScenarioStat5[[#This Row],[team-1-win]]+ScenarioStat5[[#This Row],[team-2-win]]</f>
        <v>1</v>
      </c>
    </row>
    <row r="134" spans="1:7" x14ac:dyDescent="0.25">
      <c r="A134" t="s">
        <v>56</v>
      </c>
      <c r="B134" t="s">
        <v>43</v>
      </c>
      <c r="C13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4" t="s">
        <v>33</v>
      </c>
      <c r="E134" t="s">
        <v>38</v>
      </c>
      <c r="F13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4">
        <f>ScenarioStat5[[#This Row],[team-1-win]]+ScenarioStat5[[#This Row],[team-2-win]]</f>
        <v>1</v>
      </c>
    </row>
    <row r="135" spans="1:7" x14ac:dyDescent="0.25">
      <c r="A135" t="s">
        <v>56</v>
      </c>
      <c r="B135" t="s">
        <v>43</v>
      </c>
      <c r="C13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5" t="s">
        <v>45</v>
      </c>
      <c r="E135" t="s">
        <v>63</v>
      </c>
      <c r="F13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35">
        <f>ScenarioStat5[[#This Row],[team-1-win]]+ScenarioStat5[[#This Row],[team-2-win]]</f>
        <v>1</v>
      </c>
    </row>
    <row r="136" spans="1:7" x14ac:dyDescent="0.25">
      <c r="A136" t="s">
        <v>56</v>
      </c>
      <c r="B136" t="s">
        <v>43</v>
      </c>
      <c r="C13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6" t="s">
        <v>45</v>
      </c>
      <c r="E136" t="s">
        <v>38</v>
      </c>
      <c r="F13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36">
        <f>ScenarioStat5[[#This Row],[team-1-win]]+ScenarioStat5[[#This Row],[team-2-win]]</f>
        <v>1</v>
      </c>
    </row>
    <row r="137" spans="1:7" x14ac:dyDescent="0.25">
      <c r="A137" t="s">
        <v>56</v>
      </c>
      <c r="B137" t="s">
        <v>43</v>
      </c>
      <c r="C13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7" t="s">
        <v>63</v>
      </c>
      <c r="E137" t="s">
        <v>38</v>
      </c>
      <c r="F13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7">
        <f>ScenarioStat5[[#This Row],[team-1-win]]+ScenarioStat5[[#This Row],[team-2-win]]</f>
        <v>1</v>
      </c>
    </row>
    <row r="138" spans="1:7" x14ac:dyDescent="0.25">
      <c r="A138" t="s">
        <v>56</v>
      </c>
      <c r="B138" t="s">
        <v>45</v>
      </c>
      <c r="C13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8" t="s">
        <v>48</v>
      </c>
      <c r="E138" t="s">
        <v>33</v>
      </c>
      <c r="F13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8">
        <f>ScenarioStat5[[#This Row],[team-1-win]]+ScenarioStat5[[#This Row],[team-2-win]]</f>
        <v>1</v>
      </c>
    </row>
    <row r="139" spans="1:7" x14ac:dyDescent="0.25">
      <c r="A139" t="s">
        <v>56</v>
      </c>
      <c r="B139" t="s">
        <v>45</v>
      </c>
      <c r="C13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9" t="s">
        <v>48</v>
      </c>
      <c r="E139" t="s">
        <v>43</v>
      </c>
      <c r="F1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9">
        <f>ScenarioStat5[[#This Row],[team-1-win]]+ScenarioStat5[[#This Row],[team-2-win]]</f>
        <v>1</v>
      </c>
    </row>
    <row r="140" spans="1:7" x14ac:dyDescent="0.25">
      <c r="A140" t="s">
        <v>56</v>
      </c>
      <c r="B140" t="s">
        <v>45</v>
      </c>
      <c r="C14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0" t="s">
        <v>48</v>
      </c>
      <c r="E140" t="s">
        <v>63</v>
      </c>
      <c r="F14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0">
        <f>ScenarioStat5[[#This Row],[team-1-win]]+ScenarioStat5[[#This Row],[team-2-win]]</f>
        <v>1</v>
      </c>
    </row>
    <row r="141" spans="1:7" x14ac:dyDescent="0.25">
      <c r="A141" t="s">
        <v>56</v>
      </c>
      <c r="B141" t="s">
        <v>45</v>
      </c>
      <c r="C14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1" t="s">
        <v>48</v>
      </c>
      <c r="E141" t="s">
        <v>38</v>
      </c>
      <c r="F14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1">
        <f>ScenarioStat5[[#This Row],[team-1-win]]+ScenarioStat5[[#This Row],[team-2-win]]</f>
        <v>1</v>
      </c>
    </row>
    <row r="142" spans="1:7" x14ac:dyDescent="0.25">
      <c r="A142" t="s">
        <v>56</v>
      </c>
      <c r="B142" t="s">
        <v>45</v>
      </c>
      <c r="C14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2" t="s">
        <v>33</v>
      </c>
      <c r="E142" t="s">
        <v>43</v>
      </c>
      <c r="F14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42">
        <f>ScenarioStat5[[#This Row],[team-1-win]]+ScenarioStat5[[#This Row],[team-2-win]]</f>
        <v>1</v>
      </c>
    </row>
    <row r="143" spans="1:7" x14ac:dyDescent="0.25">
      <c r="A143" t="s">
        <v>56</v>
      </c>
      <c r="B143" t="s">
        <v>45</v>
      </c>
      <c r="C14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3" t="s">
        <v>33</v>
      </c>
      <c r="E143" t="s">
        <v>63</v>
      </c>
      <c r="F14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3">
        <f>ScenarioStat5[[#This Row],[team-1-win]]+ScenarioStat5[[#This Row],[team-2-win]]</f>
        <v>1</v>
      </c>
    </row>
    <row r="144" spans="1:7" x14ac:dyDescent="0.25">
      <c r="A144" t="s">
        <v>56</v>
      </c>
      <c r="B144" t="s">
        <v>45</v>
      </c>
      <c r="C14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4" t="s">
        <v>33</v>
      </c>
      <c r="E144" t="s">
        <v>38</v>
      </c>
      <c r="F14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4">
        <f>ScenarioStat5[[#This Row],[team-1-win]]+ScenarioStat5[[#This Row],[team-2-win]]</f>
        <v>1</v>
      </c>
    </row>
    <row r="145" spans="1:7" x14ac:dyDescent="0.25">
      <c r="A145" t="s">
        <v>56</v>
      </c>
      <c r="B145" t="s">
        <v>45</v>
      </c>
      <c r="C14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5" t="s">
        <v>43</v>
      </c>
      <c r="E145" t="s">
        <v>63</v>
      </c>
      <c r="F14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5">
        <f>ScenarioStat5[[#This Row],[team-1-win]]+ScenarioStat5[[#This Row],[team-2-win]]</f>
        <v>1</v>
      </c>
    </row>
    <row r="146" spans="1:7" x14ac:dyDescent="0.25">
      <c r="A146" t="s">
        <v>56</v>
      </c>
      <c r="B146" t="s">
        <v>45</v>
      </c>
      <c r="C14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6" t="s">
        <v>43</v>
      </c>
      <c r="E146" t="s">
        <v>38</v>
      </c>
      <c r="F14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46">
        <f>ScenarioStat5[[#This Row],[team-1-win]]+ScenarioStat5[[#This Row],[team-2-win]]</f>
        <v>1</v>
      </c>
    </row>
    <row r="147" spans="1:7" x14ac:dyDescent="0.25">
      <c r="A147" t="s">
        <v>56</v>
      </c>
      <c r="B147" t="s">
        <v>45</v>
      </c>
      <c r="C14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7" t="s">
        <v>63</v>
      </c>
      <c r="E147" t="s">
        <v>38</v>
      </c>
      <c r="F14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47">
        <f>ScenarioStat5[[#This Row],[team-1-win]]+ScenarioStat5[[#This Row],[team-2-win]]</f>
        <v>1</v>
      </c>
    </row>
    <row r="148" spans="1:7" x14ac:dyDescent="0.25">
      <c r="A148" t="s">
        <v>56</v>
      </c>
      <c r="B148" t="s">
        <v>63</v>
      </c>
      <c r="C14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8" t="s">
        <v>48</v>
      </c>
      <c r="E148" t="s">
        <v>33</v>
      </c>
      <c r="F14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8">
        <f>ScenarioStat5[[#This Row],[team-1-win]]+ScenarioStat5[[#This Row],[team-2-win]]</f>
        <v>1</v>
      </c>
    </row>
    <row r="149" spans="1:7" x14ac:dyDescent="0.25">
      <c r="A149" t="s">
        <v>56</v>
      </c>
      <c r="B149" t="s">
        <v>63</v>
      </c>
      <c r="C14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9" t="s">
        <v>48</v>
      </c>
      <c r="E149" t="s">
        <v>43</v>
      </c>
      <c r="F14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9">
        <f>ScenarioStat5[[#This Row],[team-1-win]]+ScenarioStat5[[#This Row],[team-2-win]]</f>
        <v>1</v>
      </c>
    </row>
    <row r="150" spans="1:7" x14ac:dyDescent="0.25">
      <c r="A150" t="s">
        <v>56</v>
      </c>
      <c r="B150" t="s">
        <v>63</v>
      </c>
      <c r="C15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0" t="s">
        <v>48</v>
      </c>
      <c r="E150" t="s">
        <v>45</v>
      </c>
      <c r="F15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0">
        <f>ScenarioStat5[[#This Row],[team-1-win]]+ScenarioStat5[[#This Row],[team-2-win]]</f>
        <v>1</v>
      </c>
    </row>
    <row r="151" spans="1:7" x14ac:dyDescent="0.25">
      <c r="A151" t="s">
        <v>56</v>
      </c>
      <c r="B151" t="s">
        <v>63</v>
      </c>
      <c r="C15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1" t="s">
        <v>48</v>
      </c>
      <c r="E151" t="s">
        <v>38</v>
      </c>
      <c r="F15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1">
        <f>ScenarioStat5[[#This Row],[team-1-win]]+ScenarioStat5[[#This Row],[team-2-win]]</f>
        <v>1</v>
      </c>
    </row>
    <row r="152" spans="1:7" x14ac:dyDescent="0.25">
      <c r="A152" t="s">
        <v>56</v>
      </c>
      <c r="B152" t="s">
        <v>63</v>
      </c>
      <c r="C15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2" t="s">
        <v>33</v>
      </c>
      <c r="E152" t="s">
        <v>43</v>
      </c>
      <c r="F15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2">
        <f>ScenarioStat5[[#This Row],[team-1-win]]+ScenarioStat5[[#This Row],[team-2-win]]</f>
        <v>1</v>
      </c>
    </row>
    <row r="153" spans="1:7" x14ac:dyDescent="0.25">
      <c r="A153" t="s">
        <v>56</v>
      </c>
      <c r="B153" t="s">
        <v>63</v>
      </c>
      <c r="C15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53" t="s">
        <v>33</v>
      </c>
      <c r="E153" t="s">
        <v>45</v>
      </c>
      <c r="F15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53">
        <f>ScenarioStat5[[#This Row],[team-1-win]]+ScenarioStat5[[#This Row],[team-2-win]]</f>
        <v>1</v>
      </c>
    </row>
    <row r="154" spans="1:7" x14ac:dyDescent="0.25">
      <c r="A154" t="s">
        <v>56</v>
      </c>
      <c r="B154" t="s">
        <v>63</v>
      </c>
      <c r="C15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4" t="s">
        <v>33</v>
      </c>
      <c r="E154" t="s">
        <v>38</v>
      </c>
      <c r="F15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4">
        <f>ScenarioStat5[[#This Row],[team-1-win]]+ScenarioStat5[[#This Row],[team-2-win]]</f>
        <v>1</v>
      </c>
    </row>
    <row r="155" spans="1:7" x14ac:dyDescent="0.25">
      <c r="A155" t="s">
        <v>56</v>
      </c>
      <c r="B155" t="s">
        <v>63</v>
      </c>
      <c r="C15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55" t="s">
        <v>43</v>
      </c>
      <c r="E155" t="s">
        <v>45</v>
      </c>
      <c r="F15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55">
        <f>ScenarioStat5[[#This Row],[team-1-win]]+ScenarioStat5[[#This Row],[team-2-win]]</f>
        <v>1</v>
      </c>
    </row>
    <row r="156" spans="1:7" x14ac:dyDescent="0.25">
      <c r="A156" t="s">
        <v>56</v>
      </c>
      <c r="B156" t="s">
        <v>63</v>
      </c>
      <c r="C15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6" t="s">
        <v>43</v>
      </c>
      <c r="E156" t="s">
        <v>38</v>
      </c>
      <c r="F15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6">
        <f>ScenarioStat5[[#This Row],[team-1-win]]+ScenarioStat5[[#This Row],[team-2-win]]</f>
        <v>1</v>
      </c>
    </row>
    <row r="157" spans="1:7" x14ac:dyDescent="0.25">
      <c r="A157" t="s">
        <v>56</v>
      </c>
      <c r="B157" t="s">
        <v>63</v>
      </c>
      <c r="C15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7" t="s">
        <v>45</v>
      </c>
      <c r="E157" t="s">
        <v>38</v>
      </c>
      <c r="F15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7">
        <f>ScenarioStat5[[#This Row],[team-1-win]]+ScenarioStat5[[#This Row],[team-2-win]]</f>
        <v>1</v>
      </c>
    </row>
    <row r="158" spans="1:7" x14ac:dyDescent="0.25">
      <c r="A158" t="s">
        <v>56</v>
      </c>
      <c r="B158" t="s">
        <v>38</v>
      </c>
      <c r="C15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8" t="s">
        <v>48</v>
      </c>
      <c r="E158" t="s">
        <v>33</v>
      </c>
      <c r="F15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8">
        <f>ScenarioStat5[[#This Row],[team-1-win]]+ScenarioStat5[[#This Row],[team-2-win]]</f>
        <v>1</v>
      </c>
    </row>
    <row r="159" spans="1:7" x14ac:dyDescent="0.25">
      <c r="A159" t="s">
        <v>56</v>
      </c>
      <c r="B159" t="s">
        <v>38</v>
      </c>
      <c r="C15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59" t="s">
        <v>48</v>
      </c>
      <c r="E159" t="s">
        <v>43</v>
      </c>
      <c r="F15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59">
        <f>ScenarioStat5[[#This Row],[team-1-win]]+ScenarioStat5[[#This Row],[team-2-win]]</f>
        <v>1</v>
      </c>
    </row>
    <row r="160" spans="1:7" x14ac:dyDescent="0.25">
      <c r="A160" t="s">
        <v>56</v>
      </c>
      <c r="B160" t="s">
        <v>38</v>
      </c>
      <c r="C16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0" t="s">
        <v>48</v>
      </c>
      <c r="E160" t="s">
        <v>45</v>
      </c>
      <c r="F16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60">
        <f>ScenarioStat5[[#This Row],[team-1-win]]+ScenarioStat5[[#This Row],[team-2-win]]</f>
        <v>1</v>
      </c>
    </row>
    <row r="161" spans="1:7" x14ac:dyDescent="0.25">
      <c r="A161" t="s">
        <v>56</v>
      </c>
      <c r="B161" t="s">
        <v>38</v>
      </c>
      <c r="C16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1" t="s">
        <v>48</v>
      </c>
      <c r="E161" t="s">
        <v>63</v>
      </c>
      <c r="F16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61">
        <f>ScenarioStat5[[#This Row],[team-1-win]]+ScenarioStat5[[#This Row],[team-2-win]]</f>
        <v>1</v>
      </c>
    </row>
    <row r="162" spans="1:7" x14ac:dyDescent="0.25">
      <c r="A162" t="s">
        <v>56</v>
      </c>
      <c r="B162" t="s">
        <v>38</v>
      </c>
      <c r="C16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2" t="s">
        <v>33</v>
      </c>
      <c r="E162" t="s">
        <v>43</v>
      </c>
      <c r="F16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2">
        <f>ScenarioStat5[[#This Row],[team-1-win]]+ScenarioStat5[[#This Row],[team-2-win]]</f>
        <v>1</v>
      </c>
    </row>
    <row r="163" spans="1:7" x14ac:dyDescent="0.25">
      <c r="A163" t="s">
        <v>56</v>
      </c>
      <c r="B163" t="s">
        <v>38</v>
      </c>
      <c r="C16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3" t="s">
        <v>33</v>
      </c>
      <c r="E163" t="s">
        <v>45</v>
      </c>
      <c r="F16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3">
        <f>ScenarioStat5[[#This Row],[team-1-win]]+ScenarioStat5[[#This Row],[team-2-win]]</f>
        <v>1</v>
      </c>
    </row>
    <row r="164" spans="1:7" x14ac:dyDescent="0.25">
      <c r="A164" t="s">
        <v>56</v>
      </c>
      <c r="B164" t="s">
        <v>38</v>
      </c>
      <c r="C16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4" t="s">
        <v>33</v>
      </c>
      <c r="E164" t="s">
        <v>63</v>
      </c>
      <c r="F16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4">
        <f>ScenarioStat5[[#This Row],[team-1-win]]+ScenarioStat5[[#This Row],[team-2-win]]</f>
        <v>1</v>
      </c>
    </row>
    <row r="165" spans="1:7" x14ac:dyDescent="0.25">
      <c r="A165" t="s">
        <v>56</v>
      </c>
      <c r="B165" t="s">
        <v>38</v>
      </c>
      <c r="C16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5" t="s">
        <v>43</v>
      </c>
      <c r="E165" t="s">
        <v>45</v>
      </c>
      <c r="F16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5">
        <f>ScenarioStat5[[#This Row],[team-1-win]]+ScenarioStat5[[#This Row],[team-2-win]]</f>
        <v>1</v>
      </c>
    </row>
    <row r="166" spans="1:7" x14ac:dyDescent="0.25">
      <c r="A166" t="s">
        <v>56</v>
      </c>
      <c r="B166" t="s">
        <v>38</v>
      </c>
      <c r="C16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6" t="s">
        <v>43</v>
      </c>
      <c r="E166" t="s">
        <v>63</v>
      </c>
      <c r="F16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6">
        <f>ScenarioStat5[[#This Row],[team-1-win]]+ScenarioStat5[[#This Row],[team-2-win]]</f>
        <v>1</v>
      </c>
    </row>
    <row r="167" spans="1:7" x14ac:dyDescent="0.25">
      <c r="A167" t="s">
        <v>56</v>
      </c>
      <c r="B167" t="s">
        <v>38</v>
      </c>
      <c r="C16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7" t="s">
        <v>45</v>
      </c>
      <c r="E167" t="s">
        <v>63</v>
      </c>
      <c r="F16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7">
        <f>ScenarioStat5[[#This Row],[team-1-win]]+ScenarioStat5[[#This Row],[team-2-win]]</f>
        <v>1</v>
      </c>
    </row>
    <row r="168" spans="1:7" x14ac:dyDescent="0.25">
      <c r="A168" t="s">
        <v>48</v>
      </c>
      <c r="B168" t="s">
        <v>33</v>
      </c>
      <c r="C16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8" t="s">
        <v>43</v>
      </c>
      <c r="E168" t="s">
        <v>45</v>
      </c>
      <c r="F16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68">
        <f>ScenarioStat5[[#This Row],[team-1-win]]+ScenarioStat5[[#This Row],[team-2-win]]</f>
        <v>1</v>
      </c>
    </row>
    <row r="169" spans="1:7" x14ac:dyDescent="0.25">
      <c r="A169" t="s">
        <v>48</v>
      </c>
      <c r="B169" t="s">
        <v>33</v>
      </c>
      <c r="C16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9" t="s">
        <v>43</v>
      </c>
      <c r="E169" t="s">
        <v>63</v>
      </c>
      <c r="F16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69">
        <f>ScenarioStat5[[#This Row],[team-1-win]]+ScenarioStat5[[#This Row],[team-2-win]]</f>
        <v>1</v>
      </c>
    </row>
    <row r="170" spans="1:7" x14ac:dyDescent="0.25">
      <c r="A170" t="s">
        <v>48</v>
      </c>
      <c r="B170" t="s">
        <v>33</v>
      </c>
      <c r="C17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0" t="s">
        <v>43</v>
      </c>
      <c r="E170" t="s">
        <v>38</v>
      </c>
      <c r="F17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0">
        <f>ScenarioStat5[[#This Row],[team-1-win]]+ScenarioStat5[[#This Row],[team-2-win]]</f>
        <v>1</v>
      </c>
    </row>
    <row r="171" spans="1:7" x14ac:dyDescent="0.25">
      <c r="A171" t="s">
        <v>48</v>
      </c>
      <c r="B171" t="s">
        <v>33</v>
      </c>
      <c r="C17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1" t="s">
        <v>45</v>
      </c>
      <c r="E171" t="s">
        <v>63</v>
      </c>
      <c r="F17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1">
        <f>ScenarioStat5[[#This Row],[team-1-win]]+ScenarioStat5[[#This Row],[team-2-win]]</f>
        <v>1</v>
      </c>
    </row>
    <row r="172" spans="1:7" x14ac:dyDescent="0.25">
      <c r="A172" t="s">
        <v>48</v>
      </c>
      <c r="B172" t="s">
        <v>33</v>
      </c>
      <c r="C17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2" t="s">
        <v>45</v>
      </c>
      <c r="E172" t="s">
        <v>38</v>
      </c>
      <c r="F17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2">
        <f>ScenarioStat5[[#This Row],[team-1-win]]+ScenarioStat5[[#This Row],[team-2-win]]</f>
        <v>1</v>
      </c>
    </row>
    <row r="173" spans="1:7" x14ac:dyDescent="0.25">
      <c r="A173" t="s">
        <v>48</v>
      </c>
      <c r="B173" t="s">
        <v>33</v>
      </c>
      <c r="C17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3" t="s">
        <v>63</v>
      </c>
      <c r="E173" t="s">
        <v>38</v>
      </c>
      <c r="F17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3">
        <f>ScenarioStat5[[#This Row],[team-1-win]]+ScenarioStat5[[#This Row],[team-2-win]]</f>
        <v>1</v>
      </c>
    </row>
    <row r="174" spans="1:7" x14ac:dyDescent="0.25">
      <c r="A174" t="s">
        <v>48</v>
      </c>
      <c r="B174" t="s">
        <v>43</v>
      </c>
      <c r="C17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4" t="s">
        <v>33</v>
      </c>
      <c r="E174" t="s">
        <v>45</v>
      </c>
      <c r="F17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4">
        <f>ScenarioStat5[[#This Row],[team-1-win]]+ScenarioStat5[[#This Row],[team-2-win]]</f>
        <v>1</v>
      </c>
    </row>
    <row r="175" spans="1:7" x14ac:dyDescent="0.25">
      <c r="A175" t="s">
        <v>48</v>
      </c>
      <c r="B175" t="s">
        <v>43</v>
      </c>
      <c r="C17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75" t="s">
        <v>33</v>
      </c>
      <c r="E175" t="s">
        <v>63</v>
      </c>
      <c r="F17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5">
        <f>ScenarioStat5[[#This Row],[team-1-win]]+ScenarioStat5[[#This Row],[team-2-win]]</f>
        <v>1</v>
      </c>
    </row>
    <row r="176" spans="1:7" x14ac:dyDescent="0.25">
      <c r="A176" t="s">
        <v>48</v>
      </c>
      <c r="B176" t="s">
        <v>43</v>
      </c>
      <c r="C17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76" t="s">
        <v>33</v>
      </c>
      <c r="E176" t="s">
        <v>38</v>
      </c>
      <c r="F17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6">
        <f>ScenarioStat5[[#This Row],[team-1-win]]+ScenarioStat5[[#This Row],[team-2-win]]</f>
        <v>1</v>
      </c>
    </row>
    <row r="177" spans="1:7" x14ac:dyDescent="0.25">
      <c r="A177" t="s">
        <v>48</v>
      </c>
      <c r="B177" t="s">
        <v>43</v>
      </c>
      <c r="C17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77" t="s">
        <v>45</v>
      </c>
      <c r="E177" t="s">
        <v>63</v>
      </c>
      <c r="F17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7">
        <f>ScenarioStat5[[#This Row],[team-1-win]]+ScenarioStat5[[#This Row],[team-2-win]]</f>
        <v>1</v>
      </c>
    </row>
    <row r="178" spans="1:7" x14ac:dyDescent="0.25">
      <c r="A178" t="s">
        <v>48</v>
      </c>
      <c r="B178" t="s">
        <v>43</v>
      </c>
      <c r="C17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78" t="s">
        <v>45</v>
      </c>
      <c r="E178" t="s">
        <v>38</v>
      </c>
      <c r="F17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8">
        <f>ScenarioStat5[[#This Row],[team-1-win]]+ScenarioStat5[[#This Row],[team-2-win]]</f>
        <v>1</v>
      </c>
    </row>
    <row r="179" spans="1:7" x14ac:dyDescent="0.25">
      <c r="A179" t="s">
        <v>48</v>
      </c>
      <c r="B179" t="s">
        <v>43</v>
      </c>
      <c r="C17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9" t="s">
        <v>63</v>
      </c>
      <c r="E179" t="s">
        <v>38</v>
      </c>
      <c r="F17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9">
        <f>ScenarioStat5[[#This Row],[team-1-win]]+ScenarioStat5[[#This Row],[team-2-win]]</f>
        <v>1</v>
      </c>
    </row>
    <row r="180" spans="1:7" x14ac:dyDescent="0.25">
      <c r="A180" t="s">
        <v>48</v>
      </c>
      <c r="B180" t="s">
        <v>45</v>
      </c>
      <c r="C18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80" t="s">
        <v>33</v>
      </c>
      <c r="E180" t="s">
        <v>43</v>
      </c>
      <c r="F18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0">
        <f>ScenarioStat5[[#This Row],[team-1-win]]+ScenarioStat5[[#This Row],[team-2-win]]</f>
        <v>1</v>
      </c>
    </row>
    <row r="181" spans="1:7" x14ac:dyDescent="0.25">
      <c r="A181" t="s">
        <v>48</v>
      </c>
      <c r="B181" t="s">
        <v>45</v>
      </c>
      <c r="C18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81" t="s">
        <v>33</v>
      </c>
      <c r="E181" t="s">
        <v>63</v>
      </c>
      <c r="F18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1">
        <f>ScenarioStat5[[#This Row],[team-1-win]]+ScenarioStat5[[#This Row],[team-2-win]]</f>
        <v>1</v>
      </c>
    </row>
    <row r="182" spans="1:7" x14ac:dyDescent="0.25">
      <c r="A182" t="s">
        <v>48</v>
      </c>
      <c r="B182" t="s">
        <v>45</v>
      </c>
      <c r="C18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82" t="s">
        <v>33</v>
      </c>
      <c r="E182" t="s">
        <v>38</v>
      </c>
      <c r="F18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2">
        <f>ScenarioStat5[[#This Row],[team-1-win]]+ScenarioStat5[[#This Row],[team-2-win]]</f>
        <v>1</v>
      </c>
    </row>
    <row r="183" spans="1:7" x14ac:dyDescent="0.25">
      <c r="A183" t="s">
        <v>48</v>
      </c>
      <c r="B183" t="s">
        <v>45</v>
      </c>
      <c r="C18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83" t="s">
        <v>43</v>
      </c>
      <c r="E183" t="s">
        <v>63</v>
      </c>
      <c r="F18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3">
        <f>ScenarioStat5[[#This Row],[team-1-win]]+ScenarioStat5[[#This Row],[team-2-win]]</f>
        <v>1</v>
      </c>
    </row>
    <row r="184" spans="1:7" x14ac:dyDescent="0.25">
      <c r="A184" t="s">
        <v>48</v>
      </c>
      <c r="B184" t="s">
        <v>45</v>
      </c>
      <c r="C18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84" t="s">
        <v>43</v>
      </c>
      <c r="E184" t="s">
        <v>38</v>
      </c>
      <c r="F18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4">
        <f>ScenarioStat5[[#This Row],[team-1-win]]+ScenarioStat5[[#This Row],[team-2-win]]</f>
        <v>1</v>
      </c>
    </row>
    <row r="185" spans="1:7" x14ac:dyDescent="0.25">
      <c r="A185" t="s">
        <v>48</v>
      </c>
      <c r="B185" t="s">
        <v>45</v>
      </c>
      <c r="C18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85" t="s">
        <v>63</v>
      </c>
      <c r="E185" t="s">
        <v>38</v>
      </c>
      <c r="F18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5">
        <f>ScenarioStat5[[#This Row],[team-1-win]]+ScenarioStat5[[#This Row],[team-2-win]]</f>
        <v>1</v>
      </c>
    </row>
    <row r="186" spans="1:7" x14ac:dyDescent="0.25">
      <c r="A186" t="s">
        <v>48</v>
      </c>
      <c r="B186" t="s">
        <v>63</v>
      </c>
      <c r="C18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6" t="s">
        <v>33</v>
      </c>
      <c r="E186" t="s">
        <v>43</v>
      </c>
      <c r="F18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86">
        <f>ScenarioStat5[[#This Row],[team-1-win]]+ScenarioStat5[[#This Row],[team-2-win]]</f>
        <v>1</v>
      </c>
    </row>
    <row r="187" spans="1:7" x14ac:dyDescent="0.25">
      <c r="A187" t="s">
        <v>48</v>
      </c>
      <c r="B187" t="s">
        <v>63</v>
      </c>
      <c r="C18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7" t="s">
        <v>33</v>
      </c>
      <c r="E187" t="s">
        <v>45</v>
      </c>
      <c r="F18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87">
        <f>ScenarioStat5[[#This Row],[team-1-win]]+ScenarioStat5[[#This Row],[team-2-win]]</f>
        <v>1</v>
      </c>
    </row>
    <row r="188" spans="1:7" x14ac:dyDescent="0.25">
      <c r="A188" t="s">
        <v>48</v>
      </c>
      <c r="B188" t="s">
        <v>63</v>
      </c>
      <c r="C18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88" t="s">
        <v>33</v>
      </c>
      <c r="E188" t="s">
        <v>38</v>
      </c>
      <c r="F18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8">
        <f>ScenarioStat5[[#This Row],[team-1-win]]+ScenarioStat5[[#This Row],[team-2-win]]</f>
        <v>1</v>
      </c>
    </row>
    <row r="189" spans="1:7" x14ac:dyDescent="0.25">
      <c r="A189" t="s">
        <v>48</v>
      </c>
      <c r="B189" t="s">
        <v>63</v>
      </c>
      <c r="C18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89" t="s">
        <v>43</v>
      </c>
      <c r="E189" t="s">
        <v>45</v>
      </c>
      <c r="F18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9">
        <f>ScenarioStat5[[#This Row],[team-1-win]]+ScenarioStat5[[#This Row],[team-2-win]]</f>
        <v>1</v>
      </c>
    </row>
    <row r="190" spans="1:7" x14ac:dyDescent="0.25">
      <c r="A190" t="s">
        <v>48</v>
      </c>
      <c r="B190" t="s">
        <v>63</v>
      </c>
      <c r="C19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0" t="s">
        <v>43</v>
      </c>
      <c r="E190" t="s">
        <v>38</v>
      </c>
      <c r="F19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0">
        <f>ScenarioStat5[[#This Row],[team-1-win]]+ScenarioStat5[[#This Row],[team-2-win]]</f>
        <v>1</v>
      </c>
    </row>
    <row r="191" spans="1:7" x14ac:dyDescent="0.25">
      <c r="A191" t="s">
        <v>48</v>
      </c>
      <c r="B191" t="s">
        <v>63</v>
      </c>
      <c r="C19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1" t="s">
        <v>45</v>
      </c>
      <c r="E191" t="s">
        <v>38</v>
      </c>
      <c r="F19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1">
        <f>ScenarioStat5[[#This Row],[team-1-win]]+ScenarioStat5[[#This Row],[team-2-win]]</f>
        <v>1</v>
      </c>
    </row>
    <row r="192" spans="1:7" x14ac:dyDescent="0.25">
      <c r="A192" t="s">
        <v>48</v>
      </c>
      <c r="B192" t="s">
        <v>38</v>
      </c>
      <c r="C19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2" t="s">
        <v>33</v>
      </c>
      <c r="E192" t="s">
        <v>43</v>
      </c>
      <c r="F19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2">
        <f>ScenarioStat5[[#This Row],[team-1-win]]+ScenarioStat5[[#This Row],[team-2-win]]</f>
        <v>1</v>
      </c>
    </row>
    <row r="193" spans="1:7" x14ac:dyDescent="0.25">
      <c r="A193" t="s">
        <v>48</v>
      </c>
      <c r="B193" t="s">
        <v>38</v>
      </c>
      <c r="C19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3" t="s">
        <v>33</v>
      </c>
      <c r="E193" t="s">
        <v>45</v>
      </c>
      <c r="F19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3">
        <f>ScenarioStat5[[#This Row],[team-1-win]]+ScenarioStat5[[#This Row],[team-2-win]]</f>
        <v>1</v>
      </c>
    </row>
    <row r="194" spans="1:7" x14ac:dyDescent="0.25">
      <c r="A194" t="s">
        <v>48</v>
      </c>
      <c r="B194" t="s">
        <v>38</v>
      </c>
      <c r="C19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4" t="s">
        <v>33</v>
      </c>
      <c r="E194" t="s">
        <v>63</v>
      </c>
      <c r="F19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4">
        <f>ScenarioStat5[[#This Row],[team-1-win]]+ScenarioStat5[[#This Row],[team-2-win]]</f>
        <v>1</v>
      </c>
    </row>
    <row r="195" spans="1:7" x14ac:dyDescent="0.25">
      <c r="A195" t="s">
        <v>48</v>
      </c>
      <c r="B195" t="s">
        <v>38</v>
      </c>
      <c r="C19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5" t="s">
        <v>43</v>
      </c>
      <c r="E195" t="s">
        <v>45</v>
      </c>
      <c r="F19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5">
        <f>ScenarioStat5[[#This Row],[team-1-win]]+ScenarioStat5[[#This Row],[team-2-win]]</f>
        <v>1</v>
      </c>
    </row>
    <row r="196" spans="1:7" x14ac:dyDescent="0.25">
      <c r="A196" t="s">
        <v>48</v>
      </c>
      <c r="B196" t="s">
        <v>38</v>
      </c>
      <c r="C19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6" t="s">
        <v>43</v>
      </c>
      <c r="E196" t="s">
        <v>63</v>
      </c>
      <c r="F19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6">
        <f>ScenarioStat5[[#This Row],[team-1-win]]+ScenarioStat5[[#This Row],[team-2-win]]</f>
        <v>1</v>
      </c>
    </row>
    <row r="197" spans="1:7" x14ac:dyDescent="0.25">
      <c r="A197" t="s">
        <v>48</v>
      </c>
      <c r="B197" t="s">
        <v>38</v>
      </c>
      <c r="C19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7" t="s">
        <v>45</v>
      </c>
      <c r="E197" t="s">
        <v>63</v>
      </c>
      <c r="F19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97">
        <f>ScenarioStat5[[#This Row],[team-1-win]]+ScenarioStat5[[#This Row],[team-2-win]]</f>
        <v>1</v>
      </c>
    </row>
    <row r="198" spans="1:7" x14ac:dyDescent="0.25">
      <c r="A198" t="s">
        <v>33</v>
      </c>
      <c r="B198" t="s">
        <v>43</v>
      </c>
      <c r="C19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8" t="s">
        <v>45</v>
      </c>
      <c r="E198" t="s">
        <v>63</v>
      </c>
      <c r="F19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98">
        <f>ScenarioStat5[[#This Row],[team-1-win]]+ScenarioStat5[[#This Row],[team-2-win]]</f>
        <v>1</v>
      </c>
    </row>
    <row r="199" spans="1:7" x14ac:dyDescent="0.25">
      <c r="A199" t="s">
        <v>33</v>
      </c>
      <c r="B199" t="s">
        <v>43</v>
      </c>
      <c r="C19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9" t="s">
        <v>45</v>
      </c>
      <c r="E199" t="s">
        <v>38</v>
      </c>
      <c r="F19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99">
        <f>ScenarioStat5[[#This Row],[team-1-win]]+ScenarioStat5[[#This Row],[team-2-win]]</f>
        <v>1</v>
      </c>
    </row>
    <row r="200" spans="1:7" x14ac:dyDescent="0.25">
      <c r="A200" t="s">
        <v>33</v>
      </c>
      <c r="B200" t="s">
        <v>43</v>
      </c>
      <c r="C20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0" t="s">
        <v>63</v>
      </c>
      <c r="E200" t="s">
        <v>38</v>
      </c>
      <c r="F20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0">
        <f>ScenarioStat5[[#This Row],[team-1-win]]+ScenarioStat5[[#This Row],[team-2-win]]</f>
        <v>1</v>
      </c>
    </row>
    <row r="201" spans="1:7" x14ac:dyDescent="0.25">
      <c r="A201" t="s">
        <v>33</v>
      </c>
      <c r="B201" t="s">
        <v>45</v>
      </c>
      <c r="C20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01" t="s">
        <v>43</v>
      </c>
      <c r="E201" t="s">
        <v>63</v>
      </c>
      <c r="F20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1">
        <f>ScenarioStat5[[#This Row],[team-1-win]]+ScenarioStat5[[#This Row],[team-2-win]]</f>
        <v>1</v>
      </c>
    </row>
    <row r="202" spans="1:7" x14ac:dyDescent="0.25">
      <c r="A202" t="s">
        <v>33</v>
      </c>
      <c r="B202" t="s">
        <v>45</v>
      </c>
      <c r="C20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2" t="s">
        <v>43</v>
      </c>
      <c r="E202" t="s">
        <v>38</v>
      </c>
      <c r="F20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2">
        <f>ScenarioStat5[[#This Row],[team-1-win]]+ScenarioStat5[[#This Row],[team-2-win]]</f>
        <v>1</v>
      </c>
    </row>
    <row r="203" spans="1:7" x14ac:dyDescent="0.25">
      <c r="A203" t="s">
        <v>33</v>
      </c>
      <c r="B203" t="s">
        <v>45</v>
      </c>
      <c r="C20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3" t="s">
        <v>63</v>
      </c>
      <c r="E203" t="s">
        <v>38</v>
      </c>
      <c r="F20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3">
        <f>ScenarioStat5[[#This Row],[team-1-win]]+ScenarioStat5[[#This Row],[team-2-win]]</f>
        <v>1</v>
      </c>
    </row>
    <row r="204" spans="1:7" x14ac:dyDescent="0.25">
      <c r="A204" t="s">
        <v>33</v>
      </c>
      <c r="B204" t="s">
        <v>63</v>
      </c>
      <c r="C20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4" t="s">
        <v>43</v>
      </c>
      <c r="E204" t="s">
        <v>45</v>
      </c>
      <c r="F20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4">
        <f>ScenarioStat5[[#This Row],[team-1-win]]+ScenarioStat5[[#This Row],[team-2-win]]</f>
        <v>1</v>
      </c>
    </row>
    <row r="205" spans="1:7" x14ac:dyDescent="0.25">
      <c r="A205" t="s">
        <v>33</v>
      </c>
      <c r="B205" t="s">
        <v>63</v>
      </c>
      <c r="C20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05" t="s">
        <v>43</v>
      </c>
      <c r="E205" t="s">
        <v>38</v>
      </c>
      <c r="F20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5">
        <f>ScenarioStat5[[#This Row],[team-1-win]]+ScenarioStat5[[#This Row],[team-2-win]]</f>
        <v>1</v>
      </c>
    </row>
    <row r="206" spans="1:7" x14ac:dyDescent="0.25">
      <c r="A206" t="s">
        <v>33</v>
      </c>
      <c r="B206" t="s">
        <v>63</v>
      </c>
      <c r="C20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06" t="s">
        <v>45</v>
      </c>
      <c r="E206" t="s">
        <v>38</v>
      </c>
      <c r="F20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6">
        <f>ScenarioStat5[[#This Row],[team-1-win]]+ScenarioStat5[[#This Row],[team-2-win]]</f>
        <v>1</v>
      </c>
    </row>
    <row r="207" spans="1:7" x14ac:dyDescent="0.25">
      <c r="A207" t="s">
        <v>33</v>
      </c>
      <c r="B207" t="s">
        <v>38</v>
      </c>
      <c r="C20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7" t="s">
        <v>43</v>
      </c>
      <c r="E207" t="s">
        <v>45</v>
      </c>
      <c r="F20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7">
        <f>ScenarioStat5[[#This Row],[team-1-win]]+ScenarioStat5[[#This Row],[team-2-win]]</f>
        <v>1</v>
      </c>
    </row>
    <row r="208" spans="1:7" x14ac:dyDescent="0.25">
      <c r="A208" t="s">
        <v>33</v>
      </c>
      <c r="B208" t="s">
        <v>38</v>
      </c>
      <c r="C20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8" t="s">
        <v>43</v>
      </c>
      <c r="E208" t="s">
        <v>63</v>
      </c>
      <c r="F20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8">
        <f>ScenarioStat5[[#This Row],[team-1-win]]+ScenarioStat5[[#This Row],[team-2-win]]</f>
        <v>1</v>
      </c>
    </row>
    <row r="209" spans="1:7" x14ac:dyDescent="0.25">
      <c r="A209" t="s">
        <v>33</v>
      </c>
      <c r="B209" t="s">
        <v>38</v>
      </c>
      <c r="C20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09" t="s">
        <v>45</v>
      </c>
      <c r="E209" t="s">
        <v>63</v>
      </c>
      <c r="F20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9">
        <f>ScenarioStat5[[#This Row],[team-1-win]]+ScenarioStat5[[#This Row],[team-2-win]]</f>
        <v>1</v>
      </c>
    </row>
    <row r="210" spans="1:7" x14ac:dyDescent="0.25">
      <c r="A210" t="s">
        <v>43</v>
      </c>
      <c r="B210" t="s">
        <v>45</v>
      </c>
      <c r="C21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10" t="s">
        <v>63</v>
      </c>
      <c r="E210" t="s">
        <v>38</v>
      </c>
      <c r="F21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10">
        <f>ScenarioStat5[[#This Row],[team-1-win]]+ScenarioStat5[[#This Row],[team-2-win]]</f>
        <v>1</v>
      </c>
    </row>
    <row r="211" spans="1:7" x14ac:dyDescent="0.25">
      <c r="A211" t="s">
        <v>43</v>
      </c>
      <c r="B211" t="s">
        <v>63</v>
      </c>
      <c r="C21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11" t="s">
        <v>45</v>
      </c>
      <c r="E211" t="s">
        <v>38</v>
      </c>
      <c r="F21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11">
        <f>ScenarioStat5[[#This Row],[team-1-win]]+ScenarioStat5[[#This Row],[team-2-win]]</f>
        <v>1</v>
      </c>
    </row>
    <row r="212" spans="1:7" x14ac:dyDescent="0.25">
      <c r="A212" t="s">
        <v>43</v>
      </c>
      <c r="B212" t="s">
        <v>38</v>
      </c>
      <c r="C21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12" t="s">
        <v>45</v>
      </c>
      <c r="E212" t="s">
        <v>63</v>
      </c>
      <c r="F21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12">
        <f>ScenarioStat5[[#This Row],[team-1-win]]+ScenarioStat5[[#This Row],[team-2-win]]</f>
        <v>1</v>
      </c>
    </row>
  </sheetData>
  <mergeCells count="2">
    <mergeCell ref="A1:G1"/>
    <mergeCell ref="I1:M1"/>
  </mergeCells>
  <conditionalFormatting sqref="M3:M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F885E-AA77-4085-866A-0C5D013A86CB}">
  <dimension ref="A1:N18"/>
  <sheetViews>
    <sheetView tabSelected="1" workbookViewId="0">
      <selection activeCell="I21" sqref="I21"/>
    </sheetView>
  </sheetViews>
  <sheetFormatPr defaultRowHeight="15" x14ac:dyDescent="0.25"/>
  <cols>
    <col min="1" max="1" width="11.42578125" bestFit="1" customWidth="1"/>
    <col min="2" max="2" width="9.42578125" bestFit="1" customWidth="1"/>
    <col min="3" max="8" width="9.140625" bestFit="1" customWidth="1"/>
    <col min="9" max="9" width="7.42578125" bestFit="1" customWidth="1"/>
    <col min="10" max="10" width="10.85546875" style="3" bestFit="1" customWidth="1"/>
    <col min="11" max="11" width="19.140625" bestFit="1" customWidth="1"/>
    <col min="12" max="12" width="8.7109375" customWidth="1"/>
    <col min="13" max="13" width="7.85546875" bestFit="1" customWidth="1"/>
    <col min="14" max="14" width="7.7109375" style="3" bestFit="1" customWidth="1"/>
    <col min="15" max="15" width="7.42578125" bestFit="1" customWidth="1"/>
  </cols>
  <sheetData>
    <row r="1" spans="1:14" x14ac:dyDescent="0.25">
      <c r="A1" t="s">
        <v>106</v>
      </c>
      <c r="B1" t="s">
        <v>58</v>
      </c>
      <c r="C1" t="s">
        <v>221</v>
      </c>
      <c r="D1" t="s">
        <v>222</v>
      </c>
      <c r="E1" t="s">
        <v>223</v>
      </c>
      <c r="F1" t="s">
        <v>224</v>
      </c>
      <c r="G1" t="s">
        <v>225</v>
      </c>
      <c r="H1" t="s">
        <v>226</v>
      </c>
      <c r="I1" t="s">
        <v>79</v>
      </c>
      <c r="J1" s="3" t="s">
        <v>80</v>
      </c>
      <c r="K1" t="s">
        <v>194</v>
      </c>
    </row>
    <row r="2" spans="1:14" x14ac:dyDescent="0.25">
      <c r="A2" t="s">
        <v>53</v>
      </c>
      <c r="B2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385</v>
      </c>
      <c r="C2">
        <f>COUNTIF(Scenario0[winner1],HeroStatistics[[#This Row],[hero]])+COUNTIF(Scenario0[winner2],HeroStatistics[[#This Row],[hero]])</f>
        <v>44</v>
      </c>
      <c r="D2">
        <f>COUNTIF(Scenario1[winner1],HeroStatistics[[#This Row],[hero]])+COUNTIF(Scenario1[winner2],HeroStatistics[[#This Row],[hero]])</f>
        <v>60</v>
      </c>
      <c r="E2">
        <f>COUNTIF(Scenario2[winner1],HeroStatistics[[#This Row],[hero]])</f>
        <v>9</v>
      </c>
      <c r="F2">
        <f>COUNTIF(Scenario3[winner1],HeroStatistics[[#This Row],[hero]])</f>
        <v>6</v>
      </c>
      <c r="G2">
        <f>COUNTIF(Scenario4[winner1],HeroStatistics[[#This Row],[hero]])</f>
        <v>5</v>
      </c>
      <c r="H2">
        <f>COUNTIF(Scenario5[winner1],HeroStatistics[[#This Row],[hero]])+COUNTIF(Scenario5[winner2],HeroStatistics[[#This Row],[hero]])</f>
        <v>57</v>
      </c>
      <c r="I2">
        <f>SUM(HeroStatistics[[#This Row],[0-wins]:[5-wins]])</f>
        <v>181</v>
      </c>
      <c r="J2" s="35">
        <f>HeroStatistics[[#This Row],[wins]]/HeroStatistics[[#This Row],[battles]]</f>
        <v>0.47012987012987012</v>
      </c>
      <c r="K2" s="33">
        <f>paragon!X11</f>
        <v>2.7974025974025976</v>
      </c>
      <c r="N2"/>
    </row>
    <row r="3" spans="1:14" x14ac:dyDescent="0.25">
      <c r="A3" t="s">
        <v>56</v>
      </c>
      <c r="B3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385</v>
      </c>
      <c r="C3">
        <f>COUNTIF(Scenario0[winner1],HeroStatistics[[#This Row],[hero]])+COUNTIF(Scenario0[winner2],HeroStatistics[[#This Row],[hero]])</f>
        <v>39</v>
      </c>
      <c r="D3">
        <f>COUNTIF(Scenario1[winner1],HeroStatistics[[#This Row],[hero]])+COUNTIF(Scenario1[winner2],HeroStatistics[[#This Row],[hero]])</f>
        <v>50</v>
      </c>
      <c r="E3">
        <f>COUNTIF(Scenario2[winner1],HeroStatistics[[#This Row],[hero]])</f>
        <v>8</v>
      </c>
      <c r="F3">
        <f>COUNTIF(Scenario3[winner1],HeroStatistics[[#This Row],[hero]])</f>
        <v>13</v>
      </c>
      <c r="G3">
        <f>COUNTIF(Scenario4[winner1],HeroStatistics[[#This Row],[hero]])</f>
        <v>10</v>
      </c>
      <c r="H3">
        <f>COUNTIF(Scenario5[winner1],HeroStatistics[[#This Row],[hero]])+COUNTIF(Scenario5[winner2],HeroStatistics[[#This Row],[hero]])</f>
        <v>57</v>
      </c>
      <c r="I3">
        <f>SUM(HeroStatistics[[#This Row],[0-wins]:[5-wins]])</f>
        <v>177</v>
      </c>
      <c r="J3" s="35">
        <f>HeroStatistics[[#This Row],[wins]]/HeroStatistics[[#This Row],[battles]]</f>
        <v>0.45974025974025973</v>
      </c>
      <c r="K3" s="33">
        <f>highlander!V9</f>
        <v>2.3792207792207791</v>
      </c>
      <c r="N3"/>
    </row>
    <row r="4" spans="1:14" x14ac:dyDescent="0.25">
      <c r="A4" t="s">
        <v>48</v>
      </c>
      <c r="B4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385</v>
      </c>
      <c r="C4">
        <f>COUNTIF(Scenario0[winner1],HeroStatistics[[#This Row],[hero]])+COUNTIF(Scenario0[winner2],HeroStatistics[[#This Row],[hero]])</f>
        <v>44</v>
      </c>
      <c r="D4">
        <f>COUNTIF(Scenario1[winner1],HeroStatistics[[#This Row],[hero]])+COUNTIF(Scenario1[winner2],HeroStatistics[[#This Row],[hero]])</f>
        <v>50</v>
      </c>
      <c r="E4">
        <f>COUNTIF(Scenario2[winner1],HeroStatistics[[#This Row],[hero]])</f>
        <v>7</v>
      </c>
      <c r="F4">
        <f>COUNTIF(Scenario3[winner1],HeroStatistics[[#This Row],[hero]])</f>
        <v>5</v>
      </c>
      <c r="G4">
        <f>COUNTIF(Scenario4[winner1],HeroStatistics[[#This Row],[hero]])</f>
        <v>6</v>
      </c>
      <c r="H4">
        <f>COUNTIF(Scenario5[winner1],HeroStatistics[[#This Row],[hero]])+COUNTIF(Scenario5[winner2],HeroStatistics[[#This Row],[hero]])</f>
        <v>39</v>
      </c>
      <c r="I4">
        <f>SUM(HeroStatistics[[#This Row],[0-wins]:[5-wins]])</f>
        <v>151</v>
      </c>
      <c r="J4" s="35">
        <f>HeroStatistics[[#This Row],[wins]]/HeroStatistics[[#This Row],[battles]]</f>
        <v>0.39220779220779223</v>
      </c>
      <c r="K4" s="33">
        <f>druid!V9</f>
        <v>2.412987012987013</v>
      </c>
      <c r="N4"/>
    </row>
    <row r="5" spans="1:14" x14ac:dyDescent="0.25">
      <c r="A5" t="s">
        <v>33</v>
      </c>
      <c r="B5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385</v>
      </c>
      <c r="C5">
        <f>COUNTIF(Scenario0[winner1],HeroStatistics[[#This Row],[hero]])+COUNTIF(Scenario0[winner2],HeroStatistics[[#This Row],[hero]])</f>
        <v>62</v>
      </c>
      <c r="D5">
        <f>COUNTIF(Scenario1[winner1],HeroStatistics[[#This Row],[hero]])+COUNTIF(Scenario1[winner2],HeroStatistics[[#This Row],[hero]])</f>
        <v>40</v>
      </c>
      <c r="E5">
        <f>COUNTIF(Scenario2[winner1],HeroStatistics[[#This Row],[hero]])</f>
        <v>5</v>
      </c>
      <c r="F5">
        <f>COUNTIF(Scenario3[winner1],HeroStatistics[[#This Row],[hero]])</f>
        <v>7</v>
      </c>
      <c r="G5">
        <f>COUNTIF(Scenario4[winner1],HeroStatistics[[#This Row],[hero]])</f>
        <v>6</v>
      </c>
      <c r="H5">
        <f>COUNTIF(Scenario5[winner1],HeroStatistics[[#This Row],[hero]])+COUNTIF(Scenario5[winner2],HeroStatistics[[#This Row],[hero]])</f>
        <v>32</v>
      </c>
      <c r="I5">
        <f>SUM(HeroStatistics[[#This Row],[0-wins]:[5-wins]])</f>
        <v>152</v>
      </c>
      <c r="J5" s="35">
        <f>HeroStatistics[[#This Row],[wins]]/HeroStatistics[[#This Row],[battles]]</f>
        <v>0.39480519480519483</v>
      </c>
      <c r="K5" s="33">
        <f>oracle!V9</f>
        <v>1.9246753246753248</v>
      </c>
      <c r="N5"/>
    </row>
    <row r="6" spans="1:14" x14ac:dyDescent="0.25">
      <c r="A6" t="s">
        <v>43</v>
      </c>
      <c r="B6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385</v>
      </c>
      <c r="C6">
        <f>COUNTIF(Scenario0[winner1],HeroStatistics[[#This Row],[hero]])+COUNTIF(Scenario0[winner2],HeroStatistics[[#This Row],[hero]])</f>
        <v>64</v>
      </c>
      <c r="D6">
        <f>COUNTIF(Scenario1[winner1],HeroStatistics[[#This Row],[hero]])+COUNTIF(Scenario1[winner2],HeroStatistics[[#This Row],[hero]])</f>
        <v>62</v>
      </c>
      <c r="E6">
        <f>COUNTIF(Scenario2[winner1],HeroStatistics[[#This Row],[hero]])</f>
        <v>6</v>
      </c>
      <c r="F6">
        <f>COUNTIF(Scenario3[winner1],HeroStatistics[[#This Row],[hero]])</f>
        <v>3</v>
      </c>
      <c r="G6">
        <f>COUNTIF(Scenario4[winner1],HeroStatistics[[#This Row],[hero]])</f>
        <v>4</v>
      </c>
      <c r="H6">
        <f>COUNTIF(Scenario5[winner1],HeroStatistics[[#This Row],[hero]])+COUNTIF(Scenario5[winner2],HeroStatistics[[#This Row],[hero]])</f>
        <v>61</v>
      </c>
      <c r="I6">
        <f>SUM(HeroStatistics[[#This Row],[0-wins]:[5-wins]])</f>
        <v>200</v>
      </c>
      <c r="J6" s="35">
        <f>HeroStatistics[[#This Row],[wins]]/HeroStatistics[[#This Row],[battles]]</f>
        <v>0.51948051948051943</v>
      </c>
      <c r="K6" s="33">
        <f>avatar!V9</f>
        <v>2.5974025974025974</v>
      </c>
      <c r="N6"/>
    </row>
    <row r="7" spans="1:14" x14ac:dyDescent="0.25">
      <c r="A7" t="s">
        <v>45</v>
      </c>
      <c r="B7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385</v>
      </c>
      <c r="C7">
        <f>COUNTIF(Scenario0[winner1],HeroStatistics[[#This Row],[hero]])+COUNTIF(Scenario0[winner2],HeroStatistics[[#This Row],[hero]])</f>
        <v>61</v>
      </c>
      <c r="D7">
        <f>COUNTIF(Scenario1[winner1],HeroStatistics[[#This Row],[hero]])+COUNTIF(Scenario1[winner2],HeroStatistics[[#This Row],[hero]])</f>
        <v>55</v>
      </c>
      <c r="E7">
        <f>COUNTIF(Scenario2[winner1],HeroStatistics[[#This Row],[hero]])</f>
        <v>6</v>
      </c>
      <c r="F7">
        <f>COUNTIF(Scenario3[winner1],HeroStatistics[[#This Row],[hero]])</f>
        <v>8</v>
      </c>
      <c r="G7">
        <f>COUNTIF(Scenario4[winner1],HeroStatistics[[#This Row],[hero]])</f>
        <v>8</v>
      </c>
      <c r="H7">
        <f>COUNTIF(Scenario5[winner1],HeroStatistics[[#This Row],[hero]])+COUNTIF(Scenario5[winner2],HeroStatistics[[#This Row],[hero]])</f>
        <v>64</v>
      </c>
      <c r="I7">
        <f>SUM(HeroStatistics[[#This Row],[0-wins]:[5-wins]])</f>
        <v>202</v>
      </c>
      <c r="J7" s="35">
        <f>HeroStatistics[[#This Row],[wins]]/HeroStatistics[[#This Row],[battles]]</f>
        <v>0.52467532467532463</v>
      </c>
      <c r="K7" s="33">
        <f>shadow!V9</f>
        <v>2.1480519480519482</v>
      </c>
      <c r="N7"/>
    </row>
    <row r="8" spans="1:14" x14ac:dyDescent="0.25">
      <c r="A8" t="s">
        <v>63</v>
      </c>
      <c r="B8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385</v>
      </c>
      <c r="C8">
        <f>COUNTIF(Scenario0[winner1],HeroStatistics[[#This Row],[hero]])+COUNTIF(Scenario0[winner2],HeroStatistics[[#This Row],[hero]])</f>
        <v>46</v>
      </c>
      <c r="D8">
        <f>COUNTIF(Scenario1[winner1],HeroStatistics[[#This Row],[hero]])+COUNTIF(Scenario1[winner2],HeroStatistics[[#This Row],[hero]])</f>
        <v>53</v>
      </c>
      <c r="E8">
        <f>COUNTIF(Scenario2[winner1],HeroStatistics[[#This Row],[hero]])</f>
        <v>10</v>
      </c>
      <c r="F8">
        <f>COUNTIF(Scenario3[winner1],HeroStatistics[[#This Row],[hero]])</f>
        <v>6</v>
      </c>
      <c r="G8">
        <f>COUNTIF(Scenario4[winner1],HeroStatistics[[#This Row],[hero]])</f>
        <v>17</v>
      </c>
      <c r="H8">
        <f>COUNTIF(Scenario5[winner1],HeroStatistics[[#This Row],[hero]])+COUNTIF(Scenario5[winner2],HeroStatistics[[#This Row],[hero]])</f>
        <v>56</v>
      </c>
      <c r="I8">
        <f>SUM(HeroStatistics[[#This Row],[0-wins]:[5-wins]])</f>
        <v>188</v>
      </c>
      <c r="J8" s="35">
        <f>HeroStatistics[[#This Row],[wins]]/HeroStatistics[[#This Row],[battles]]</f>
        <v>0.48831168831168831</v>
      </c>
      <c r="K8" s="33">
        <f>lightbringer!V9</f>
        <v>2.4779220779220781</v>
      </c>
      <c r="N8"/>
    </row>
    <row r="9" spans="1:14" x14ac:dyDescent="0.25">
      <c r="A9" t="s">
        <v>38</v>
      </c>
      <c r="B9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385</v>
      </c>
      <c r="C9">
        <f>COUNTIF(Scenario0[winner1],HeroStatistics[[#This Row],[hero]])+COUNTIF(Scenario0[winner2],HeroStatistics[[#This Row],[hero]])</f>
        <v>60</v>
      </c>
      <c r="D9">
        <f>COUNTIF(Scenario1[winner1],HeroStatistics[[#This Row],[hero]])+COUNTIF(Scenario1[winner2],HeroStatistics[[#This Row],[hero]])</f>
        <v>50</v>
      </c>
      <c r="E9">
        <f>COUNTIF(Scenario2[winner1],HeroStatistics[[#This Row],[hero]])</f>
        <v>5</v>
      </c>
      <c r="F9">
        <f>COUNTIF(Scenario3[winner1],HeroStatistics[[#This Row],[hero]])</f>
        <v>8</v>
      </c>
      <c r="G9">
        <f>COUNTIF(Scenario4[winner1],HeroStatistics[[#This Row],[hero]])</f>
        <v>14</v>
      </c>
      <c r="H9">
        <f>COUNTIF(Scenario5[winner1],HeroStatistics[[#This Row],[hero]])+COUNTIF(Scenario5[winner2],HeroStatistics[[#This Row],[hero]])</f>
        <v>54</v>
      </c>
      <c r="I9">
        <f>SUM(HeroStatistics[[#This Row],[0-wins]:[5-wins]])</f>
        <v>191</v>
      </c>
      <c r="J9" s="35">
        <f>HeroStatistics[[#This Row],[wins]]/HeroStatistics[[#This Row],[battles]]</f>
        <v>0.4961038961038961</v>
      </c>
      <c r="K9" s="33">
        <f>avenger!X11</f>
        <v>2.5896103896103897</v>
      </c>
      <c r="N9"/>
    </row>
    <row r="10" spans="1:14" x14ac:dyDescent="0.25">
      <c r="N10"/>
    </row>
    <row r="11" spans="1:14" x14ac:dyDescent="0.25">
      <c r="N11"/>
    </row>
    <row r="12" spans="1:14" x14ac:dyDescent="0.25">
      <c r="N12"/>
    </row>
    <row r="13" spans="1:14" x14ac:dyDescent="0.25">
      <c r="N13"/>
    </row>
    <row r="14" spans="1:14" x14ac:dyDescent="0.25">
      <c r="N14"/>
    </row>
    <row r="15" spans="1:14" x14ac:dyDescent="0.25">
      <c r="N15"/>
    </row>
    <row r="16" spans="1:14" x14ac:dyDescent="0.25">
      <c r="N16"/>
    </row>
    <row r="17" spans="14:14" x14ac:dyDescent="0.25">
      <c r="N17"/>
    </row>
    <row r="18" spans="14:14" x14ac:dyDescent="0.25">
      <c r="N18"/>
    </row>
  </sheetData>
  <phoneticPr fontId="3" type="noConversion"/>
  <conditionalFormatting sqref="J2:J9">
    <cfRule type="colorScale" priority="9">
      <colorScale>
        <cfvo type="min"/>
        <cfvo type="max"/>
        <color rgb="FFFFEF9C"/>
        <color rgb="FF63BE7B"/>
      </colorScale>
    </cfRule>
  </conditionalFormatting>
  <conditionalFormatting sqref="I2:I9">
    <cfRule type="colorScale" priority="8">
      <colorScale>
        <cfvo type="min"/>
        <cfvo type="max"/>
        <color rgb="FFFFEF9C"/>
        <color rgb="FF63BE7B"/>
      </colorScale>
    </cfRule>
  </conditionalFormatting>
  <conditionalFormatting sqref="H2:H9">
    <cfRule type="colorScale" priority="7">
      <colorScale>
        <cfvo type="min"/>
        <cfvo type="max"/>
        <color rgb="FFFFEF9C"/>
        <color rgb="FF63BE7B"/>
      </colorScale>
    </cfRule>
  </conditionalFormatting>
  <conditionalFormatting sqref="G2:G9">
    <cfRule type="colorScale" priority="6">
      <colorScale>
        <cfvo type="min"/>
        <cfvo type="max"/>
        <color rgb="FFFFEF9C"/>
        <color rgb="FF63BE7B"/>
      </colorScale>
    </cfRule>
  </conditionalFormatting>
  <conditionalFormatting sqref="F2:F9">
    <cfRule type="colorScale" priority="5">
      <colorScale>
        <cfvo type="min"/>
        <cfvo type="max"/>
        <color rgb="FFFFEF9C"/>
        <color rgb="FF63BE7B"/>
      </colorScale>
    </cfRule>
  </conditionalFormatting>
  <conditionalFormatting sqref="E2:E9">
    <cfRule type="colorScale" priority="4">
      <colorScale>
        <cfvo type="min"/>
        <cfvo type="max"/>
        <color rgb="FFFFEF9C"/>
        <color rgb="FF63BE7B"/>
      </colorScale>
    </cfRule>
  </conditionalFormatting>
  <conditionalFormatting sqref="D2:D9">
    <cfRule type="colorScale" priority="3">
      <colorScale>
        <cfvo type="min"/>
        <cfvo type="max"/>
        <color rgb="FFFFEF9C"/>
        <color rgb="FF63BE7B"/>
      </colorScale>
    </cfRule>
  </conditionalFormatting>
  <conditionalFormatting sqref="C2:C9">
    <cfRule type="colorScale" priority="2">
      <colorScale>
        <cfvo type="min"/>
        <cfvo type="max"/>
        <color rgb="FFFFEF9C"/>
        <color rgb="FF63BE7B"/>
      </colorScale>
    </cfRule>
  </conditionalFormatting>
  <conditionalFormatting sqref="K2:K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B0B43-A2BB-4CF9-9C6C-55527BC15CFA}">
  <dimension ref="A1:X125"/>
  <sheetViews>
    <sheetView workbookViewId="0">
      <selection activeCell="E26" sqref="E26"/>
    </sheetView>
  </sheetViews>
  <sheetFormatPr defaultRowHeight="15" x14ac:dyDescent="0.25"/>
  <cols>
    <col min="1" max="1" width="23.1406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8.140625" bestFit="1" customWidth="1"/>
    <col min="9" max="9" width="8.7109375" bestFit="1" customWidth="1"/>
    <col min="10" max="10" width="12.85546875" bestFit="1" customWidth="1"/>
    <col min="11" max="11" width="3.85546875" customWidth="1"/>
    <col min="12" max="12" width="23.140625" bestFit="1" customWidth="1"/>
    <col min="13" max="13" width="8" bestFit="1" customWidth="1"/>
    <col min="14" max="14" width="7.42578125" bestFit="1" customWidth="1"/>
    <col min="15" max="15" width="18.42578125" bestFit="1" customWidth="1"/>
    <col min="16" max="16" width="15.5703125" bestFit="1" customWidth="1"/>
    <col min="17" max="17" width="4" customWidth="1"/>
    <col min="18" max="18" width="7.7109375" bestFit="1" customWidth="1"/>
    <col min="19" max="19" width="8.140625" bestFit="1" customWidth="1"/>
    <col min="20" max="20" width="8.7109375" bestFit="1" customWidth="1"/>
    <col min="21" max="21" width="12.85546875" bestFit="1" customWidth="1"/>
    <col min="23" max="23" width="16.85546875" bestFit="1" customWidth="1"/>
    <col min="24" max="24" width="7.140625" bestFit="1" customWidth="1"/>
  </cols>
  <sheetData>
    <row r="1" spans="1:24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8"/>
      <c r="J1" s="39"/>
      <c r="L1" s="37" t="s">
        <v>182</v>
      </c>
      <c r="M1" s="38"/>
      <c r="N1" s="38"/>
      <c r="O1" s="38"/>
      <c r="P1" s="38"/>
      <c r="Q1" s="38"/>
      <c r="R1" s="38"/>
      <c r="S1" s="38"/>
      <c r="T1" s="38"/>
      <c r="U1" s="39"/>
      <c r="W1" t="s">
        <v>174</v>
      </c>
      <c r="X1" s="3" t="s">
        <v>175</v>
      </c>
    </row>
    <row r="2" spans="1:24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162</v>
      </c>
      <c r="I2" t="s">
        <v>163</v>
      </c>
      <c r="J2" s="18" t="s">
        <v>164</v>
      </c>
      <c r="L2" s="17" t="s">
        <v>109</v>
      </c>
      <c r="M2" t="s">
        <v>110</v>
      </c>
      <c r="N2" t="s">
        <v>79</v>
      </c>
      <c r="O2" s="3" t="s">
        <v>117</v>
      </c>
      <c r="P2" s="3" t="s">
        <v>118</v>
      </c>
      <c r="R2" t="s">
        <v>161</v>
      </c>
      <c r="S2" t="s">
        <v>162</v>
      </c>
      <c r="T2" t="s">
        <v>163</v>
      </c>
      <c r="U2" s="18" t="s">
        <v>164</v>
      </c>
      <c r="W2" t="s">
        <v>188</v>
      </c>
      <c r="X2" s="3">
        <f>H4/SUM(ParagonEquip[spear])</f>
        <v>0.36623376623376624</v>
      </c>
    </row>
    <row r="3" spans="1:24" x14ac:dyDescent="0.25">
      <c r="A3" s="17" t="s">
        <v>54</v>
      </c>
      <c r="B3">
        <f>M3+M24+M45+M66+M87+M108</f>
        <v>47</v>
      </c>
      <c r="C3">
        <f>N3+N24+N45+N66+N87+N108</f>
        <v>22</v>
      </c>
      <c r="D3" s="3">
        <f>IF(SUM(ParagonAbilities1[[#This Row],[takes]]) &gt; 0,ParagonAbilities1[[#This Row],[takes]]/SUM(ParagonAbilities1[takes]),0)</f>
        <v>0.12207792207792208</v>
      </c>
      <c r="E3" s="3">
        <f>IF(ParagonAbilities1[[#This Row],[takes]]&gt;0,ParagonAbilities1[[#This Row],[wins]]/ParagonAbilities1[[#This Row],[takes]],0)</f>
        <v>0.46808510638297873</v>
      </c>
      <c r="G3">
        <v>1</v>
      </c>
      <c r="H3">
        <f>S3+S24+S45+S66+S87+S108</f>
        <v>158</v>
      </c>
      <c r="I3">
        <f>T3+T24+T45+T66+T87+T108</f>
        <v>244</v>
      </c>
      <c r="J3" s="18">
        <f>U3+U24+U45+U66+U87+U108</f>
        <v>231</v>
      </c>
      <c r="L3" s="17" t="s">
        <v>54</v>
      </c>
      <c r="M3">
        <f>COUNTIF(Scenario0[winner1-ability1],ParagonAbilities1Scenario0[[#This Row],[ability]])+COUNTIF(Scenario0[winner2-ability1],ParagonAbilities1Scenario0[[#This Row],[ability]])+COUNTIF(Scenario0[loser1-ability1],ParagonAbilities1Scenario0[[#This Row],[ability]])+COUNTIF(Scenario0[loser2-ability1],ParagonAbilities1Scenario0[[#This Row],[ability]])</f>
        <v>40</v>
      </c>
      <c r="N3">
        <f>COUNTIF(Scenario0[winner1-ability1],ParagonAbilities1Scenario0[[#This Row],[ability]])+COUNTIF(Scenario0[winner2-ability1],ParagonAbilities1Scenario0[[#This Row],[ability]])</f>
        <v>17</v>
      </c>
      <c r="O3" s="3">
        <f>IF(SUM(ParagonAbilities1Scenario0[[#This Row],[takes]]) &gt; 0,ParagonAbilities1Scenario0[[#This Row],[takes]]/SUM(ParagonAbilities1Scenario0[takes]),0)</f>
        <v>0.38095238095238093</v>
      </c>
      <c r="P3" s="3">
        <f>IF(ParagonAbilities1Scenario0[[#This Row],[takes]]&gt;0,ParagonAbilities1Scenario0[[#This Row],[wins]]/ParagonAbilities1Scenario0[[#This Row],[takes]],0)</f>
        <v>0.42499999999999999</v>
      </c>
      <c r="R3">
        <v>1</v>
      </c>
      <c r="S3">
        <f>COUNTIFS(Scenario0[winner1],"paragon",Scenario0[winner1-pw],ParagonEquipScenario0[[#This Row],[level]])+COUNTIFS(Scenario0[winner2],"paragon",Scenario0[winner2-pw],ParagonEquipScenario0[[#This Row],[level]])+COUNTIFS(Scenario0[loser1],"paragon",Scenario0[loser1-pw],ParagonEquipScenario0[[#This Row],[level]])+COUNTIFS(Scenario0[loser2],"paragon",Scenario0[loser2-pw],ParagonEquipScenario0[[#This Row],[level]])</f>
        <v>51</v>
      </c>
      <c r="T3">
        <f>COUNTIFS(Scenario0[winner1],"paragon",Scenario0[winner1-sw],ParagonEquipScenario0[[#This Row],[level]])+COUNTIFS(Scenario0[winner2],"paragon",Scenario0[winner2-sw],ParagonEquipScenario0[[#This Row],[level]])+COUNTIFS(Scenario0[loser1],"paragon",Scenario0[loser1-sw],ParagonEquipScenario0[[#This Row],[level]])+COUNTIFS(Scenario0[loser2],"paragon",Scenario0[loser2-sw],ParagonEquipScenario0[[#This Row],[level]])</f>
        <v>93</v>
      </c>
      <c r="U3" s="18">
        <f>COUNTIFS(Scenario0[winner1],"paragon",Scenario0[winner1-cp],ParagonEquipScenario0[[#This Row],[level]])+COUNTIFS(Scenario0[winner2],"paragon",Scenario0[winner2-cp],ParagonEquipScenario0[[#This Row],[level]])+COUNTIFS(Scenario0[loser1],"paragon",Scenario0[loser1-cp],ParagonEquipScenario0[[#This Row],[level]])+COUNTIFS(Scenario0[loser2],"paragon",Scenario0[loser2-cp],ParagonEquipScenario0[[#This Row],[level]])</f>
        <v>94</v>
      </c>
      <c r="W3" t="s">
        <v>189</v>
      </c>
      <c r="X3" s="16">
        <f>H5/SUM(ParagonEquip[spear])</f>
        <v>0.22337662337662337</v>
      </c>
    </row>
    <row r="4" spans="1:24" x14ac:dyDescent="0.25">
      <c r="A4" s="17" t="s">
        <v>111</v>
      </c>
      <c r="B4">
        <f t="shared" ref="B4:B5" si="0">M4+M25+M46+M67+M88+M109</f>
        <v>213</v>
      </c>
      <c r="C4">
        <f t="shared" ref="C4:C5" si="1">N4+N25+N46+N67+N88+N109</f>
        <v>113</v>
      </c>
      <c r="D4" s="3">
        <f>IF(SUM(ParagonAbilities1[[#This Row],[takes]]) &gt; 0,ParagonAbilities1[[#This Row],[takes]]/SUM(ParagonAbilities1[takes]),0)</f>
        <v>0.55324675324675321</v>
      </c>
      <c r="E4" s="3">
        <f>IF(ParagonAbilities1[[#This Row],[takes]]&gt;0,ParagonAbilities1[[#This Row],[wins]]/ParagonAbilities1[[#This Row],[takes]],0)</f>
        <v>0.53051643192488263</v>
      </c>
      <c r="G4">
        <v>2</v>
      </c>
      <c r="H4">
        <f t="shared" ref="H4:H5" si="2">S4+S25+S46+S67+S88+S109</f>
        <v>141</v>
      </c>
      <c r="I4">
        <f t="shared" ref="I4:I5" si="3">T4+T25+T46+T67+T88+T109</f>
        <v>42</v>
      </c>
      <c r="J4" s="18">
        <f t="shared" ref="J4:J5" si="4">U4+U25+U46+U67+U88+U109</f>
        <v>67</v>
      </c>
      <c r="L4" s="17" t="s">
        <v>111</v>
      </c>
      <c r="M4">
        <f>COUNTIF(Scenario0[winner1-ability1],ParagonAbilities1Scenario0[[#This Row],[ability]])+COUNTIF(Scenario0[winner2-ability1],ParagonAbilities1Scenario0[[#This Row],[ability]])+COUNTIF(Scenario0[loser1-ability1],ParagonAbilities1Scenario0[[#This Row],[ability]])+COUNTIF(Scenario0[loser2-ability1],ParagonAbilities1Scenario0[[#This Row],[ability]])</f>
        <v>65</v>
      </c>
      <c r="N4">
        <f>COUNTIF(Scenario0[winner1-ability1],ParagonAbilities1Scenario0[[#This Row],[ability]])+COUNTIF(Scenario0[winner2-ability1],ParagonAbilities1Scenario0[[#This Row],[ability]])</f>
        <v>27</v>
      </c>
      <c r="O4" s="3">
        <f>IF(SUM(ParagonAbilities1Scenario0[[#This Row],[takes]]) &gt; 0,ParagonAbilities1Scenario0[[#This Row],[takes]]/SUM(ParagonAbilities1Scenario0[takes]),0)</f>
        <v>0.61904761904761907</v>
      </c>
      <c r="P4" s="3">
        <f>IF(ParagonAbilities1Scenario0[[#This Row],[takes]]&gt;0,ParagonAbilities1Scenario0[[#This Row],[wins]]/ParagonAbilities1Scenario0[[#This Row],[takes]],0)</f>
        <v>0.41538461538461541</v>
      </c>
      <c r="R4">
        <v>2</v>
      </c>
      <c r="S4">
        <f>COUNTIFS(Scenario0[winner1],"paragon",Scenario0[winner1-pw],ParagonEquipScenario0[[#This Row],[level]])+COUNTIFS(Scenario0[winner2],"paragon",Scenario0[winner2-pw],ParagonEquipScenario0[[#This Row],[level]])+COUNTIFS(Scenario0[loser1],"paragon",Scenario0[loser1-pw],ParagonEquipScenario0[[#This Row],[level]])+COUNTIFS(Scenario0[loser2],"paragon",Scenario0[loser2-pw],ParagonEquipScenario0[[#This Row],[level]])</f>
        <v>44</v>
      </c>
      <c r="T4">
        <f>COUNTIFS(Scenario0[winner1],"paragon",Scenario0[winner1-sw],ParagonEquipScenario0[[#This Row],[level]])+COUNTIFS(Scenario0[winner2],"paragon",Scenario0[winner2-sw],ParagonEquipScenario0[[#This Row],[level]])+COUNTIFS(Scenario0[loser1],"paragon",Scenario0[loser1-sw],ParagonEquipScenario0[[#This Row],[level]])+COUNTIFS(Scenario0[loser2],"paragon",Scenario0[loser2-sw],ParagonEquipScenario0[[#This Row],[level]])</f>
        <v>5</v>
      </c>
      <c r="U4" s="18">
        <f>COUNTIFS(Scenario0[winner1],"paragon",Scenario0[winner1-cp],ParagonEquipScenario0[[#This Row],[level]])+COUNTIFS(Scenario0[winner2],"paragon",Scenario0[winner2-cp],ParagonEquipScenario0[[#This Row],[level]])+COUNTIFS(Scenario0[loser1],"paragon",Scenario0[loser1-cp],ParagonEquipScenario0[[#This Row],[level]])+COUNTIFS(Scenario0[loser2],"paragon",Scenario0[loser2-cp],ParagonEquipScenario0[[#This Row],[level]])</f>
        <v>8</v>
      </c>
      <c r="W4" t="s">
        <v>190</v>
      </c>
      <c r="X4" s="3">
        <f>ParagonEquip[[#This Row],[shield]]/SUM(ParagonEquip[shield])</f>
        <v>0.10909090909090909</v>
      </c>
    </row>
    <row r="5" spans="1:24" x14ac:dyDescent="0.25">
      <c r="A5" s="17" t="s">
        <v>112</v>
      </c>
      <c r="B5">
        <f t="shared" si="0"/>
        <v>125</v>
      </c>
      <c r="C5">
        <f t="shared" si="1"/>
        <v>46</v>
      </c>
      <c r="D5" s="3">
        <f>IF(SUM(ParagonAbilities1[[#This Row],[takes]]) &gt; 0,ParagonAbilities1[[#This Row],[takes]]/SUM(ParagonAbilities1[takes]),0)</f>
        <v>0.32467532467532467</v>
      </c>
      <c r="E5" s="3">
        <f>IF(ParagonAbilities1[[#This Row],[takes]]&gt;0,ParagonAbilities1[[#This Row],[wins]]/ParagonAbilities1[[#This Row],[takes]],0)</f>
        <v>0.36799999999999999</v>
      </c>
      <c r="G5">
        <v>3</v>
      </c>
      <c r="H5">
        <f t="shared" si="2"/>
        <v>86</v>
      </c>
      <c r="I5">
        <f t="shared" si="3"/>
        <v>99</v>
      </c>
      <c r="J5" s="18">
        <f t="shared" si="4"/>
        <v>87</v>
      </c>
      <c r="L5" s="17" t="s">
        <v>112</v>
      </c>
      <c r="M5">
        <f>COUNTIF(Scenario0[winner1-ability1],ParagonAbilities1Scenario0[[#This Row],[ability]])+COUNTIF(Scenario0[winner2-ability1],ParagonAbilities1Scenario0[[#This Row],[ability]])+COUNTIF(Scenario0[loser1-ability1],ParagonAbilities1Scenario0[[#This Row],[ability]])+COUNTIF(Scenario0[loser2-ability1],ParagonAbilities1Scenario0[[#This Row],[ability]])</f>
        <v>0</v>
      </c>
      <c r="N5">
        <f>COUNTIF(Scenario0[winner1-ability1],ParagonAbilities1Scenario0[[#This Row],[ability]])+COUNTIF(Scenario0[winner2-ability1],ParagonAbilities1Scenario0[[#This Row],[ability]])</f>
        <v>0</v>
      </c>
      <c r="O5" s="3">
        <f>IF(SUM(ParagonAbilities1Scenario0[[#This Row],[takes]]) &gt; 0,ParagonAbilities1Scenario0[[#This Row],[takes]]/SUM(ParagonAbilities1Scenario0[takes]),0)</f>
        <v>0</v>
      </c>
      <c r="P5" s="3">
        <f>IF(ParagonAbilities1Scenario0[[#This Row],[takes]]&gt;0,ParagonAbilities1Scenario0[[#This Row],[wins]]/ParagonAbilities1Scenario0[[#This Row],[takes]],0)</f>
        <v>0</v>
      </c>
      <c r="R5">
        <v>3</v>
      </c>
      <c r="S5">
        <f>COUNTIFS(Scenario0[winner1],"paragon",Scenario0[winner1-pw],ParagonEquipScenario0[[#This Row],[level]])+COUNTIFS(Scenario0[winner2],"paragon",Scenario0[winner2-pw],ParagonEquipScenario0[[#This Row],[level]])+COUNTIFS(Scenario0[loser1],"paragon",Scenario0[loser1-pw],ParagonEquipScenario0[[#This Row],[level]])+COUNTIFS(Scenario0[loser2],"paragon",Scenario0[loser2-pw],ParagonEquipScenario0[[#This Row],[level]])</f>
        <v>10</v>
      </c>
      <c r="T5">
        <f>COUNTIFS(Scenario0[winner1],"paragon",Scenario0[winner1-sw],ParagonEquipScenario0[[#This Row],[level]])+COUNTIFS(Scenario0[winner2],"paragon",Scenario0[winner2-sw],ParagonEquipScenario0[[#This Row],[level]])+COUNTIFS(Scenario0[loser1],"paragon",Scenario0[loser1-sw],ParagonEquipScenario0[[#This Row],[level]])+COUNTIFS(Scenario0[loser2],"paragon",Scenario0[loser2-sw],ParagonEquipScenario0[[#This Row],[level]])</f>
        <v>7</v>
      </c>
      <c r="U5" s="18">
        <f>COUNTIFS(Scenario0[winner1],"paragon",Scenario0[winner1-cp],ParagonEquipScenario0[[#This Row],[level]])+COUNTIFS(Scenario0[winner2],"paragon",Scenario0[winner2-cp],ParagonEquipScenario0[[#This Row],[level]])+COUNTIFS(Scenario0[loser1],"paragon",Scenario0[loser1-cp],ParagonEquipScenario0[[#This Row],[level]])+COUNTIFS(Scenario0[loser2],"paragon",Scenario0[loser2-cp],ParagonEquipScenario0[[#This Row],[level]])</f>
        <v>3</v>
      </c>
      <c r="W5" t="s">
        <v>191</v>
      </c>
      <c r="X5" s="16">
        <f>ParagonEquip[[#This Row],[shield]]/SUM(ParagonEquip[shield])</f>
        <v>0.25714285714285712</v>
      </c>
    </row>
    <row r="6" spans="1:24" x14ac:dyDescent="0.25">
      <c r="A6" s="17"/>
      <c r="J6" s="18"/>
      <c r="L6" s="17"/>
      <c r="O6" s="3"/>
      <c r="P6" s="3"/>
      <c r="U6" s="18"/>
      <c r="W6" t="s">
        <v>179</v>
      </c>
      <c r="X6" s="3">
        <f>J4/SUM(ParagonEquip[chestpiece])</f>
        <v>0.17402597402597403</v>
      </c>
    </row>
    <row r="7" spans="1:24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J7" s="18"/>
      <c r="L7" s="19" t="s">
        <v>109</v>
      </c>
      <c r="M7" s="8" t="s">
        <v>110</v>
      </c>
      <c r="N7" s="8" t="s">
        <v>79</v>
      </c>
      <c r="O7" s="9" t="s">
        <v>117</v>
      </c>
      <c r="P7" s="9" t="s">
        <v>118</v>
      </c>
      <c r="U7" s="18"/>
      <c r="W7" t="s">
        <v>180</v>
      </c>
      <c r="X7" s="16">
        <f>J5/SUM(ParagonEquip[chestpiece])</f>
        <v>0.22597402597402597</v>
      </c>
    </row>
    <row r="8" spans="1:24" x14ac:dyDescent="0.25">
      <c r="A8" s="20" t="s">
        <v>55</v>
      </c>
      <c r="B8" s="2">
        <f>M8+M29+M50+M71+M92+M113</f>
        <v>86</v>
      </c>
      <c r="C8" s="2">
        <f>N8+N29+N50+N71+N92+N113</f>
        <v>39</v>
      </c>
      <c r="D8" s="12">
        <f>IF(SUM(ParagonAbilities2[[#This Row],[takes]]) &gt; 0,ParagonAbilities2[[#This Row],[takes]]/SUM(ParagonAbilities2[takes]),0)</f>
        <v>0.31734317343173429</v>
      </c>
      <c r="E8" s="12">
        <f>IF(ParagonAbilities2[[#This Row],[takes]]&gt;0,ParagonAbilities2[[#This Row],[wins]]/ParagonAbilities2[[#This Row],[takes]],0)</f>
        <v>0.45348837209302323</v>
      </c>
      <c r="J8" s="18"/>
      <c r="L8" s="20" t="s">
        <v>55</v>
      </c>
      <c r="M8" s="2">
        <f>COUNTIF(Scenario0[winner1-ability2],ParagonAbilities2Scenario0[[#This Row],[ability]])+COUNTIF(Scenario0[winner2-ability2],ParagonAbilities2Scenario0[[#This Row],[ability]])+COUNTIF(Scenario0[loser1-ability2],ParagonAbilities2Scenario0[[#This Row],[ability]])+COUNTIF(Scenario0[loser2-ability2],ParagonAbilities2Scenario0[[#This Row],[ability]])</f>
        <v>15</v>
      </c>
      <c r="N8" s="2">
        <f>COUNTIF(Scenario0[winner1-ability2],ParagonAbilities2Scenario0[[#This Row],[ability]])+COUNTIF(Scenario0[winner2-ability2],ParagonAbilities2Scenario0[[#This Row],[ability]])</f>
        <v>8</v>
      </c>
      <c r="O8" s="12">
        <f>IF(SUM(ParagonAbilities2Scenario0[[#This Row],[takes]]) &gt; 0,ParagonAbilities2Scenario0[[#This Row],[takes]]/SUM(ParagonAbilities2Scenario0[takes]),0)</f>
        <v>0.34883720930232559</v>
      </c>
      <c r="P8" s="12">
        <f>IF(ParagonAbilities2Scenario0[[#This Row],[takes]]&gt;0,ParagonAbilities2Scenario0[[#This Row],[wins]]/ParagonAbilities2Scenario0[[#This Row],[takes]],0)</f>
        <v>0.53333333333333333</v>
      </c>
      <c r="U8" s="18"/>
      <c r="W8" t="s">
        <v>176</v>
      </c>
      <c r="X8" s="3">
        <f>SUM(ParagonAbilities2[takes])/SUM(ParagonAbilities1[takes])</f>
        <v>0.70389610389610391</v>
      </c>
    </row>
    <row r="9" spans="1:24" x14ac:dyDescent="0.25">
      <c r="A9" s="17" t="s">
        <v>83</v>
      </c>
      <c r="B9" s="2">
        <f t="shared" ref="B9:B10" si="5">M9+M30+M51+M72+M93+M114</f>
        <v>122</v>
      </c>
      <c r="C9" s="2">
        <f t="shared" ref="C9:C10" si="6">N9+N30+N51+N72+N93+N114</f>
        <v>49</v>
      </c>
      <c r="D9" s="3">
        <f>IF(SUM(ParagonAbilities2[[#This Row],[takes]]) &gt; 0,ParagonAbilities2[[#This Row],[takes]]/SUM(ParagonAbilities2[takes]),0)</f>
        <v>0.45018450184501846</v>
      </c>
      <c r="E9" s="3">
        <f>IF(ParagonAbilities2[[#This Row],[takes]]&gt;0,ParagonAbilities2[[#This Row],[wins]]/ParagonAbilities2[[#This Row],[takes]],0)</f>
        <v>0.40163934426229508</v>
      </c>
      <c r="J9" s="18"/>
      <c r="L9" s="17" t="s">
        <v>83</v>
      </c>
      <c r="M9" s="2">
        <f>COUNTIF(Scenario0[winner1-ability2],ParagonAbilities2Scenario0[[#This Row],[ability]])+COUNTIF(Scenario0[winner2-ability2],ParagonAbilities2Scenario0[[#This Row],[ability]])+COUNTIF(Scenario0[loser1-ability2],ParagonAbilities2Scenario0[[#This Row],[ability]])+COUNTIF(Scenario0[loser2-ability2],ParagonAbilities2Scenario0[[#This Row],[ability]])</f>
        <v>16</v>
      </c>
      <c r="N9" s="2">
        <f>COUNTIF(Scenario0[winner1-ability2],ParagonAbilities2Scenario0[[#This Row],[ability]])+COUNTIF(Scenario0[winner2-ability2],ParagonAbilities2Scenario0[[#This Row],[ability]])</f>
        <v>9</v>
      </c>
      <c r="O9" s="3">
        <f>IF(SUM(ParagonAbilities2Scenario0[[#This Row],[takes]]) &gt; 0,ParagonAbilities2Scenario0[[#This Row],[takes]]/SUM(ParagonAbilities2Scenario0[takes]),0)</f>
        <v>0.37209302325581395</v>
      </c>
      <c r="P9" s="3">
        <f>IF(ParagonAbilities2Scenario0[[#This Row],[takes]]&gt;0,ParagonAbilities2Scenario0[[#This Row],[wins]]/ParagonAbilities2Scenario0[[#This Row],[takes]],0)</f>
        <v>0.5625</v>
      </c>
      <c r="U9" s="18"/>
      <c r="W9" t="s">
        <v>177</v>
      </c>
      <c r="X9" s="3">
        <f>SUM(ParagonAbilities3[takes])/SUM(ParagonAbilities1[takes])</f>
        <v>0.46753246753246752</v>
      </c>
    </row>
    <row r="10" spans="1:24" x14ac:dyDescent="0.25">
      <c r="A10" s="21" t="s">
        <v>113</v>
      </c>
      <c r="B10" s="2">
        <f t="shared" si="5"/>
        <v>63</v>
      </c>
      <c r="C10" s="2">
        <f t="shared" si="6"/>
        <v>44</v>
      </c>
      <c r="D10" s="13">
        <f>IF(SUM(ParagonAbilities2[[#This Row],[takes]]) &gt; 0,ParagonAbilities2[[#This Row],[takes]]/SUM(ParagonAbilities2[takes]),0)</f>
        <v>0.23247232472324722</v>
      </c>
      <c r="E10" s="13">
        <f>IF(ParagonAbilities2[[#This Row],[takes]]&gt;0,ParagonAbilities2[[#This Row],[wins]]/ParagonAbilities2[[#This Row],[takes]],0)</f>
        <v>0.69841269841269837</v>
      </c>
      <c r="J10" s="18"/>
      <c r="L10" s="21" t="s">
        <v>113</v>
      </c>
      <c r="M10" s="2">
        <f>COUNTIF(Scenario0[winner1-ability2],ParagonAbilities2Scenario0[[#This Row],[ability]])+COUNTIF(Scenario0[winner2-ability2],ParagonAbilities2Scenario0[[#This Row],[ability]])+COUNTIF(Scenario0[loser1-ability2],ParagonAbilities2Scenario0[[#This Row],[ability]])+COUNTIF(Scenario0[loser2-ability2],ParagonAbilities2Scenario0[[#This Row],[ability]])</f>
        <v>12</v>
      </c>
      <c r="N10" s="2">
        <f>COUNTIF(Scenario0[winner1-ability2],ParagonAbilities2Scenario0[[#This Row],[ability]])+COUNTIF(Scenario0[winner2-ability2],ParagonAbilities2Scenario0[[#This Row],[ability]])</f>
        <v>5</v>
      </c>
      <c r="O10" s="13">
        <f>IF(SUM(ParagonAbilities2Scenario0[[#This Row],[takes]]) &gt; 0,ParagonAbilities2Scenario0[[#This Row],[takes]]/SUM(ParagonAbilities2Scenario0[takes]),0)</f>
        <v>0.27906976744186046</v>
      </c>
      <c r="P10" s="13">
        <f>IF(ParagonAbilities2Scenario0[[#This Row],[takes]]&gt;0,ParagonAbilities2Scenario0[[#This Row],[wins]]/ParagonAbilities2Scenario0[[#This Row],[takes]],0)</f>
        <v>0.41666666666666669</v>
      </c>
      <c r="U10" s="18"/>
      <c r="W10" t="s">
        <v>178</v>
      </c>
      <c r="X10" s="16">
        <f>SUM(ParagonAbilities4[takes])/SUM(ParagonAbilities1[takes])</f>
        <v>0.27012987012987011</v>
      </c>
    </row>
    <row r="11" spans="1:24" x14ac:dyDescent="0.25">
      <c r="A11" s="17"/>
      <c r="J11" s="18"/>
      <c r="L11" s="17"/>
      <c r="O11" s="3"/>
      <c r="P11" s="3"/>
      <c r="U11" s="18"/>
      <c r="W11" t="s">
        <v>194</v>
      </c>
      <c r="X11" s="33">
        <f>(SUM(ParagonAbilities2[takes])+SUM(ParagonAbilities3[takes])+SUM(ParagonAbilities4[takes])+SUM(H4:H5)+SUM(I4:I5)+SUM(J4:J5))/SUM(ParagonAbilities1[takes])</f>
        <v>2.7974025974025976</v>
      </c>
    </row>
    <row r="12" spans="1:24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J12" s="18"/>
      <c r="L12" s="19" t="s">
        <v>109</v>
      </c>
      <c r="M12" s="8" t="s">
        <v>110</v>
      </c>
      <c r="N12" s="8" t="s">
        <v>79</v>
      </c>
      <c r="O12" s="9" t="s">
        <v>117</v>
      </c>
      <c r="P12" s="9" t="s">
        <v>118</v>
      </c>
      <c r="U12" s="18"/>
    </row>
    <row r="13" spans="1:24" x14ac:dyDescent="0.25">
      <c r="A13" s="22" t="s">
        <v>114</v>
      </c>
      <c r="B13" s="1">
        <f>M13+M34+M55+M76+M97+M118</f>
        <v>33</v>
      </c>
      <c r="C13" s="1">
        <f>N13+N34+N55+N76+N97+N118</f>
        <v>22</v>
      </c>
      <c r="D13" s="14">
        <f>IF(SUM(ParagonAbilities3[[#This Row],[takes]]) &gt; 0,ParagonAbilities3[[#This Row],[takes]]/SUM(ParagonAbilities3[takes]),0)</f>
        <v>0.18333333333333332</v>
      </c>
      <c r="E13" s="14">
        <f>IF(ParagonAbilities3[[#This Row],[takes]]&gt;0,ParagonAbilities3[[#This Row],[wins]]/ParagonAbilities3[[#This Row],[takes]],0)</f>
        <v>0.66666666666666663</v>
      </c>
      <c r="J13" s="18"/>
      <c r="L13" s="22" t="s">
        <v>114</v>
      </c>
      <c r="M13" s="1">
        <f>COUNTIF(Scenario0[winner1-ability3],ParagonAbilities3Scenario0[[#This Row],[ability]])+COUNTIF(Scenario0[winner2-ability3],ParagonAbilities3Scenario0[[#This Row],[ability]])+COUNTIF(Scenario0[loser1-ability3],ParagonAbilities3Scenario0[[#This Row],[ability]])+COUNTIF(Scenario0[loser2-ability3],ParagonAbilities3Scenario0[[#This Row],[ability]])</f>
        <v>2</v>
      </c>
      <c r="N13" s="1">
        <f>COUNTIF(Scenario0[winner1-ability3],ParagonAbilities3Scenario0[[#This Row],[ability]])+COUNTIF(Scenario0[winner2-ability3],ParagonAbilities3Scenario0[[#This Row],[ability]])</f>
        <v>1</v>
      </c>
      <c r="O13" s="14">
        <f>IF(SUM(ParagonAbilities3Scenario0[[#This Row],[takes]]) &gt; 0,ParagonAbilities3Scenario0[[#This Row],[takes]]/SUM(ParagonAbilities3Scenario0[takes]),0)</f>
        <v>0.2</v>
      </c>
      <c r="P13" s="14">
        <f>IF(ParagonAbilities3Scenario0[[#This Row],[takes]]&gt;0,ParagonAbilities3Scenario0[[#This Row],[wins]]/ParagonAbilities3Scenario0[[#This Row],[takes]],0)</f>
        <v>0.5</v>
      </c>
      <c r="U13" s="18"/>
    </row>
    <row r="14" spans="1:24" x14ac:dyDescent="0.25">
      <c r="A14" s="20" t="s">
        <v>105</v>
      </c>
      <c r="B14" s="2">
        <f t="shared" ref="B14:B15" si="7">M14+M35+M56+M77+M98+M119</f>
        <v>73</v>
      </c>
      <c r="C14" s="2">
        <f t="shared" ref="C14:C15" si="8">N14+N35+N56+N77+N98+N119</f>
        <v>33</v>
      </c>
      <c r="D14" s="12">
        <f>IF(SUM(ParagonAbilities3[[#This Row],[takes]]) &gt; 0,ParagonAbilities3[[#This Row],[takes]]/SUM(ParagonAbilities3[takes]),0)</f>
        <v>0.40555555555555556</v>
      </c>
      <c r="E14" s="12">
        <f>IF(ParagonAbilities3[[#This Row],[takes]]&gt;0,ParagonAbilities3[[#This Row],[wins]]/ParagonAbilities3[[#This Row],[takes]],0)</f>
        <v>0.45205479452054792</v>
      </c>
      <c r="J14" s="18"/>
      <c r="L14" s="20" t="s">
        <v>105</v>
      </c>
      <c r="M14" s="2">
        <f>COUNTIF(Scenario0[winner1-ability3],ParagonAbilities3Scenario0[[#This Row],[ability]])+COUNTIF(Scenario0[winner2-ability3],ParagonAbilities3Scenario0[[#This Row],[ability]])+COUNTIF(Scenario0[loser1-ability3],ParagonAbilities3Scenario0[[#This Row],[ability]])+COUNTIF(Scenario0[loser2-ability3],ParagonAbilities3Scenario0[[#This Row],[ability]])</f>
        <v>1</v>
      </c>
      <c r="N14" s="2">
        <f>COUNTIF(Scenario0[winner1-ability3],ParagonAbilities3Scenario0[[#This Row],[ability]])+COUNTIF(Scenario0[winner2-ability3],ParagonAbilities3Scenario0[[#This Row],[ability]])</f>
        <v>0</v>
      </c>
      <c r="O14" s="12">
        <f>IF(SUM(ParagonAbilities3Scenario0[[#This Row],[takes]]) &gt; 0,ParagonAbilities3Scenario0[[#This Row],[takes]]/SUM(ParagonAbilities3Scenario0[takes]),0)</f>
        <v>0.1</v>
      </c>
      <c r="P14" s="12">
        <f>IF(ParagonAbilities3Scenario0[[#This Row],[takes]]&gt;0,ParagonAbilities3Scenario0[[#This Row],[wins]]/ParagonAbilities3Scenario0[[#This Row],[takes]],0)</f>
        <v>0</v>
      </c>
      <c r="U14" s="18"/>
    </row>
    <row r="15" spans="1:24" x14ac:dyDescent="0.25">
      <c r="A15" s="23" t="s">
        <v>97</v>
      </c>
      <c r="B15" s="1">
        <f t="shared" si="7"/>
        <v>74</v>
      </c>
      <c r="C15" s="1">
        <f t="shared" si="8"/>
        <v>25</v>
      </c>
      <c r="D15" s="15">
        <f>IF(SUM(ParagonAbilities3[[#This Row],[takes]]) &gt; 0,ParagonAbilities3[[#This Row],[takes]]/SUM(ParagonAbilities3[takes]),0)</f>
        <v>0.41111111111111109</v>
      </c>
      <c r="E15" s="15">
        <f>IF(ParagonAbilities3[[#This Row],[takes]]&gt;0,ParagonAbilities3[[#This Row],[wins]]/ParagonAbilities3[[#This Row],[takes]],0)</f>
        <v>0.33783783783783783</v>
      </c>
      <c r="J15" s="18"/>
      <c r="L15" s="23" t="s">
        <v>97</v>
      </c>
      <c r="M15" s="1">
        <f>COUNTIF(Scenario0[winner1-ability3],ParagonAbilities3Scenario0[[#This Row],[ability]])+COUNTIF(Scenario0[winner2-ability3],ParagonAbilities3Scenario0[[#This Row],[ability]])+COUNTIF(Scenario0[loser1-ability3],ParagonAbilities3Scenario0[[#This Row],[ability]])+COUNTIF(Scenario0[loser2-ability3],ParagonAbilities3Scenario0[[#This Row],[ability]])</f>
        <v>7</v>
      </c>
      <c r="N15" s="1">
        <f>COUNTIF(Scenario0[winner1-ability3],ParagonAbilities3Scenario0[[#This Row],[ability]])+COUNTIF(Scenario0[winner2-ability3],ParagonAbilities3Scenario0[[#This Row],[ability]])</f>
        <v>2</v>
      </c>
      <c r="O15" s="15">
        <f>IF(SUM(ParagonAbilities3Scenario0[[#This Row],[takes]]) &gt; 0,ParagonAbilities3Scenario0[[#This Row],[takes]]/SUM(ParagonAbilities3Scenario0[takes]),0)</f>
        <v>0.7</v>
      </c>
      <c r="P15" s="15">
        <f>IF(ParagonAbilities3Scenario0[[#This Row],[takes]]&gt;0,ParagonAbilities3Scenario0[[#This Row],[wins]]/ParagonAbilities3Scenario0[[#This Row],[takes]],0)</f>
        <v>0.2857142857142857</v>
      </c>
      <c r="U15" s="18"/>
    </row>
    <row r="16" spans="1:24" x14ac:dyDescent="0.25">
      <c r="A16" s="17"/>
      <c r="J16" s="18"/>
      <c r="L16" s="17"/>
      <c r="O16" s="3"/>
      <c r="P16" s="3"/>
      <c r="U16" s="18"/>
    </row>
    <row r="17" spans="1:21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J17" s="18"/>
      <c r="L17" s="19" t="s">
        <v>109</v>
      </c>
      <c r="M17" s="8" t="s">
        <v>110</v>
      </c>
      <c r="N17" s="8" t="s">
        <v>79</v>
      </c>
      <c r="O17" s="9" t="s">
        <v>117</v>
      </c>
      <c r="P17" s="9" t="s">
        <v>118</v>
      </c>
      <c r="U17" s="18"/>
    </row>
    <row r="18" spans="1:21" x14ac:dyDescent="0.25">
      <c r="A18" s="20" t="s">
        <v>98</v>
      </c>
      <c r="B18" s="2">
        <f>M18+M39+M60+M81+M102+M123</f>
        <v>44</v>
      </c>
      <c r="C18" s="2">
        <f>N18+N39+N60+N81+N102+N123</f>
        <v>20</v>
      </c>
      <c r="D18" s="12">
        <f>IF(SUM(ParagonAbilities4[[#This Row],[takes]]) &gt; 0,ParagonAbilities4[[#This Row],[takes]]/SUM(ParagonAbilities4[takes]),0)</f>
        <v>0.42307692307692307</v>
      </c>
      <c r="E18" s="12">
        <f>IF(ParagonAbilities4[[#This Row],[takes]]&gt;0,ParagonAbilities4[[#This Row],[wins]]/ParagonAbilities4[[#This Row],[takes]],0)</f>
        <v>0.45454545454545453</v>
      </c>
      <c r="J18" s="18"/>
      <c r="L18" s="20" t="s">
        <v>98</v>
      </c>
      <c r="M18" s="2">
        <f>COUNTIF(Scenario0[winner1-ability4],ParagonAbilities4Scenario0[[#This Row],[ability]])+COUNTIF(Scenario0[winner2-ability4],ParagonAbilities4Scenario0[[#This Row],[ability]])+COUNTIF(Scenario0[loser1-ability4],ParagonAbilities4Scenario0[[#This Row],[ability]])+COUNTIF(Scenario0[loser2-ability4],ParagonAbilities4Scenario0[[#This Row],[ability]])</f>
        <v>1</v>
      </c>
      <c r="N18" s="2">
        <f>COUNTIF(Scenario0[winner1-ability4],ParagonAbilities4Scenario0[[#This Row],[ability]])+COUNTIF(Scenario0[winner2-ability4],ParagonAbilities4Scenario0[[#This Row],[ability]])</f>
        <v>0</v>
      </c>
      <c r="O18" s="12">
        <f>IF(SUM(ParagonAbilities4Scenario0[[#This Row],[takes]]) &gt; 0,ParagonAbilities4Scenario0[[#This Row],[takes]]/SUM(ParagonAbilities4Scenario0[takes]),0)</f>
        <v>1</v>
      </c>
      <c r="P18" s="12">
        <f>IF(ParagonAbilities4Scenario0[[#This Row],[takes]]&gt;0,ParagonAbilities4Scenario0[[#This Row],[wins]]/ParagonAbilities4Scenario0[[#This Row],[takes]],0)</f>
        <v>0</v>
      </c>
      <c r="U18" s="18"/>
    </row>
    <row r="19" spans="1:21" x14ac:dyDescent="0.25">
      <c r="A19" s="20" t="s">
        <v>115</v>
      </c>
      <c r="B19" s="2">
        <f t="shared" ref="B19:B20" si="9">M19+M40+M61+M82+M103+M124</f>
        <v>40</v>
      </c>
      <c r="C19" s="2">
        <f t="shared" ref="C19:C20" si="10">N19+N40+N61+N82+N103+N124</f>
        <v>12</v>
      </c>
      <c r="D19" s="12">
        <f>IF(SUM(ParagonAbilities4[[#This Row],[takes]]) &gt; 0,ParagonAbilities4[[#This Row],[takes]]/SUM(ParagonAbilities4[takes]),0)</f>
        <v>0.38461538461538464</v>
      </c>
      <c r="E19" s="12">
        <f>IF(ParagonAbilities4[[#This Row],[takes]]&gt;0,ParagonAbilities4[[#This Row],[wins]]/ParagonAbilities4[[#This Row],[takes]],0)</f>
        <v>0.3</v>
      </c>
      <c r="J19" s="18"/>
      <c r="L19" s="20" t="s">
        <v>115</v>
      </c>
      <c r="M19" s="2">
        <f>COUNTIF(Scenario0[winner1-ability4],ParagonAbilities4Scenario0[[#This Row],[ability]])+COUNTIF(Scenario0[winner2-ability4],ParagonAbilities4Scenario0[[#This Row],[ability]])+COUNTIF(Scenario0[loser1-ability4],ParagonAbilities4Scenario0[[#This Row],[ability]])+COUNTIF(Scenario0[loser2-ability4],ParagonAbilities4Scenario0[[#This Row],[ability]])</f>
        <v>0</v>
      </c>
      <c r="N19" s="2">
        <f>COUNTIF(Scenario0[winner1-ability4],ParagonAbilities4Scenario0[[#This Row],[ability]])+COUNTIF(Scenario0[winner2-ability4],ParagonAbilities4Scenario0[[#This Row],[ability]])</f>
        <v>0</v>
      </c>
      <c r="O19" s="12">
        <f>IF(SUM(ParagonAbilities4Scenario0[[#This Row],[takes]]) &gt; 0,ParagonAbilities4Scenario0[[#This Row],[takes]]/SUM(ParagonAbilities4Scenario0[takes]),0)</f>
        <v>0</v>
      </c>
      <c r="P19" s="12">
        <f>IF(ParagonAbilities4Scenario0[[#This Row],[takes]]&gt;0,ParagonAbilities4Scenario0[[#This Row],[wins]]/ParagonAbilities4Scenario0[[#This Row],[takes]],0)</f>
        <v>0</v>
      </c>
      <c r="U19" s="18"/>
    </row>
    <row r="20" spans="1:21" ht="15.75" thickBot="1" x14ac:dyDescent="0.3">
      <c r="A20" s="24" t="s">
        <v>116</v>
      </c>
      <c r="B20" s="2">
        <f t="shared" si="9"/>
        <v>20</v>
      </c>
      <c r="C20" s="2">
        <f t="shared" si="10"/>
        <v>17</v>
      </c>
      <c r="D20" s="26">
        <f>IF(SUM(ParagonAbilities4[[#This Row],[takes]]) &gt; 0,ParagonAbilities4[[#This Row],[takes]]/SUM(ParagonAbilities4[takes]),0)</f>
        <v>0.19230769230769232</v>
      </c>
      <c r="E20" s="26">
        <f>IF(ParagonAbilities4[[#This Row],[takes]]&gt;0,ParagonAbilities4[[#This Row],[wins]]/ParagonAbilities4[[#This Row],[takes]],0)</f>
        <v>0.85</v>
      </c>
      <c r="F20" s="27"/>
      <c r="G20" s="27"/>
      <c r="H20" s="27"/>
      <c r="I20" s="27"/>
      <c r="J20" s="28"/>
      <c r="L20" s="24" t="s">
        <v>116</v>
      </c>
      <c r="M20" s="25">
        <f>COUNTIF(Scenario0[winner1-ability4],ParagonAbilities4Scenario0[[#This Row],[ability]])+COUNTIF(Scenario0[winner2-ability4],ParagonAbilities4Scenario0[[#This Row],[ability]])+COUNTIF(Scenario0[loser1-ability4],ParagonAbilities4Scenario0[[#This Row],[ability]])+COUNTIF(Scenario0[loser2-ability4],ParagonAbilities4Scenario0[[#This Row],[ability]])</f>
        <v>0</v>
      </c>
      <c r="N20" s="25">
        <f>COUNTIF(Scenario0[winner1-ability4],ParagonAbilities4Scenario0[[#This Row],[ability]])+COUNTIF(Scenario0[winner2-ability4],ParagonAbilities4Scenario0[[#This Row],[ability]])</f>
        <v>0</v>
      </c>
      <c r="O20" s="26">
        <f>IF(SUM(ParagonAbilities4Scenario0[[#This Row],[takes]]) &gt; 0,ParagonAbilities4Scenario0[[#This Row],[takes]]/SUM(ParagonAbilities4Scenario0[takes]),0)</f>
        <v>0</v>
      </c>
      <c r="P20" s="26">
        <f>IF(ParagonAbilities4Scenario0[[#This Row],[takes]]&gt;0,ParagonAbilities4Scenario0[[#This Row],[wins]]/ParagonAbilities4Scenario0[[#This Row],[takes]],0)</f>
        <v>0</v>
      </c>
      <c r="Q20" s="27"/>
      <c r="R20" s="27"/>
      <c r="S20" s="27"/>
      <c r="T20" s="27"/>
      <c r="U20" s="28"/>
    </row>
    <row r="21" spans="1:21" ht="15.75" thickBot="1" x14ac:dyDescent="0.3"/>
    <row r="22" spans="1:21" ht="15.75" thickBot="1" x14ac:dyDescent="0.3">
      <c r="L22" s="37" t="s">
        <v>183</v>
      </c>
      <c r="M22" s="38"/>
      <c r="N22" s="38"/>
      <c r="O22" s="38"/>
      <c r="P22" s="38"/>
      <c r="Q22" s="38"/>
      <c r="R22" s="38"/>
      <c r="S22" s="38"/>
      <c r="T22" s="38"/>
      <c r="U22" s="39"/>
    </row>
    <row r="23" spans="1:21" x14ac:dyDescent="0.25">
      <c r="L23" s="17" t="s">
        <v>109</v>
      </c>
      <c r="M23" t="s">
        <v>110</v>
      </c>
      <c r="N23" t="s">
        <v>79</v>
      </c>
      <c r="O23" s="3" t="s">
        <v>117</v>
      </c>
      <c r="P23" s="3" t="s">
        <v>118</v>
      </c>
      <c r="R23" t="s">
        <v>161</v>
      </c>
      <c r="S23" t="s">
        <v>162</v>
      </c>
      <c r="T23" t="s">
        <v>163</v>
      </c>
      <c r="U23" s="18" t="s">
        <v>164</v>
      </c>
    </row>
    <row r="24" spans="1:21" x14ac:dyDescent="0.25">
      <c r="L24" s="17" t="s">
        <v>54</v>
      </c>
      <c r="M24">
        <f>COUNTIF(Scenario1[winner1-ability1],ParagonAbilities1Scenario1[[#This Row],[ability]])+COUNTIF(Scenario1[winner2-ability1],ParagonAbilities1Scenario1[[#This Row],[ability]])+COUNTIF(Scenario1[loser1-ability1],ParagonAbilities1Scenario1[[#This Row],[ability]])+COUNTIF(Scenario1[loser2-ability1],ParagonAbilities1Scenario1[[#This Row],[ability]])</f>
        <v>7</v>
      </c>
      <c r="N24">
        <f>COUNTIF(Scenario1[winner1-ability1],ParagonAbilities1Scenario1[[#This Row],[ability]])+COUNTIF(Scenario1[winner2-ability1],ParagonAbilities1Scenario1[[#This Row],[ability]])</f>
        <v>5</v>
      </c>
      <c r="O24" s="3">
        <f>IF(SUM(ParagonAbilities1Scenario1[[#This Row],[takes]]) &gt; 0,ParagonAbilities1Scenario1[[#This Row],[takes]]/SUM(ParagonAbilities1Scenario1[takes]),0)</f>
        <v>6.6666666666666666E-2</v>
      </c>
      <c r="P24" s="3">
        <f>IF(ParagonAbilities1Scenario1[[#This Row],[takes]]&gt;0,ParagonAbilities1Scenario1[[#This Row],[wins]]/ParagonAbilities1Scenario1[[#This Row],[takes]],0)</f>
        <v>0.7142857142857143</v>
      </c>
      <c r="R24">
        <v>1</v>
      </c>
      <c r="S24">
        <f>COUNTIFS(Scenario1[winner1],"paragon",Scenario1[winner1-pw],ParagonEquipScenario1[[#This Row],[level]])+COUNTIFS(Scenario1[winner2],"paragon",Scenario1[winner2-pw],ParagonEquipScenario1[[#This Row],[level]])+COUNTIFS(Scenario1[loser1],"paragon",Scenario1[loser1-pw],ParagonEquipScenario1[[#This Row],[level]])+COUNTIFS(Scenario1[loser2],"paragon",Scenario1[loser2-pw],ParagonEquipScenario1[[#This Row],[level]])</f>
        <v>34</v>
      </c>
      <c r="T24">
        <f>COUNTIFS(Scenario1[winner1],"paragon",Scenario1[winner1-sw],ParagonEquipScenario1[[#This Row],[level]])+COUNTIFS(Scenario1[winner2],"paragon",Scenario1[winner2-sw],ParagonEquipScenario1[[#This Row],[level]])+COUNTIFS(Scenario1[loser1],"paragon",Scenario1[loser1-sw],ParagonEquipScenario1[[#This Row],[level]])+COUNTIFS(Scenario1[loser2],"paragon",Scenario1[loser2-sw],ParagonEquipScenario1[[#This Row],[level]])</f>
        <v>75</v>
      </c>
      <c r="U24" s="18">
        <f>COUNTIFS(Scenario1[winner1],"paragon",Scenario1[winner1-cp],ParagonEquipScenario1[[#This Row],[level]])+COUNTIFS(Scenario1[winner2],"paragon",Scenario1[winner2-cp],ParagonEquipScenario1[[#This Row],[level]])+COUNTIFS(Scenario1[loser1],"paragon",Scenario1[loser1-cp],ParagonEquipScenario1[[#This Row],[level]])+COUNTIFS(Scenario1[loser2],"paragon",Scenario1[loser2-cp],ParagonEquipScenario1[[#This Row],[level]])</f>
        <v>77</v>
      </c>
    </row>
    <row r="25" spans="1:21" x14ac:dyDescent="0.25">
      <c r="L25" s="17" t="s">
        <v>111</v>
      </c>
      <c r="M25">
        <f>COUNTIF(Scenario1[winner1-ability1],ParagonAbilities1Scenario1[[#This Row],[ability]])+COUNTIF(Scenario1[winner2-ability1],ParagonAbilities1Scenario1[[#This Row],[ability]])+COUNTIF(Scenario1[loser1-ability1],ParagonAbilities1Scenario1[[#This Row],[ability]])+COUNTIF(Scenario1[loser2-ability1],ParagonAbilities1Scenario1[[#This Row],[ability]])</f>
        <v>98</v>
      </c>
      <c r="N25">
        <f>COUNTIF(Scenario1[winner1-ability1],ParagonAbilities1Scenario1[[#This Row],[ability]])+COUNTIF(Scenario1[winner2-ability1],ParagonAbilities1Scenario1[[#This Row],[ability]])</f>
        <v>55</v>
      </c>
      <c r="O25" s="3">
        <f>IF(SUM(ParagonAbilities1Scenario1[[#This Row],[takes]]) &gt; 0,ParagonAbilities1Scenario1[[#This Row],[takes]]/SUM(ParagonAbilities1Scenario1[takes]),0)</f>
        <v>0.93333333333333335</v>
      </c>
      <c r="P25" s="3">
        <f>IF(ParagonAbilities1Scenario1[[#This Row],[takes]]&gt;0,ParagonAbilities1Scenario1[[#This Row],[wins]]/ParagonAbilities1Scenario1[[#This Row],[takes]],0)</f>
        <v>0.56122448979591832</v>
      </c>
      <c r="R25">
        <v>2</v>
      </c>
      <c r="S25">
        <f>COUNTIFS(Scenario1[winner1],"paragon",Scenario1[winner1-pw],ParagonEquipScenario1[[#This Row],[level]])+COUNTIFS(Scenario1[winner2],"paragon",Scenario1[winner2-pw],ParagonEquipScenario1[[#This Row],[level]])+COUNTIFS(Scenario1[loser1],"paragon",Scenario1[loser1-pw],ParagonEquipScenario1[[#This Row],[level]])+COUNTIFS(Scenario1[loser2],"paragon",Scenario1[loser2-pw],ParagonEquipScenario1[[#This Row],[level]])</f>
        <v>53</v>
      </c>
      <c r="T25">
        <f>COUNTIFS(Scenario1[winner1],"paragon",Scenario1[winner1-sw],ParagonEquipScenario1[[#This Row],[level]])+COUNTIFS(Scenario1[winner2],"paragon",Scenario1[winner2-sw],ParagonEquipScenario1[[#This Row],[level]])+COUNTIFS(Scenario1[loser1],"paragon",Scenario1[loser1-sw],ParagonEquipScenario1[[#This Row],[level]])+COUNTIFS(Scenario1[loser2],"paragon",Scenario1[loser2-sw],ParagonEquipScenario1[[#This Row],[level]])</f>
        <v>8</v>
      </c>
      <c r="U25" s="18">
        <f>COUNTIFS(Scenario1[winner1],"paragon",Scenario1[winner1-cp],ParagonEquipScenario1[[#This Row],[level]])+COUNTIFS(Scenario1[winner2],"paragon",Scenario1[winner2-cp],ParagonEquipScenario1[[#This Row],[level]])+COUNTIFS(Scenario1[loser1],"paragon",Scenario1[loser1-cp],ParagonEquipScenario1[[#This Row],[level]])+COUNTIFS(Scenario1[loser2],"paragon",Scenario1[loser2-cp],ParagonEquipScenario1[[#This Row],[level]])</f>
        <v>19</v>
      </c>
    </row>
    <row r="26" spans="1:21" x14ac:dyDescent="0.25">
      <c r="L26" s="17" t="s">
        <v>112</v>
      </c>
      <c r="M26">
        <f>COUNTIF(Scenario1[winner1-ability1],ParagonAbilities1Scenario1[[#This Row],[ability]])+COUNTIF(Scenario1[winner2-ability1],ParagonAbilities1Scenario1[[#This Row],[ability]])+COUNTIF(Scenario1[loser1-ability1],ParagonAbilities1Scenario1[[#This Row],[ability]])+COUNTIF(Scenario1[loser2-ability1],ParagonAbilities1Scenario1[[#This Row],[ability]])</f>
        <v>0</v>
      </c>
      <c r="N26">
        <f>COUNTIF(Scenario1[winner1-ability1],ParagonAbilities1Scenario1[[#This Row],[ability]])+COUNTIF(Scenario1[winner2-ability1],ParagonAbilities1Scenario1[[#This Row],[ability]])</f>
        <v>0</v>
      </c>
      <c r="O26" s="3">
        <f>IF(SUM(ParagonAbilities1Scenario1[[#This Row],[takes]]) &gt; 0,ParagonAbilities1Scenario1[[#This Row],[takes]]/SUM(ParagonAbilities1Scenario1[takes]),0)</f>
        <v>0</v>
      </c>
      <c r="P26" s="3">
        <f>IF(ParagonAbilities1Scenario1[[#This Row],[takes]]&gt;0,ParagonAbilities1Scenario1[[#This Row],[wins]]/ParagonAbilities1Scenario1[[#This Row],[takes]],0)</f>
        <v>0</v>
      </c>
      <c r="R26">
        <v>3</v>
      </c>
      <c r="S26">
        <f>COUNTIFS(Scenario1[winner1],"paragon",Scenario1[winner1-pw],ParagonEquipScenario1[[#This Row],[level]])+COUNTIFS(Scenario1[winner2],"paragon",Scenario1[winner2-pw],ParagonEquipScenario1[[#This Row],[level]])+COUNTIFS(Scenario1[loser1],"paragon",Scenario1[loser1-pw],ParagonEquipScenario1[[#This Row],[level]])+COUNTIFS(Scenario1[loser2],"paragon",Scenario1[loser2-pw],ParagonEquipScenario1[[#This Row],[level]])</f>
        <v>18</v>
      </c>
      <c r="T26">
        <f>COUNTIFS(Scenario1[winner1],"paragon",Scenario1[winner1-sw],ParagonEquipScenario1[[#This Row],[level]])+COUNTIFS(Scenario1[winner2],"paragon",Scenario1[winner2-sw],ParagonEquipScenario1[[#This Row],[level]])+COUNTIFS(Scenario1[loser1],"paragon",Scenario1[loser1-sw],ParagonEquipScenario1[[#This Row],[level]])+COUNTIFS(Scenario1[loser2],"paragon",Scenario1[loser2-sw],ParagonEquipScenario1[[#This Row],[level]])</f>
        <v>22</v>
      </c>
      <c r="U26" s="18">
        <f>COUNTIFS(Scenario1[winner1],"paragon",Scenario1[winner1-cp],ParagonEquipScenario1[[#This Row],[level]])+COUNTIFS(Scenario1[winner2],"paragon",Scenario1[winner2-cp],ParagonEquipScenario1[[#This Row],[level]])+COUNTIFS(Scenario1[loser1],"paragon",Scenario1[loser1-cp],ParagonEquipScenario1[[#This Row],[level]])+COUNTIFS(Scenario1[loser2],"paragon",Scenario1[loser2-cp],ParagonEquipScenario1[[#This Row],[level]])</f>
        <v>9</v>
      </c>
    </row>
    <row r="27" spans="1:21" x14ac:dyDescent="0.25">
      <c r="L27" s="17"/>
      <c r="O27" s="3"/>
      <c r="P27" s="3"/>
      <c r="U27" s="18"/>
    </row>
    <row r="28" spans="1:21" x14ac:dyDescent="0.25">
      <c r="L28" s="19" t="s">
        <v>109</v>
      </c>
      <c r="M28" s="8" t="s">
        <v>110</v>
      </c>
      <c r="N28" s="8" t="s">
        <v>79</v>
      </c>
      <c r="O28" s="9" t="s">
        <v>117</v>
      </c>
      <c r="P28" s="9" t="s">
        <v>118</v>
      </c>
      <c r="U28" s="18"/>
    </row>
    <row r="29" spans="1:21" x14ac:dyDescent="0.25">
      <c r="L29" s="20" t="s">
        <v>55</v>
      </c>
      <c r="M29" s="2">
        <f>COUNTIF(Scenario1[winner1-ability2],ParagonAbilities2Scenario1[[#This Row],[ability]])+COUNTIF(Scenario1[winner2-ability2],ParagonAbilities2Scenario1[[#This Row],[ability]])+COUNTIF(Scenario1[loser1-ability2],ParagonAbilities2Scenario1[[#This Row],[ability]])+COUNTIF(Scenario1[loser2-ability2],ParagonAbilities2Scenario1[[#This Row],[ability]])</f>
        <v>8</v>
      </c>
      <c r="N29" s="2">
        <f>COUNTIF(Scenario1[winner1-ability2],ParagonAbilities2Scenario1[[#This Row],[ability]])+COUNTIF(Scenario1[winner2-ability2],ParagonAbilities2Scenario1[[#This Row],[ability]])</f>
        <v>6</v>
      </c>
      <c r="O29" s="12">
        <f>IF(SUM(ParagonAbilities2Scenario1[[#This Row],[takes]]) &gt; 0,ParagonAbilities2Scenario1[[#This Row],[takes]]/SUM(ParagonAbilities2Scenario1[takes]),0)</f>
        <v>0.14035087719298245</v>
      </c>
      <c r="P29" s="12">
        <f>IF(ParagonAbilities2Scenario1[[#This Row],[takes]]&gt;0,ParagonAbilities2Scenario1[[#This Row],[wins]]/ParagonAbilities2Scenario1[[#This Row],[takes]],0)</f>
        <v>0.75</v>
      </c>
      <c r="U29" s="18"/>
    </row>
    <row r="30" spans="1:21" x14ac:dyDescent="0.25">
      <c r="L30" s="17" t="s">
        <v>83</v>
      </c>
      <c r="M30" s="2">
        <f>COUNTIF(Scenario1[winner1-ability2],ParagonAbilities2Scenario1[[#This Row],[ability]])+COUNTIF(Scenario1[winner2-ability2],ParagonAbilities2Scenario1[[#This Row],[ability]])+COUNTIF(Scenario1[loser1-ability2],ParagonAbilities2Scenario1[[#This Row],[ability]])+COUNTIF(Scenario1[loser2-ability2],ParagonAbilities2Scenario1[[#This Row],[ability]])</f>
        <v>34</v>
      </c>
      <c r="N30" s="2">
        <f>COUNTIF(Scenario1[winner1-ability2],ParagonAbilities2Scenario1[[#This Row],[ability]])+COUNTIF(Scenario1[winner2-ability2],ParagonAbilities2Scenario1[[#This Row],[ability]])</f>
        <v>17</v>
      </c>
      <c r="O30" s="3">
        <f>IF(SUM(ParagonAbilities2Scenario1[[#This Row],[takes]]) &gt; 0,ParagonAbilities2Scenario1[[#This Row],[takes]]/SUM(ParagonAbilities2Scenario1[takes]),0)</f>
        <v>0.59649122807017541</v>
      </c>
      <c r="P30" s="3">
        <f>IF(ParagonAbilities2Scenario1[[#This Row],[takes]]&gt;0,ParagonAbilities2Scenario1[[#This Row],[wins]]/ParagonAbilities2Scenario1[[#This Row],[takes]],0)</f>
        <v>0.5</v>
      </c>
      <c r="U30" s="18"/>
    </row>
    <row r="31" spans="1:21" x14ac:dyDescent="0.25">
      <c r="L31" s="21" t="s">
        <v>113</v>
      </c>
      <c r="M31" s="2">
        <f>COUNTIF(Scenario1[winner1-ability2],ParagonAbilities2Scenario1[[#This Row],[ability]])+COUNTIF(Scenario1[winner2-ability2],ParagonAbilities2Scenario1[[#This Row],[ability]])+COUNTIF(Scenario1[loser1-ability2],ParagonAbilities2Scenario1[[#This Row],[ability]])+COUNTIF(Scenario1[loser2-ability2],ParagonAbilities2Scenario1[[#This Row],[ability]])</f>
        <v>15</v>
      </c>
      <c r="N31" s="2">
        <f>COUNTIF(Scenario1[winner1-ability2],ParagonAbilities2Scenario1[[#This Row],[ability]])+COUNTIF(Scenario1[winner2-ability2],ParagonAbilities2Scenario1[[#This Row],[ability]])</f>
        <v>12</v>
      </c>
      <c r="O31" s="13">
        <f>IF(SUM(ParagonAbilities2Scenario1[[#This Row],[takes]]) &gt; 0,ParagonAbilities2Scenario1[[#This Row],[takes]]/SUM(ParagonAbilities2Scenario1[takes]),0)</f>
        <v>0.26315789473684209</v>
      </c>
      <c r="P31" s="13">
        <f>IF(ParagonAbilities2Scenario1[[#This Row],[takes]]&gt;0,ParagonAbilities2Scenario1[[#This Row],[wins]]/ParagonAbilities2Scenario1[[#This Row],[takes]],0)</f>
        <v>0.8</v>
      </c>
      <c r="U31" s="18"/>
    </row>
    <row r="32" spans="1:21" x14ac:dyDescent="0.25">
      <c r="L32" s="17"/>
      <c r="O32" s="3"/>
      <c r="P32" s="3"/>
      <c r="U32" s="18"/>
    </row>
    <row r="33" spans="12:21" x14ac:dyDescent="0.25">
      <c r="L33" s="19" t="s">
        <v>109</v>
      </c>
      <c r="M33" s="8" t="s">
        <v>110</v>
      </c>
      <c r="N33" s="8" t="s">
        <v>79</v>
      </c>
      <c r="O33" s="9" t="s">
        <v>117</v>
      </c>
      <c r="P33" s="9" t="s">
        <v>118</v>
      </c>
      <c r="U33" s="18"/>
    </row>
    <row r="34" spans="12:21" x14ac:dyDescent="0.25">
      <c r="L34" s="22" t="s">
        <v>114</v>
      </c>
      <c r="M34" s="1">
        <f>COUNTIF(Scenario1[winner1-ability3],ParagonAbilities3Scenario1[[#This Row],[ability]])+COUNTIF(Scenario1[winner2-ability3],ParagonAbilities3Scenario1[[#This Row],[ability]])+COUNTIF(Scenario1[loser1-ability3],ParagonAbilities3Scenario1[[#This Row],[ability]])+COUNTIF(Scenario1[loser2-ability3],ParagonAbilities3Scenario1[[#This Row],[ability]])</f>
        <v>5</v>
      </c>
      <c r="N34" s="1">
        <f>COUNTIF(Scenario1[winner1-ability3],ParagonAbilities3Scenario1[[#This Row],[ability]])+COUNTIF(Scenario1[winner2-ability3],ParagonAbilities3Scenario1[[#This Row],[ability]])</f>
        <v>5</v>
      </c>
      <c r="O34" s="14">
        <f>IF(SUM(ParagonAbilities3Scenario1[[#This Row],[takes]]) &gt; 0,ParagonAbilities3Scenario1[[#This Row],[takes]]/SUM(ParagonAbilities3Scenario1[takes]),0)</f>
        <v>0.2</v>
      </c>
      <c r="P34" s="14">
        <f>IF(ParagonAbilities3Scenario1[[#This Row],[takes]]&gt;0,ParagonAbilities3Scenario1[[#This Row],[wins]]/ParagonAbilities3Scenario1[[#This Row],[takes]],0)</f>
        <v>1</v>
      </c>
      <c r="U34" s="18"/>
    </row>
    <row r="35" spans="12:21" x14ac:dyDescent="0.25">
      <c r="L35" s="20" t="s">
        <v>105</v>
      </c>
      <c r="M35" s="2">
        <f>COUNTIF(Scenario1[winner1-ability3],ParagonAbilities3Scenario1[[#This Row],[ability]])+COUNTIF(Scenario1[winner2-ability3],ParagonAbilities3Scenario1[[#This Row],[ability]])+COUNTIF(Scenario1[loser1-ability3],ParagonAbilities3Scenario1[[#This Row],[ability]])+COUNTIF(Scenario1[loser2-ability3],ParagonAbilities3Scenario1[[#This Row],[ability]])</f>
        <v>16</v>
      </c>
      <c r="N35" s="2">
        <f>COUNTIF(Scenario1[winner1-ability3],ParagonAbilities3Scenario1[[#This Row],[ability]])+COUNTIF(Scenario1[winner2-ability3],ParagonAbilities3Scenario1[[#This Row],[ability]])</f>
        <v>8</v>
      </c>
      <c r="O35" s="12">
        <f>IF(SUM(ParagonAbilities3Scenario1[[#This Row],[takes]]) &gt; 0,ParagonAbilities3Scenario1[[#This Row],[takes]]/SUM(ParagonAbilities3Scenario1[takes]),0)</f>
        <v>0.64</v>
      </c>
      <c r="P35" s="12">
        <f>IF(ParagonAbilities3Scenario1[[#This Row],[takes]]&gt;0,ParagonAbilities3Scenario1[[#This Row],[wins]]/ParagonAbilities3Scenario1[[#This Row],[takes]],0)</f>
        <v>0.5</v>
      </c>
      <c r="U35" s="18"/>
    </row>
    <row r="36" spans="12:21" x14ac:dyDescent="0.25">
      <c r="L36" s="23" t="s">
        <v>97</v>
      </c>
      <c r="M36" s="1">
        <f>COUNTIF(Scenario1[winner1-ability3],ParagonAbilities3Scenario1[[#This Row],[ability]])+COUNTIF(Scenario1[winner2-ability3],ParagonAbilities3Scenario1[[#This Row],[ability]])+COUNTIF(Scenario1[loser1-ability3],ParagonAbilities3Scenario1[[#This Row],[ability]])+COUNTIF(Scenario1[loser2-ability3],ParagonAbilities3Scenario1[[#This Row],[ability]])</f>
        <v>4</v>
      </c>
      <c r="N36" s="1">
        <f>COUNTIF(Scenario1[winner1-ability3],ParagonAbilities3Scenario1[[#This Row],[ability]])+COUNTIF(Scenario1[winner2-ability3],ParagonAbilities3Scenario1[[#This Row],[ability]])</f>
        <v>2</v>
      </c>
      <c r="O36" s="15">
        <f>IF(SUM(ParagonAbilities3Scenario1[[#This Row],[takes]]) &gt; 0,ParagonAbilities3Scenario1[[#This Row],[takes]]/SUM(ParagonAbilities3Scenario1[takes]),0)</f>
        <v>0.16</v>
      </c>
      <c r="P36" s="15">
        <f>IF(ParagonAbilities3Scenario1[[#This Row],[takes]]&gt;0,ParagonAbilities3Scenario1[[#This Row],[wins]]/ParagonAbilities3Scenario1[[#This Row],[takes]],0)</f>
        <v>0.5</v>
      </c>
      <c r="U36" s="18"/>
    </row>
    <row r="37" spans="12:21" x14ac:dyDescent="0.25">
      <c r="L37" s="17"/>
      <c r="O37" s="3"/>
      <c r="P37" s="3"/>
      <c r="U37" s="18"/>
    </row>
    <row r="38" spans="12:21" x14ac:dyDescent="0.25">
      <c r="L38" s="19" t="s">
        <v>109</v>
      </c>
      <c r="M38" s="8" t="s">
        <v>110</v>
      </c>
      <c r="N38" s="8" t="s">
        <v>79</v>
      </c>
      <c r="O38" s="9" t="s">
        <v>117</v>
      </c>
      <c r="P38" s="9" t="s">
        <v>118</v>
      </c>
      <c r="U38" s="18"/>
    </row>
    <row r="39" spans="12:21" x14ac:dyDescent="0.25">
      <c r="L39" s="20" t="s">
        <v>98</v>
      </c>
      <c r="M39" s="2">
        <f>COUNTIF(Scenario1[winner1-ability4],ParagonAbilities4Scenario1[[#This Row],[ability]])+COUNTIF(Scenario1[winner2-ability4],ParagonAbilities4Scenario1[[#This Row],[ability]])+COUNTIF(Scenario1[loser1-ability4],ParagonAbilities4Scenario1[[#This Row],[ability]])+COUNTIF(Scenario1[loser2-ability4],ParagonAbilities4Scenario1[[#This Row],[ability]])</f>
        <v>2</v>
      </c>
      <c r="N39" s="2">
        <f>COUNTIF(Scenario1[winner1-ability4],ParagonAbilities4Scenario1[[#This Row],[ability]])+COUNTIF(Scenario1[winner2-ability4],ParagonAbilities4Scenario1[[#This Row],[ability]])</f>
        <v>2</v>
      </c>
      <c r="O39" s="12">
        <f>IF(SUM(ParagonAbilities4Scenario1[[#This Row],[takes]]) &gt; 0,ParagonAbilities4Scenario1[[#This Row],[takes]]/SUM(ParagonAbilities4Scenario1[takes]),0)</f>
        <v>0.66666666666666663</v>
      </c>
      <c r="P39" s="12">
        <f>IF(ParagonAbilities4Scenario1[[#This Row],[takes]]&gt;0,ParagonAbilities4Scenario1[[#This Row],[wins]]/ParagonAbilities4Scenario1[[#This Row],[takes]],0)</f>
        <v>1</v>
      </c>
      <c r="U39" s="18"/>
    </row>
    <row r="40" spans="12:21" x14ac:dyDescent="0.25">
      <c r="L40" s="20" t="s">
        <v>115</v>
      </c>
      <c r="M40" s="2">
        <f>COUNTIF(Scenario1[winner1-ability4],ParagonAbilities4Scenario1[[#This Row],[ability]])+COUNTIF(Scenario1[winner2-ability4],ParagonAbilities4Scenario1[[#This Row],[ability]])+COUNTIF(Scenario1[loser1-ability4],ParagonAbilities4Scenario1[[#This Row],[ability]])+COUNTIF(Scenario1[loser2-ability4],ParagonAbilities4Scenario1[[#This Row],[ability]])</f>
        <v>0</v>
      </c>
      <c r="N40" s="2">
        <f>COUNTIF(Scenario1[winner1-ability4],ParagonAbilities4Scenario1[[#This Row],[ability]])+COUNTIF(Scenario1[winner2-ability4],ParagonAbilities4Scenario1[[#This Row],[ability]])</f>
        <v>0</v>
      </c>
      <c r="O40" s="12">
        <f>IF(SUM(ParagonAbilities4Scenario1[[#This Row],[takes]]) &gt; 0,ParagonAbilities4Scenario1[[#This Row],[takes]]/SUM(ParagonAbilities4Scenario1[takes]),0)</f>
        <v>0</v>
      </c>
      <c r="P40" s="12">
        <f>IF(ParagonAbilities4Scenario1[[#This Row],[takes]]&gt;0,ParagonAbilities4Scenario1[[#This Row],[wins]]/ParagonAbilities4Scenario1[[#This Row],[takes]],0)</f>
        <v>0</v>
      </c>
      <c r="U40" s="18"/>
    </row>
    <row r="41" spans="12:21" ht="15.75" thickBot="1" x14ac:dyDescent="0.3">
      <c r="L41" s="24" t="s">
        <v>116</v>
      </c>
      <c r="M41" s="2">
        <f>COUNTIF(Scenario1[winner1-ability4],ParagonAbilities4Scenario1[[#This Row],[ability]])+COUNTIF(Scenario1[winner2-ability4],ParagonAbilities4Scenario1[[#This Row],[ability]])+COUNTIF(Scenario1[loser1-ability4],ParagonAbilities4Scenario1[[#This Row],[ability]])+COUNTIF(Scenario1[loser2-ability4],ParagonAbilities4Scenario1[[#This Row],[ability]])</f>
        <v>1</v>
      </c>
      <c r="N41" s="2">
        <f>COUNTIF(Scenario1[winner1-ability4],ParagonAbilities4Scenario1[[#This Row],[ability]])+COUNTIF(Scenario1[winner2-ability4],ParagonAbilities4Scenario1[[#This Row],[ability]])</f>
        <v>1</v>
      </c>
      <c r="O41" s="26">
        <f>IF(SUM(ParagonAbilities4Scenario1[[#This Row],[takes]]) &gt; 0,ParagonAbilities4Scenario1[[#This Row],[takes]]/SUM(ParagonAbilities4Scenario1[takes]),0)</f>
        <v>0.33333333333333331</v>
      </c>
      <c r="P41" s="26">
        <f>IF(ParagonAbilities4Scenario1[[#This Row],[takes]]&gt;0,ParagonAbilities4Scenario1[[#This Row],[wins]]/ParagonAbilities4Scenario1[[#This Row],[takes]],0)</f>
        <v>1</v>
      </c>
      <c r="Q41" s="27"/>
      <c r="R41" s="27"/>
      <c r="S41" s="27"/>
      <c r="T41" s="27"/>
      <c r="U41" s="28"/>
    </row>
    <row r="42" spans="12:21" ht="15.75" thickBot="1" x14ac:dyDescent="0.3"/>
    <row r="43" spans="12:21" ht="15.75" thickBot="1" x14ac:dyDescent="0.3">
      <c r="L43" s="37" t="s">
        <v>184</v>
      </c>
      <c r="M43" s="38"/>
      <c r="N43" s="38"/>
      <c r="O43" s="38"/>
      <c r="P43" s="38"/>
      <c r="Q43" s="38"/>
      <c r="R43" s="38"/>
      <c r="S43" s="38"/>
      <c r="T43" s="38"/>
      <c r="U43" s="39"/>
    </row>
    <row r="44" spans="12:21" x14ac:dyDescent="0.25">
      <c r="L44" s="17" t="s">
        <v>109</v>
      </c>
      <c r="M44" t="s">
        <v>110</v>
      </c>
      <c r="N44" t="s">
        <v>79</v>
      </c>
      <c r="O44" s="3" t="s">
        <v>117</v>
      </c>
      <c r="P44" s="3" t="s">
        <v>118</v>
      </c>
      <c r="R44" t="s">
        <v>161</v>
      </c>
      <c r="S44" t="s">
        <v>162</v>
      </c>
      <c r="T44" t="s">
        <v>163</v>
      </c>
      <c r="U44" s="18" t="s">
        <v>164</v>
      </c>
    </row>
    <row r="45" spans="12:21" x14ac:dyDescent="0.25">
      <c r="L45" s="17" t="s">
        <v>54</v>
      </c>
      <c r="M45">
        <f>COUNTIF(Scenario2[winner1-ability1],ParagonAbilities1Scenario2[[#This Row],[ability]])+COUNTIF(Scenario2[loser1-ability1],ParagonAbilities1Scenario2[[#This Row],[ability]])</f>
        <v>0</v>
      </c>
      <c r="N45">
        <f>COUNTIF(Scenario2[winner1-ability1],ParagonAbilities1Scenario2[[#This Row],[ability]])</f>
        <v>0</v>
      </c>
      <c r="O45" s="3">
        <f>IF(SUM(ParagonAbilities1Scenario2[[#This Row],[takes]]) &gt; 0,ParagonAbilities1Scenario2[[#This Row],[takes]]/SUM(ParagonAbilities1Scenario2[takes]),0)</f>
        <v>0</v>
      </c>
      <c r="P45" s="3">
        <f>IF(ParagonAbilities1Scenario2[[#This Row],[takes]]&gt;0,ParagonAbilities1Scenario2[[#This Row],[wins]]/ParagonAbilities1Scenario2[[#This Row],[takes]],0)</f>
        <v>0</v>
      </c>
      <c r="R45">
        <v>1</v>
      </c>
      <c r="S45">
        <f>COUNTIFS(Scenario2[winner1],"paragon",Scenario2[winner1-pw],ParagonEquipScenario2[[#This Row],[level]])+COUNTIFS(Scenario2[loser1],"paragon",Scenario2[loser1-pw],ParagonEquipScenario2[[#This Row],[level]])</f>
        <v>2</v>
      </c>
      <c r="T45">
        <f>COUNTIFS(Scenario2[winner1],"paragon",Scenario2[winner1-sw],ParagonEquipScenario2[[#This Row],[level]])+COUNTIFS(Scenario2[loser1],"paragon",Scenario2[loser1-sw],ParagonEquipScenario2[[#This Row],[level]])</f>
        <v>4</v>
      </c>
      <c r="U45" s="18">
        <f>COUNTIFS(Scenario2[winner1],"paragon",Scenario2[winner1-cp],ParagonEquipScenario2[[#This Row],[level]])+COUNTIFS(Scenario2[loser1],"paragon",Scenario2[loser1-cp],ParagonEquipScenario2[[#This Row],[level]])</f>
        <v>7</v>
      </c>
    </row>
    <row r="46" spans="12:21" x14ac:dyDescent="0.25">
      <c r="L46" s="17" t="s">
        <v>111</v>
      </c>
      <c r="M46">
        <f>COUNTIF(Scenario2[winner1-ability1],ParagonAbilities1Scenario2[[#This Row],[ability]])+COUNTIF(Scenario2[loser1-ability1],ParagonAbilities1Scenario2[[#This Row],[ability]])</f>
        <v>4</v>
      </c>
      <c r="N46">
        <f>COUNTIF(Scenario2[winner1-ability1],ParagonAbilities1Scenario2[[#This Row],[ability]])</f>
        <v>2</v>
      </c>
      <c r="O46" s="3">
        <f>IF(SUM(ParagonAbilities1Scenario2[[#This Row],[takes]]) &gt; 0,ParagonAbilities1Scenario2[[#This Row],[takes]]/SUM(ParagonAbilities1Scenario2[takes]),0)</f>
        <v>0.2857142857142857</v>
      </c>
      <c r="P46" s="3">
        <f>IF(ParagonAbilities1Scenario2[[#This Row],[takes]]&gt;0,ParagonAbilities1Scenario2[[#This Row],[wins]]/ParagonAbilities1Scenario2[[#This Row],[takes]],0)</f>
        <v>0.5</v>
      </c>
      <c r="R46">
        <v>2</v>
      </c>
      <c r="S46">
        <f>COUNTIFS(Scenario2[winner1],"paragon",Scenario2[winner1-pw],ParagonEquipScenario2[[#This Row],[level]])+COUNTIFS(Scenario2[loser1],"paragon",Scenario2[loser1-pw],ParagonEquipScenario2[[#This Row],[level]])</f>
        <v>4</v>
      </c>
      <c r="T46">
        <f>COUNTIFS(Scenario2[winner1],"paragon",Scenario2[winner1-sw],ParagonEquipScenario2[[#This Row],[level]])+COUNTIFS(Scenario2[loser1],"paragon",Scenario2[loser1-sw],ParagonEquipScenario2[[#This Row],[level]])</f>
        <v>2</v>
      </c>
      <c r="U46" s="18">
        <f>COUNTIFS(Scenario2[winner1],"paragon",Scenario2[winner1-cp],ParagonEquipScenario2[[#This Row],[level]])+COUNTIFS(Scenario2[loser1],"paragon",Scenario2[loser1-cp],ParagonEquipScenario2[[#This Row],[level]])</f>
        <v>2</v>
      </c>
    </row>
    <row r="47" spans="12:21" x14ac:dyDescent="0.25">
      <c r="L47" s="17" t="s">
        <v>112</v>
      </c>
      <c r="M47">
        <f>COUNTIF(Scenario2[winner1-ability1],ParagonAbilities1Scenario2[[#This Row],[ability]])+COUNTIF(Scenario2[loser1-ability1],ParagonAbilities1Scenario2[[#This Row],[ability]])</f>
        <v>10</v>
      </c>
      <c r="N47">
        <f>COUNTIF(Scenario2[winner1-ability1],ParagonAbilities1Scenario2[[#This Row],[ability]])</f>
        <v>7</v>
      </c>
      <c r="O47" s="3">
        <f>IF(SUM(ParagonAbilities1Scenario2[[#This Row],[takes]]) &gt; 0,ParagonAbilities1Scenario2[[#This Row],[takes]]/SUM(ParagonAbilities1Scenario2[takes]),0)</f>
        <v>0.7142857142857143</v>
      </c>
      <c r="P47" s="3">
        <f>IF(ParagonAbilities1Scenario2[[#This Row],[takes]]&gt;0,ParagonAbilities1Scenario2[[#This Row],[wins]]/ParagonAbilities1Scenario2[[#This Row],[takes]],0)</f>
        <v>0.7</v>
      </c>
      <c r="R47">
        <v>3</v>
      </c>
      <c r="S47">
        <f>COUNTIFS(Scenario2[winner1],"paragon",Scenario2[winner1-pw],ParagonEquipScenario2[[#This Row],[level]])+COUNTIFS(Scenario2[loser1],"paragon",Scenario2[loser1-pw],ParagonEquipScenario2[[#This Row],[level]])</f>
        <v>8</v>
      </c>
      <c r="T47">
        <f>COUNTIFS(Scenario2[winner1],"paragon",Scenario2[winner1-sw],ParagonEquipScenario2[[#This Row],[level]])+COUNTIFS(Scenario2[loser1],"paragon",Scenario2[loser1-sw],ParagonEquipScenario2[[#This Row],[level]])</f>
        <v>8</v>
      </c>
      <c r="U47" s="18">
        <f>COUNTIFS(Scenario2[winner1],"paragon",Scenario2[winner1-cp],ParagonEquipScenario2[[#This Row],[level]])+COUNTIFS(Scenario2[loser1],"paragon",Scenario2[loser1-cp],ParagonEquipScenario2[[#This Row],[level]])</f>
        <v>5</v>
      </c>
    </row>
    <row r="48" spans="12:21" x14ac:dyDescent="0.25">
      <c r="L48" s="17"/>
      <c r="O48" s="3"/>
      <c r="P48" s="3"/>
      <c r="U48" s="18"/>
    </row>
    <row r="49" spans="12:21" x14ac:dyDescent="0.25">
      <c r="L49" s="19" t="s">
        <v>109</v>
      </c>
      <c r="M49" s="8" t="s">
        <v>110</v>
      </c>
      <c r="N49" s="8" t="s">
        <v>79</v>
      </c>
      <c r="O49" s="9" t="s">
        <v>117</v>
      </c>
      <c r="P49" s="9" t="s">
        <v>118</v>
      </c>
      <c r="U49" s="18"/>
    </row>
    <row r="50" spans="12:21" x14ac:dyDescent="0.25">
      <c r="L50" s="20" t="s">
        <v>55</v>
      </c>
      <c r="M50" s="2">
        <f>COUNTIF(Scenario2[winner1-ability2],ParagonAbilities2Scenario2[[#This Row],[ability]])+COUNTIF(Scenario2[loser1-ability2],ParagonAbilities2Scenario2[[#This Row],[ability]])</f>
        <v>10</v>
      </c>
      <c r="N50" s="2">
        <f>COUNTIF(Scenario2[winner1-ability2],ParagonAbilities2Scenario2[[#This Row],[ability]])</f>
        <v>8</v>
      </c>
      <c r="O50" s="12">
        <f>IF(SUM(ParagonAbilities2Scenario2[[#This Row],[takes]]) &gt; 0,ParagonAbilities2Scenario2[[#This Row],[takes]]/SUM(ParagonAbilities2Scenario2[takes]),0)</f>
        <v>0.7142857142857143</v>
      </c>
      <c r="P50" s="12">
        <f>IF(ParagonAbilities2Scenario2[[#This Row],[takes]]&gt;0,ParagonAbilities2Scenario2[[#This Row],[wins]]/ParagonAbilities2Scenario2[[#This Row],[takes]],0)</f>
        <v>0.8</v>
      </c>
      <c r="U50" s="18"/>
    </row>
    <row r="51" spans="12:21" x14ac:dyDescent="0.25">
      <c r="L51" s="17" t="s">
        <v>83</v>
      </c>
      <c r="M51" s="2">
        <f>COUNTIF(Scenario2[winner1-ability2],ParagonAbilities2Scenario2[[#This Row],[ability]])+COUNTIF(Scenario2[loser1-ability2],ParagonAbilities2Scenario2[[#This Row],[ability]])</f>
        <v>4</v>
      </c>
      <c r="N51" s="2">
        <f>COUNTIF(Scenario2[winner1-ability2],ParagonAbilities2Scenario2[[#This Row],[ability]])</f>
        <v>1</v>
      </c>
      <c r="O51" s="3">
        <f>IF(SUM(ParagonAbilities2Scenario2[[#This Row],[takes]]) &gt; 0,ParagonAbilities2Scenario2[[#This Row],[takes]]/SUM(ParagonAbilities2Scenario2[takes]),0)</f>
        <v>0.2857142857142857</v>
      </c>
      <c r="P51" s="3">
        <f>IF(ParagonAbilities2Scenario2[[#This Row],[takes]]&gt;0,ParagonAbilities2Scenario2[[#This Row],[wins]]/ParagonAbilities2Scenario2[[#This Row],[takes]],0)</f>
        <v>0.25</v>
      </c>
      <c r="U51" s="18"/>
    </row>
    <row r="52" spans="12:21" x14ac:dyDescent="0.25">
      <c r="L52" s="21" t="s">
        <v>113</v>
      </c>
      <c r="M52" s="2">
        <f>COUNTIF(Scenario2[winner1-ability2],ParagonAbilities2Scenario2[[#This Row],[ability]])+COUNTIF(Scenario2[loser1-ability2],ParagonAbilities2Scenario2[[#This Row],[ability]])</f>
        <v>0</v>
      </c>
      <c r="N52" s="2">
        <f>COUNTIF(Scenario2[winner1-ability2],ParagonAbilities2Scenario2[[#This Row],[ability]])</f>
        <v>0</v>
      </c>
      <c r="O52" s="13">
        <f>IF(SUM(ParagonAbilities2Scenario2[[#This Row],[takes]]) &gt; 0,ParagonAbilities2Scenario2[[#This Row],[takes]]/SUM(ParagonAbilities2Scenario2[takes]),0)</f>
        <v>0</v>
      </c>
      <c r="P52" s="13">
        <f>IF(ParagonAbilities2Scenario2[[#This Row],[takes]]&gt;0,ParagonAbilities2Scenario2[[#This Row],[wins]]/ParagonAbilities2Scenario2[[#This Row],[takes]],0)</f>
        <v>0</v>
      </c>
      <c r="U52" s="18"/>
    </row>
    <row r="53" spans="12:21" x14ac:dyDescent="0.25">
      <c r="L53" s="17"/>
      <c r="O53" s="3"/>
      <c r="P53" s="3"/>
      <c r="U53" s="18"/>
    </row>
    <row r="54" spans="12:21" x14ac:dyDescent="0.25">
      <c r="L54" s="19" t="s">
        <v>109</v>
      </c>
      <c r="M54" s="8" t="s">
        <v>110</v>
      </c>
      <c r="N54" s="8" t="s">
        <v>79</v>
      </c>
      <c r="O54" s="9" t="s">
        <v>117</v>
      </c>
      <c r="P54" s="9" t="s">
        <v>118</v>
      </c>
      <c r="U54" s="18"/>
    </row>
    <row r="55" spans="12:21" x14ac:dyDescent="0.25">
      <c r="L55" s="22" t="s">
        <v>114</v>
      </c>
      <c r="M55" s="1">
        <f>COUNTIF(Scenario2[winner1-ability3],ParagonAbilities3Scenario2[[#This Row],[ability]])+COUNTIF(Scenario2[loser1-ability3],ParagonAbilities3Scenario2[[#This Row],[ability]])</f>
        <v>5</v>
      </c>
      <c r="N55" s="1">
        <f>COUNTIF(Scenario2[winner1-ability3],ParagonAbilities3Scenario2[[#This Row],[ability]])</f>
        <v>4</v>
      </c>
      <c r="O55" s="14">
        <f>IF(SUM(ParagonAbilities3Scenario2[[#This Row],[takes]]) &gt; 0,ParagonAbilities3Scenario2[[#This Row],[takes]]/SUM(ParagonAbilities3Scenario2[takes]),0)</f>
        <v>0.41666666666666669</v>
      </c>
      <c r="P55" s="14">
        <f>IF(ParagonAbilities3Scenario2[[#This Row],[takes]]&gt;0,ParagonAbilities3Scenario2[[#This Row],[wins]]/ParagonAbilities3Scenario2[[#This Row],[takes]],0)</f>
        <v>0.8</v>
      </c>
      <c r="U55" s="18"/>
    </row>
    <row r="56" spans="12:21" x14ac:dyDescent="0.25">
      <c r="L56" s="20" t="s">
        <v>105</v>
      </c>
      <c r="M56" s="2">
        <f>COUNTIF(Scenario2[winner1-ability3],ParagonAbilities3Scenario2[[#This Row],[ability]])+COUNTIF(Scenario2[loser1-ability3],ParagonAbilities3Scenario2[[#This Row],[ability]])</f>
        <v>2</v>
      </c>
      <c r="N56" s="2">
        <f>COUNTIF(Scenario2[winner1-ability3],ParagonAbilities3Scenario2[[#This Row],[ability]])</f>
        <v>1</v>
      </c>
      <c r="O56" s="12">
        <f>IF(SUM(ParagonAbilities3Scenario2[[#This Row],[takes]]) &gt; 0,ParagonAbilities3Scenario2[[#This Row],[takes]]/SUM(ParagonAbilities3Scenario2[takes]),0)</f>
        <v>0.16666666666666666</v>
      </c>
      <c r="P56" s="12">
        <f>IF(ParagonAbilities3Scenario2[[#This Row],[takes]]&gt;0,ParagonAbilities3Scenario2[[#This Row],[wins]]/ParagonAbilities3Scenario2[[#This Row],[takes]],0)</f>
        <v>0.5</v>
      </c>
      <c r="U56" s="18"/>
    </row>
    <row r="57" spans="12:21" x14ac:dyDescent="0.25">
      <c r="L57" s="23" t="s">
        <v>97</v>
      </c>
      <c r="M57" s="1">
        <f>COUNTIF(Scenario2[winner1-ability3],ParagonAbilities3Scenario2[[#This Row],[ability]])+COUNTIF(Scenario2[loser1-ability3],ParagonAbilities3Scenario2[[#This Row],[ability]])</f>
        <v>5</v>
      </c>
      <c r="N57" s="1">
        <f>COUNTIF(Scenario2[winner1-ability3],ParagonAbilities3Scenario2[[#This Row],[ability]])</f>
        <v>2</v>
      </c>
      <c r="O57" s="15">
        <f>IF(SUM(ParagonAbilities3Scenario2[[#This Row],[takes]]) &gt; 0,ParagonAbilities3Scenario2[[#This Row],[takes]]/SUM(ParagonAbilities3Scenario2[takes]),0)</f>
        <v>0.41666666666666669</v>
      </c>
      <c r="P57" s="15">
        <f>IF(ParagonAbilities3Scenario2[[#This Row],[takes]]&gt;0,ParagonAbilities3Scenario2[[#This Row],[wins]]/ParagonAbilities3Scenario2[[#This Row],[takes]],0)</f>
        <v>0.4</v>
      </c>
      <c r="U57" s="18"/>
    </row>
    <row r="58" spans="12:21" x14ac:dyDescent="0.25">
      <c r="L58" s="17"/>
      <c r="O58" s="3"/>
      <c r="P58" s="3"/>
      <c r="U58" s="18"/>
    </row>
    <row r="59" spans="12:21" x14ac:dyDescent="0.25">
      <c r="L59" s="19" t="s">
        <v>109</v>
      </c>
      <c r="M59" s="8" t="s">
        <v>110</v>
      </c>
      <c r="N59" s="8" t="s">
        <v>79</v>
      </c>
      <c r="O59" s="9" t="s">
        <v>117</v>
      </c>
      <c r="P59" s="9" t="s">
        <v>118</v>
      </c>
      <c r="U59" s="18"/>
    </row>
    <row r="60" spans="12:21" x14ac:dyDescent="0.25">
      <c r="L60" s="20" t="s">
        <v>98</v>
      </c>
      <c r="M60" s="2">
        <f>COUNTIF(Scenario2[winner1-ability4],ParagonAbilities4Scenario2[[#This Row],[ability]])+COUNTIF(Scenario2[loser1-ability4],ParagonAbilities4Scenario2[[#This Row],[ability]])</f>
        <v>5</v>
      </c>
      <c r="N60" s="2">
        <f>COUNTIF(Scenario2[winner1-ability4],ParagonAbilities4Scenario2[[#This Row],[ability]])</f>
        <v>4</v>
      </c>
      <c r="O60" s="12">
        <f>IF(SUM(ParagonAbilities4Scenario2[[#This Row],[takes]]) &gt; 0,ParagonAbilities4Scenario2[[#This Row],[takes]]/SUM(ParagonAbilities4Scenario2[takes]),0)</f>
        <v>0.45454545454545453</v>
      </c>
      <c r="P60" s="12">
        <f>IF(ParagonAbilities4Scenario2[[#This Row],[takes]]&gt;0,ParagonAbilities4Scenario2[[#This Row],[wins]]/ParagonAbilities4Scenario2[[#This Row],[takes]],0)</f>
        <v>0.8</v>
      </c>
      <c r="U60" s="18"/>
    </row>
    <row r="61" spans="12:21" x14ac:dyDescent="0.25">
      <c r="L61" s="20" t="s">
        <v>115</v>
      </c>
      <c r="M61" s="2">
        <f>COUNTIF(Scenario2[winner1-ability4],ParagonAbilities4Scenario2[[#This Row],[ability]])+COUNTIF(Scenario2[loser1-ability4],ParagonAbilities4Scenario2[[#This Row],[ability]])</f>
        <v>6</v>
      </c>
      <c r="N61" s="2">
        <f>COUNTIF(Scenario2[winner1-ability4],ParagonAbilities4Scenario2[[#This Row],[ability]])</f>
        <v>3</v>
      </c>
      <c r="O61" s="12">
        <f>IF(SUM(ParagonAbilities4Scenario2[[#This Row],[takes]]) &gt; 0,ParagonAbilities4Scenario2[[#This Row],[takes]]/SUM(ParagonAbilities4Scenario2[takes]),0)</f>
        <v>0.54545454545454541</v>
      </c>
      <c r="P61" s="12">
        <f>IF(ParagonAbilities4Scenario2[[#This Row],[takes]]&gt;0,ParagonAbilities4Scenario2[[#This Row],[wins]]/ParagonAbilities4Scenario2[[#This Row],[takes]],0)</f>
        <v>0.5</v>
      </c>
      <c r="U61" s="18"/>
    </row>
    <row r="62" spans="12:21" ht="15.75" thickBot="1" x14ac:dyDescent="0.3">
      <c r="L62" s="24" t="s">
        <v>116</v>
      </c>
      <c r="M62" s="2">
        <f>COUNTIF(Scenario2[winner1-ability4],ParagonAbilities4Scenario2[[#This Row],[ability]])+COUNTIF(Scenario2[loser1-ability4],ParagonAbilities4Scenario2[[#This Row],[ability]])</f>
        <v>0</v>
      </c>
      <c r="N62" s="2">
        <f>COUNTIF(Scenario2[winner1-ability4],ParagonAbilities4Scenario2[[#This Row],[ability]])</f>
        <v>0</v>
      </c>
      <c r="O62" s="26">
        <f>IF(SUM(ParagonAbilities4Scenario2[[#This Row],[takes]]) &gt; 0,ParagonAbilities4Scenario2[[#This Row],[takes]]/SUM(ParagonAbilities4Scenario2[takes]),0)</f>
        <v>0</v>
      </c>
      <c r="P62" s="26">
        <f>IF(ParagonAbilities4Scenario2[[#This Row],[takes]]&gt;0,ParagonAbilities4Scenario2[[#This Row],[wins]]/ParagonAbilities4Scenario2[[#This Row],[takes]],0)</f>
        <v>0</v>
      </c>
      <c r="Q62" s="27"/>
      <c r="R62" s="27"/>
      <c r="S62" s="27"/>
      <c r="T62" s="27"/>
      <c r="U62" s="28"/>
    </row>
    <row r="63" spans="12:21" ht="15.75" thickBot="1" x14ac:dyDescent="0.3"/>
    <row r="64" spans="12:21" ht="15.75" thickBot="1" x14ac:dyDescent="0.3">
      <c r="L64" s="37" t="s">
        <v>209</v>
      </c>
      <c r="M64" s="38"/>
      <c r="N64" s="38"/>
      <c r="O64" s="38"/>
      <c r="P64" s="38"/>
      <c r="Q64" s="38"/>
      <c r="R64" s="38"/>
      <c r="S64" s="38"/>
      <c r="T64" s="38"/>
      <c r="U64" s="39"/>
    </row>
    <row r="65" spans="12:21" x14ac:dyDescent="0.25">
      <c r="L65" s="17" t="s">
        <v>109</v>
      </c>
      <c r="M65" t="s">
        <v>110</v>
      </c>
      <c r="N65" t="s">
        <v>79</v>
      </c>
      <c r="O65" s="3" t="s">
        <v>117</v>
      </c>
      <c r="P65" s="3" t="s">
        <v>118</v>
      </c>
      <c r="R65" t="s">
        <v>161</v>
      </c>
      <c r="S65" t="s">
        <v>162</v>
      </c>
      <c r="T65" t="s">
        <v>163</v>
      </c>
      <c r="U65" s="18" t="s">
        <v>164</v>
      </c>
    </row>
    <row r="66" spans="12:21" x14ac:dyDescent="0.25">
      <c r="L66" s="17" t="s">
        <v>54</v>
      </c>
      <c r="M66">
        <f>COUNTIF(Scenario3[winner1-ability1],ParagonAbilities1Scenario3[[#This Row],[ability]])+COUNTIF(Scenario3[loser1-ability1],ParagonAbilities1Scenario3[[#This Row],[ability]])+COUNTIF(Scenario3[loser2-ability1],ParagonAbilities1Scenario3[[#This Row],[ability]])</f>
        <v>0</v>
      </c>
      <c r="N66">
        <f>COUNTIF(Scenario3[winner1-ability1],ParagonAbilities1Scenario3[[#This Row],[ability]])</f>
        <v>0</v>
      </c>
      <c r="O66" s="3">
        <f>IF(SUM(ParagonAbilities1Scenario3[[#This Row],[takes]]) &gt; 0,ParagonAbilities1Scenario3[[#This Row],[takes]]/SUM(ParagonAbilities1Scenario3[takes]),0)</f>
        <v>0</v>
      </c>
      <c r="P66" s="3">
        <f>IF(ParagonAbilities1Scenario3[[#This Row],[takes]]&gt;0,ParagonAbilities1Scenario3[[#This Row],[wins]]/ParagonAbilities1Scenario3[[#This Row],[takes]],0)</f>
        <v>0</v>
      </c>
      <c r="R66">
        <v>1</v>
      </c>
      <c r="S66">
        <f>COUNTIFS(Scenario3[winner1],"paragon",Scenario3[winner1-pw],ParagonEquipScenario3[[#This Row],[level]])+COUNTIFS(Scenario3[loser1],"paragon",Scenario3[loser1-pw],ParagonEquipScenario3[[#This Row],[level]])+COUNTIFS(Scenario3[loser2],"paragon",Scenario3[loser2-pw],ParagonEquipScenario3[[#This Row],[level]])</f>
        <v>10</v>
      </c>
      <c r="T66">
        <f>COUNTIFS(Scenario3[winner1],"paragon",Scenario3[winner1-sw],ParagonEquipScenario3[[#This Row],[level]])+COUNTIFS(Scenario3[loser1],"paragon",Scenario3[loser1-sw],ParagonEquipScenario3[[#This Row],[level]])+COUNTIFS(Scenario3[loser2],"paragon",Scenario3[loser2-sw],ParagonEquipScenario3[[#This Row],[level]])</f>
        <v>3</v>
      </c>
      <c r="U66" s="18">
        <f>COUNTIFS(Scenario3[winner1],"paragon",Scenario3[winner1-cp],ParagonEquipScenario3[[#This Row],[level]])+COUNTIFS(Scenario3[loser1],"paragon",Scenario3[loser1-cp],ParagonEquipScenario3[[#This Row],[level]])+COUNTIFS(Scenario3[loser2],"paragon",Scenario3[loser2-cp],ParagonEquipScenario3[[#This Row],[level]])</f>
        <v>2</v>
      </c>
    </row>
    <row r="67" spans="12:21" x14ac:dyDescent="0.25">
      <c r="L67" s="17" t="s">
        <v>111</v>
      </c>
      <c r="M67">
        <f>COUNTIF(Scenario3[winner1-ability1],ParagonAbilities1Scenario3[[#This Row],[ability]])+COUNTIF(Scenario3[loser1-ability1],ParagonAbilities1Scenario3[[#This Row],[ability]])+COUNTIF(Scenario3[loser2-ability1],ParagonAbilities1Scenario3[[#This Row],[ability]])</f>
        <v>2</v>
      </c>
      <c r="N67">
        <f>COUNTIF(Scenario3[winner1-ability1],ParagonAbilities1Scenario3[[#This Row],[ability]])</f>
        <v>0</v>
      </c>
      <c r="O67" s="3">
        <f>IF(SUM(ParagonAbilities1Scenario3[[#This Row],[takes]]) &gt; 0,ParagonAbilities1Scenario3[[#This Row],[takes]]/SUM(ParagonAbilities1Scenario3[takes]),0)</f>
        <v>9.5238095238095233E-2</v>
      </c>
      <c r="P67" s="3">
        <f>IF(ParagonAbilities1Scenario3[[#This Row],[takes]]&gt;0,ParagonAbilities1Scenario3[[#This Row],[wins]]/ParagonAbilities1Scenario3[[#This Row],[takes]],0)</f>
        <v>0</v>
      </c>
      <c r="R67">
        <v>2</v>
      </c>
      <c r="S67">
        <f>COUNTIFS(Scenario3[winner1],"paragon",Scenario3[winner1-pw],ParagonEquipScenario3[[#This Row],[level]])+COUNTIFS(Scenario3[loser1],"paragon",Scenario3[loser1-pw],ParagonEquipScenario3[[#This Row],[level]])+COUNTIFS(Scenario3[loser2],"paragon",Scenario3[loser2-pw],ParagonEquipScenario3[[#This Row],[level]])</f>
        <v>4</v>
      </c>
      <c r="T67">
        <f>COUNTIFS(Scenario3[winner1],"paragon",Scenario3[winner1-sw],ParagonEquipScenario3[[#This Row],[level]])+COUNTIFS(Scenario3[loser1],"paragon",Scenario3[loser1-sw],ParagonEquipScenario3[[#This Row],[level]])+COUNTIFS(Scenario3[loser2],"paragon",Scenario3[loser2-sw],ParagonEquipScenario3[[#This Row],[level]])</f>
        <v>0</v>
      </c>
      <c r="U67" s="18">
        <f>COUNTIFS(Scenario3[winner1],"paragon",Scenario3[winner1-cp],ParagonEquipScenario3[[#This Row],[level]])+COUNTIFS(Scenario3[loser1],"paragon",Scenario3[loser1-cp],ParagonEquipScenario3[[#This Row],[level]])+COUNTIFS(Scenario3[loser2],"paragon",Scenario3[loser2-cp],ParagonEquipScenario3[[#This Row],[level]])</f>
        <v>6</v>
      </c>
    </row>
    <row r="68" spans="12:21" x14ac:dyDescent="0.25">
      <c r="L68" s="17" t="s">
        <v>112</v>
      </c>
      <c r="M68">
        <f>COUNTIF(Scenario3[winner1-ability1],ParagonAbilities1Scenario3[[#This Row],[ability]])+COUNTIF(Scenario3[loser1-ability1],ParagonAbilities1Scenario3[[#This Row],[ability]])+COUNTIF(Scenario3[loser2-ability1],ParagonAbilities1Scenario3[[#This Row],[ability]])</f>
        <v>19</v>
      </c>
      <c r="N68">
        <f>COUNTIF(Scenario3[winner1-ability1],ParagonAbilities1Scenario3[[#This Row],[ability]])</f>
        <v>6</v>
      </c>
      <c r="O68" s="3">
        <f>IF(SUM(ParagonAbilities1Scenario3[[#This Row],[takes]]) &gt; 0,ParagonAbilities1Scenario3[[#This Row],[takes]]/SUM(ParagonAbilities1Scenario3[takes]),0)</f>
        <v>0.90476190476190477</v>
      </c>
      <c r="P68" s="3">
        <f>IF(ParagonAbilities1Scenario3[[#This Row],[takes]]&gt;0,ParagonAbilities1Scenario3[[#This Row],[wins]]/ParagonAbilities1Scenario3[[#This Row],[takes]],0)</f>
        <v>0.31578947368421051</v>
      </c>
      <c r="R68">
        <v>3</v>
      </c>
      <c r="S68">
        <f>COUNTIFS(Scenario3[winner1],"paragon",Scenario3[winner1-pw],ParagonEquipScenario3[[#This Row],[level]])+COUNTIFS(Scenario3[loser1],"paragon",Scenario3[loser1-pw],ParagonEquipScenario3[[#This Row],[level]])+COUNTIFS(Scenario3[loser2],"paragon",Scenario3[loser2-pw],ParagonEquipScenario3[[#This Row],[level]])</f>
        <v>7</v>
      </c>
      <c r="T68">
        <f>COUNTIFS(Scenario3[winner1],"paragon",Scenario3[winner1-sw],ParagonEquipScenario3[[#This Row],[level]])+COUNTIFS(Scenario3[loser1],"paragon",Scenario3[loser1-sw],ParagonEquipScenario3[[#This Row],[level]])+COUNTIFS(Scenario3[loser2],"paragon",Scenario3[loser2-sw],ParagonEquipScenario3[[#This Row],[level]])</f>
        <v>18</v>
      </c>
      <c r="U68" s="18">
        <f>COUNTIFS(Scenario3[winner1],"paragon",Scenario3[winner1-cp],ParagonEquipScenario3[[#This Row],[level]])+COUNTIFS(Scenario3[loser1],"paragon",Scenario3[loser1-cp],ParagonEquipScenario3[[#This Row],[level]])+COUNTIFS(Scenario3[loser2],"paragon",Scenario3[loser2-cp],ParagonEquipScenario3[[#This Row],[level]])</f>
        <v>13</v>
      </c>
    </row>
    <row r="69" spans="12:21" x14ac:dyDescent="0.25">
      <c r="L69" s="17"/>
      <c r="O69" s="3"/>
      <c r="P69" s="3"/>
      <c r="U69" s="18"/>
    </row>
    <row r="70" spans="12:21" x14ac:dyDescent="0.25">
      <c r="L70" s="19" t="s">
        <v>109</v>
      </c>
      <c r="M70" s="8" t="s">
        <v>110</v>
      </c>
      <c r="N70" s="8" t="s">
        <v>79</v>
      </c>
      <c r="O70" s="9" t="s">
        <v>117</v>
      </c>
      <c r="P70" s="9" t="s">
        <v>118</v>
      </c>
      <c r="U70" s="18"/>
    </row>
    <row r="71" spans="12:21" x14ac:dyDescent="0.25">
      <c r="L71" s="20" t="s">
        <v>55</v>
      </c>
      <c r="M71" s="2">
        <f>COUNTIF(Scenario3[winner1-ability2],ParagonAbilities2Scenario3[[#This Row],[ability]])+COUNTIF(Scenario3[loser1-ability2],ParagonAbilities2Scenario3[[#This Row],[ability]])+COUNTIF(Scenario3[loser2-ability2],ParagonAbilities2Scenario3[[#This Row],[ability]])</f>
        <v>6</v>
      </c>
      <c r="N71" s="2">
        <f>COUNTIF(Scenario3[winner1-ability2],ParagonAbilities2Scenario3[[#This Row],[ability]])</f>
        <v>1</v>
      </c>
      <c r="O71" s="12">
        <f>IF(SUM(ParagonAbilities2Scenario3[[#This Row],[takes]]) &gt; 0,ParagonAbilities2Scenario3[[#This Row],[takes]]/SUM(ParagonAbilities2Scenario3[takes]),0)</f>
        <v>0.2857142857142857</v>
      </c>
      <c r="P71" s="12">
        <f>IF(ParagonAbilities2Scenario3[[#This Row],[takes]]&gt;0,ParagonAbilities2Scenario3[[#This Row],[wins]]/ParagonAbilities2Scenario3[[#This Row],[takes]],0)</f>
        <v>0.16666666666666666</v>
      </c>
      <c r="U71" s="18"/>
    </row>
    <row r="72" spans="12:21" x14ac:dyDescent="0.25">
      <c r="L72" s="17" t="s">
        <v>83</v>
      </c>
      <c r="M72" s="2">
        <f>COUNTIF(Scenario3[winner1-ability2],ParagonAbilities2Scenario3[[#This Row],[ability]])+COUNTIF(Scenario3[loser1-ability2],ParagonAbilities2Scenario3[[#This Row],[ability]])+COUNTIF(Scenario3[loser2-ability2],ParagonAbilities2Scenario3[[#This Row],[ability]])</f>
        <v>15</v>
      </c>
      <c r="N72" s="2">
        <f>COUNTIF(Scenario3[winner1-ability2],ParagonAbilities2Scenario3[[#This Row],[ability]])</f>
        <v>5</v>
      </c>
      <c r="O72" s="3">
        <f>IF(SUM(ParagonAbilities2Scenario3[[#This Row],[takes]]) &gt; 0,ParagonAbilities2Scenario3[[#This Row],[takes]]/SUM(ParagonAbilities2Scenario3[takes]),0)</f>
        <v>0.7142857142857143</v>
      </c>
      <c r="P72" s="3">
        <f>IF(ParagonAbilities2Scenario3[[#This Row],[takes]]&gt;0,ParagonAbilities2Scenario3[[#This Row],[wins]]/ParagonAbilities2Scenario3[[#This Row],[takes]],0)</f>
        <v>0.33333333333333331</v>
      </c>
      <c r="U72" s="18"/>
    </row>
    <row r="73" spans="12:21" x14ac:dyDescent="0.25">
      <c r="L73" s="21" t="s">
        <v>113</v>
      </c>
      <c r="M73" s="2">
        <f>COUNTIF(Scenario3[winner1-ability2],ParagonAbilities2Scenario3[[#This Row],[ability]])+COUNTIF(Scenario3[loser1-ability2],ParagonAbilities2Scenario3[[#This Row],[ability]])+COUNTIF(Scenario3[loser2-ability2],ParagonAbilities2Scenario3[[#This Row],[ability]])</f>
        <v>0</v>
      </c>
      <c r="N73" s="2">
        <f>COUNTIF(Scenario3[winner1-ability2],ParagonAbilities2Scenario3[[#This Row],[ability]])</f>
        <v>0</v>
      </c>
      <c r="O73" s="13">
        <f>IF(SUM(ParagonAbilities2Scenario3[[#This Row],[takes]]) &gt; 0,ParagonAbilities2Scenario3[[#This Row],[takes]]/SUM(ParagonAbilities2Scenario3[takes]),0)</f>
        <v>0</v>
      </c>
      <c r="P73" s="13">
        <f>IF(ParagonAbilities2Scenario3[[#This Row],[takes]]&gt;0,ParagonAbilities2Scenario3[[#This Row],[wins]]/ParagonAbilities2Scenario3[[#This Row],[takes]],0)</f>
        <v>0</v>
      </c>
      <c r="U73" s="18"/>
    </row>
    <row r="74" spans="12:21" x14ac:dyDescent="0.25">
      <c r="L74" s="17"/>
      <c r="O74" s="3"/>
      <c r="P74" s="3"/>
      <c r="U74" s="18"/>
    </row>
    <row r="75" spans="12:21" x14ac:dyDescent="0.25">
      <c r="L75" s="19" t="s">
        <v>109</v>
      </c>
      <c r="M75" s="8" t="s">
        <v>110</v>
      </c>
      <c r="N75" s="8" t="s">
        <v>79</v>
      </c>
      <c r="O75" s="9" t="s">
        <v>117</v>
      </c>
      <c r="P75" s="9" t="s">
        <v>118</v>
      </c>
      <c r="U75" s="18"/>
    </row>
    <row r="76" spans="12:21" x14ac:dyDescent="0.25">
      <c r="L76" s="22" t="s">
        <v>114</v>
      </c>
      <c r="M76" s="1">
        <f>COUNTIF(Scenario3[winner1-ability3],ParagonAbilities3Scenario3[[#This Row],[ability]])+COUNTIF(Scenario3[loser1-ability3],ParagonAbilities3Scenario3[[#This Row],[ability]])+COUNTIF(Scenario3[loser2-ability3],ParagonAbilities3Scenario3[[#This Row],[ability]])</f>
        <v>3</v>
      </c>
      <c r="N76" s="1">
        <f>COUNTIF(Scenario3[winner1-ability3],ParagonAbilities3Scenario3[[#This Row],[ability]])</f>
        <v>1</v>
      </c>
      <c r="O76" s="14">
        <f>IF(SUM(ParagonAbilities3Scenario3[[#This Row],[takes]]) &gt; 0,ParagonAbilities3Scenario3[[#This Row],[takes]]/SUM(ParagonAbilities3Scenario3[takes]),0)</f>
        <v>0.15789473684210525</v>
      </c>
      <c r="P76" s="14">
        <f>IF(ParagonAbilities3Scenario3[[#This Row],[takes]]&gt;0,ParagonAbilities3Scenario3[[#This Row],[wins]]/ParagonAbilities3Scenario3[[#This Row],[takes]],0)</f>
        <v>0.33333333333333331</v>
      </c>
      <c r="U76" s="18"/>
    </row>
    <row r="77" spans="12:21" x14ac:dyDescent="0.25">
      <c r="L77" s="20" t="s">
        <v>105</v>
      </c>
      <c r="M77" s="2">
        <f>COUNTIF(Scenario3[winner1-ability3],ParagonAbilities3Scenario3[[#This Row],[ability]])+COUNTIF(Scenario3[loser1-ability3],ParagonAbilities3Scenario3[[#This Row],[ability]])+COUNTIF(Scenario3[loser2-ability3],ParagonAbilities3Scenario3[[#This Row],[ability]])</f>
        <v>7</v>
      </c>
      <c r="N77" s="2">
        <f>COUNTIF(Scenario3[winner1-ability3],ParagonAbilities3Scenario3[[#This Row],[ability]])</f>
        <v>4</v>
      </c>
      <c r="O77" s="12">
        <f>IF(SUM(ParagonAbilities3Scenario3[[#This Row],[takes]]) &gt; 0,ParagonAbilities3Scenario3[[#This Row],[takes]]/SUM(ParagonAbilities3Scenario3[takes]),0)</f>
        <v>0.36842105263157893</v>
      </c>
      <c r="P77" s="12">
        <f>IF(ParagonAbilities3Scenario3[[#This Row],[takes]]&gt;0,ParagonAbilities3Scenario3[[#This Row],[wins]]/ParagonAbilities3Scenario3[[#This Row],[takes]],0)</f>
        <v>0.5714285714285714</v>
      </c>
      <c r="U77" s="18"/>
    </row>
    <row r="78" spans="12:21" x14ac:dyDescent="0.25">
      <c r="L78" s="23" t="s">
        <v>97</v>
      </c>
      <c r="M78" s="1">
        <f>COUNTIF(Scenario3[winner1-ability3],ParagonAbilities3Scenario3[[#This Row],[ability]])+COUNTIF(Scenario3[loser1-ability3],ParagonAbilities3Scenario3[[#This Row],[ability]])+COUNTIF(Scenario3[loser2-ability3],ParagonAbilities3Scenario3[[#This Row],[ability]])</f>
        <v>9</v>
      </c>
      <c r="N78" s="1">
        <f>COUNTIF(Scenario3[winner1-ability3],ParagonAbilities3Scenario3[[#This Row],[ability]])</f>
        <v>0</v>
      </c>
      <c r="O78" s="15">
        <f>IF(SUM(ParagonAbilities3Scenario3[[#This Row],[takes]]) &gt; 0,ParagonAbilities3Scenario3[[#This Row],[takes]]/SUM(ParagonAbilities3Scenario3[takes]),0)</f>
        <v>0.47368421052631576</v>
      </c>
      <c r="P78" s="15">
        <f>IF(ParagonAbilities3Scenario3[[#This Row],[takes]]&gt;0,ParagonAbilities3Scenario3[[#This Row],[wins]]/ParagonAbilities3Scenario3[[#This Row],[takes]],0)</f>
        <v>0</v>
      </c>
      <c r="U78" s="18"/>
    </row>
    <row r="79" spans="12:21" x14ac:dyDescent="0.25">
      <c r="L79" s="17"/>
      <c r="O79" s="3"/>
      <c r="P79" s="3"/>
      <c r="U79" s="18"/>
    </row>
    <row r="80" spans="12:21" x14ac:dyDescent="0.25">
      <c r="L80" s="19" t="s">
        <v>109</v>
      </c>
      <c r="M80" s="8" t="s">
        <v>110</v>
      </c>
      <c r="N80" s="8" t="s">
        <v>79</v>
      </c>
      <c r="O80" s="9" t="s">
        <v>117</v>
      </c>
      <c r="P80" s="9" t="s">
        <v>118</v>
      </c>
      <c r="U80" s="18"/>
    </row>
    <row r="81" spans="12:21" x14ac:dyDescent="0.25">
      <c r="L81" s="20" t="s">
        <v>98</v>
      </c>
      <c r="M81" s="2">
        <f>COUNTIF(Scenario3[winner1-ability4],ParagonAbilities4Scenario3[[#This Row],[ability]])+COUNTIF(Scenario3[loser1-ability4],ParagonAbilities4Scenario3[[#This Row],[ability]])+COUNTIF(Scenario3[loser2-ability4],ParagonAbilities4Scenario3[[#This Row],[ability]])</f>
        <v>6</v>
      </c>
      <c r="N81" s="2">
        <f>COUNTIF(Scenario3[winner1-ability4],ParagonAbilities4Scenario3[[#This Row],[ability]])</f>
        <v>2</v>
      </c>
      <c r="O81" s="12">
        <f>IF(SUM(ParagonAbilities4Scenario3[[#This Row],[takes]]) &gt; 0,ParagonAbilities4Scenario3[[#This Row],[takes]]/SUM(ParagonAbilities4Scenario3[takes]),0)</f>
        <v>0.375</v>
      </c>
      <c r="P81" s="12">
        <f>IF(ParagonAbilities4Scenario3[[#This Row],[takes]]&gt;0,ParagonAbilities4Scenario3[[#This Row],[wins]]/ParagonAbilities4Scenario3[[#This Row],[takes]],0)</f>
        <v>0.33333333333333331</v>
      </c>
      <c r="U81" s="18"/>
    </row>
    <row r="82" spans="12:21" x14ac:dyDescent="0.25">
      <c r="L82" s="20" t="s">
        <v>115</v>
      </c>
      <c r="M82" s="2">
        <f>COUNTIF(Scenario3[winner1-ability4],ParagonAbilities4Scenario3[[#This Row],[ability]])+COUNTIF(Scenario3[loser1-ability4],ParagonAbilities4Scenario3[[#This Row],[ability]])+COUNTIF(Scenario3[loser2-ability4],ParagonAbilities4Scenario3[[#This Row],[ability]])</f>
        <v>8</v>
      </c>
      <c r="N82" s="2">
        <f>COUNTIF(Scenario3[winner1-ability4],ParagonAbilities4Scenario3[[#This Row],[ability]])</f>
        <v>2</v>
      </c>
      <c r="O82" s="12">
        <f>IF(SUM(ParagonAbilities4Scenario3[[#This Row],[takes]]) &gt; 0,ParagonAbilities4Scenario3[[#This Row],[takes]]/SUM(ParagonAbilities4Scenario3[takes]),0)</f>
        <v>0.5</v>
      </c>
      <c r="P82" s="12">
        <f>IF(ParagonAbilities4Scenario3[[#This Row],[takes]]&gt;0,ParagonAbilities4Scenario3[[#This Row],[wins]]/ParagonAbilities4Scenario3[[#This Row],[takes]],0)</f>
        <v>0.25</v>
      </c>
      <c r="U82" s="18"/>
    </row>
    <row r="83" spans="12:21" ht="15.75" thickBot="1" x14ac:dyDescent="0.3">
      <c r="L83" s="24" t="s">
        <v>116</v>
      </c>
      <c r="M83" s="2">
        <f>COUNTIF(Scenario3[winner1-ability4],ParagonAbilities4Scenario3[[#This Row],[ability]])+COUNTIF(Scenario3[loser1-ability4],ParagonAbilities4Scenario3[[#This Row],[ability]])+COUNTIF(Scenario3[loser2-ability4],ParagonAbilities4Scenario3[[#This Row],[ability]])</f>
        <v>2</v>
      </c>
      <c r="N83" s="2">
        <f>COUNTIF(Scenario3[winner1-ability4],ParagonAbilities4Scenario3[[#This Row],[ability]])</f>
        <v>1</v>
      </c>
      <c r="O83" s="26">
        <f>IF(SUM(ParagonAbilities4Scenario3[[#This Row],[takes]]) &gt; 0,ParagonAbilities4Scenario3[[#This Row],[takes]]/SUM(ParagonAbilities4Scenario3[takes]),0)</f>
        <v>0.125</v>
      </c>
      <c r="P83" s="26">
        <f>IF(ParagonAbilities4Scenario3[[#This Row],[takes]]&gt;0,ParagonAbilities4Scenario3[[#This Row],[wins]]/ParagonAbilities4Scenario3[[#This Row],[takes]],0)</f>
        <v>0.5</v>
      </c>
      <c r="Q83" s="27"/>
      <c r="R83" s="27"/>
      <c r="S83" s="27"/>
      <c r="T83" s="27"/>
      <c r="U83" s="28"/>
    </row>
    <row r="84" spans="12:21" ht="15.75" thickBot="1" x14ac:dyDescent="0.3"/>
    <row r="85" spans="12:21" ht="15.75" thickBot="1" x14ac:dyDescent="0.3">
      <c r="L85" s="37" t="s">
        <v>219</v>
      </c>
      <c r="M85" s="38"/>
      <c r="N85" s="38"/>
      <c r="O85" s="38"/>
      <c r="P85" s="38"/>
      <c r="Q85" s="38"/>
      <c r="R85" s="38"/>
      <c r="S85" s="38"/>
      <c r="T85" s="38"/>
      <c r="U85" s="39"/>
    </row>
    <row r="86" spans="12:21" x14ac:dyDescent="0.25">
      <c r="L86" s="17" t="s">
        <v>109</v>
      </c>
      <c r="M86" t="s">
        <v>110</v>
      </c>
      <c r="N86" t="s">
        <v>79</v>
      </c>
      <c r="O86" s="3" t="s">
        <v>117</v>
      </c>
      <c r="P86" s="3" t="s">
        <v>118</v>
      </c>
      <c r="R86" t="s">
        <v>161</v>
      </c>
      <c r="S86" t="s">
        <v>162</v>
      </c>
      <c r="T86" t="s">
        <v>163</v>
      </c>
      <c r="U86" s="18" t="s">
        <v>164</v>
      </c>
    </row>
    <row r="87" spans="12:21" x14ac:dyDescent="0.25">
      <c r="L87" s="17" t="s">
        <v>54</v>
      </c>
      <c r="M87">
        <f>COUNTIF(Scenario4[winner1-ability1],ParagonAbilities1Scenario4[[#This Row],[ability]])+COUNTIF(Scenario4[loser1-ability1],ParagonAbilities1Scenario4[[#This Row],[ability]])+COUNTIF(Scenario4[loser2-ability1],ParagonAbilities1Scenario4[[#This Row],[ability]])+COUNTIF(Scenario4[loser3-ability1],ParagonAbilities1Scenario4[[#This Row],[ability]])</f>
        <v>0</v>
      </c>
      <c r="N87">
        <f>COUNTIF(Scenario4[winner1-ability1],ParagonAbilities1Scenario4[[#This Row],[ability]])</f>
        <v>0</v>
      </c>
      <c r="O87" s="3">
        <f>IF(SUM(ParagonAbilities1Scenario4[[#This Row],[takes]]) &gt; 0,ParagonAbilities1Scenario4[[#This Row],[takes]]/SUM(ParagonAbilities1Scenario4[takes]),0)</f>
        <v>0</v>
      </c>
      <c r="P87" s="3">
        <f>IF(ParagonAbilities1Scenario4[[#This Row],[takes]]&gt;0,ParagonAbilities1Scenario4[[#This Row],[wins]]/ParagonAbilities1Scenario4[[#This Row],[takes]],0)</f>
        <v>0</v>
      </c>
      <c r="R87">
        <v>1</v>
      </c>
      <c r="S87">
        <f>COUNTIFS(Scenario4[winner1],"paragon",Scenario4[winner1-pw],ParagonEquipScenario4[[#This Row],[level]])+COUNTIFS(Scenario4[loser1],"paragon",Scenario4[loser1-pw],ParagonEquipScenario4[[#This Row],[level]])+COUNTIFS(Scenario4[loser2],"paragon",Scenario4[loser2-pw],ParagonEquipScenario4[[#This Row],[level]])+COUNTIFS(Scenario4[loser3],"paragon",Scenario4[loser3-pw],ParagonEquipScenario4[[#This Row],[level]])</f>
        <v>10</v>
      </c>
      <c r="T87">
        <f>COUNTIFS(Scenario4[winner1],"paragon",Scenario4[winner1-sw],ParagonEquipScenario4[[#This Row],[level]])+COUNTIFS(Scenario4[loser1],"paragon",Scenario4[loser1-sw],ParagonEquipScenario4[[#This Row],[level]])+COUNTIFS(Scenario4[loser2],"paragon",Scenario4[loser2-sw],ParagonEquipScenario4[[#This Row],[level]])+COUNTIFS(Scenario4[loser3],"paragon",Scenario4[loser3-sw],ParagonEquipScenario4[[#This Row],[level]])</f>
        <v>0</v>
      </c>
      <c r="U87" s="18">
        <f>COUNTIFS(Scenario4[winner1],"paragon",Scenario4[winner1-cp],ParagonEquipScenario4[[#This Row],[level]])+COUNTIFS(Scenario4[loser1],"paragon",Scenario4[loser1-cp],ParagonEquipScenario4[[#This Row],[level]])+COUNTIFS(Scenario4[loser2],"paragon",Scenario4[loser2-cp],ParagonEquipScenario4[[#This Row],[level]])+COUNTIFS(Scenario4[loser3],"paragon",Scenario4[loser3-cp],ParagonEquipScenario4[[#This Row],[level]])</f>
        <v>3</v>
      </c>
    </row>
    <row r="88" spans="12:21" x14ac:dyDescent="0.25">
      <c r="L88" s="17" t="s">
        <v>111</v>
      </c>
      <c r="M88">
        <f>COUNTIF(Scenario4[winner1-ability1],ParagonAbilities1Scenario4[[#This Row],[ability]])+COUNTIF(Scenario4[loser1-ability1],ParagonAbilities1Scenario4[[#This Row],[ability]])+COUNTIF(Scenario4[loser2-ability1],ParagonAbilities1Scenario4[[#This Row],[ability]])+COUNTIF(Scenario4[loser3-ability1],ParagonAbilities1Scenario4[[#This Row],[ability]])</f>
        <v>0</v>
      </c>
      <c r="N88">
        <f>COUNTIF(Scenario4[winner1-ability1],ParagonAbilities1Scenario4[[#This Row],[ability]])</f>
        <v>0</v>
      </c>
      <c r="O88" s="3">
        <f>IF(SUM(ParagonAbilities1Scenario4[[#This Row],[takes]]) &gt; 0,ParagonAbilities1Scenario4[[#This Row],[takes]]/SUM(ParagonAbilities1Scenario4[takes]),0)</f>
        <v>0</v>
      </c>
      <c r="P88" s="3">
        <f>IF(ParagonAbilities1Scenario4[[#This Row],[takes]]&gt;0,ParagonAbilities1Scenario4[[#This Row],[wins]]/ParagonAbilities1Scenario4[[#This Row],[takes]],0)</f>
        <v>0</v>
      </c>
      <c r="R88">
        <v>2</v>
      </c>
      <c r="S88">
        <f>COUNTIFS(Scenario4[winner1],"paragon",Scenario4[winner1-pw],ParagonEquipScenario4[[#This Row],[level]])+COUNTIFS(Scenario4[loser1],"paragon",Scenario4[loser1-pw],ParagonEquipScenario4[[#This Row],[level]])+COUNTIFS(Scenario4[loser2],"paragon",Scenario4[loser2-pw],ParagonEquipScenario4[[#This Row],[level]])+COUNTIFS(Scenario4[loser3],"paragon",Scenario4[loser3-pw],ParagonEquipScenario4[[#This Row],[level]])</f>
        <v>4</v>
      </c>
      <c r="T88">
        <f>COUNTIFS(Scenario4[winner1],"paragon",Scenario4[winner1-sw],ParagonEquipScenario4[[#This Row],[level]])+COUNTIFS(Scenario4[loser1],"paragon",Scenario4[loser1-sw],ParagonEquipScenario4[[#This Row],[level]])+COUNTIFS(Scenario4[loser2],"paragon",Scenario4[loser2-sw],ParagonEquipScenario4[[#This Row],[level]])+COUNTIFS(Scenario4[loser3],"paragon",Scenario4[loser3-sw],ParagonEquipScenario4[[#This Row],[level]])</f>
        <v>5</v>
      </c>
      <c r="U88" s="18">
        <f>COUNTIFS(Scenario4[winner1],"paragon",Scenario4[winner1-cp],ParagonEquipScenario4[[#This Row],[level]])+COUNTIFS(Scenario4[loser1],"paragon",Scenario4[loser1-cp],ParagonEquipScenario4[[#This Row],[level]])+COUNTIFS(Scenario4[loser2],"paragon",Scenario4[loser2-cp],ParagonEquipScenario4[[#This Row],[level]])+COUNTIFS(Scenario4[loser3],"paragon",Scenario4[loser3-cp],ParagonEquipScenario4[[#This Row],[level]])</f>
        <v>2</v>
      </c>
    </row>
    <row r="89" spans="12:21" x14ac:dyDescent="0.25">
      <c r="L89" s="17" t="s">
        <v>112</v>
      </c>
      <c r="M89">
        <f>COUNTIF(Scenario4[winner1-ability1],ParagonAbilities1Scenario4[[#This Row],[ability]])+COUNTIF(Scenario4[loser1-ability1],ParagonAbilities1Scenario4[[#This Row],[ability]])+COUNTIF(Scenario4[loser2-ability1],ParagonAbilities1Scenario4[[#This Row],[ability]])+COUNTIF(Scenario4[loser3-ability1],ParagonAbilities1Scenario4[[#This Row],[ability]])</f>
        <v>35</v>
      </c>
      <c r="N89">
        <f>COUNTIF(Scenario4[winner1-ability1],ParagonAbilities1Scenario4[[#This Row],[ability]])</f>
        <v>5</v>
      </c>
      <c r="O89" s="3">
        <f>IF(SUM(ParagonAbilities1Scenario4[[#This Row],[takes]]) &gt; 0,ParagonAbilities1Scenario4[[#This Row],[takes]]/SUM(ParagonAbilities1Scenario4[takes]),0)</f>
        <v>1</v>
      </c>
      <c r="P89" s="3">
        <f>IF(ParagonAbilities1Scenario4[[#This Row],[takes]]&gt;0,ParagonAbilities1Scenario4[[#This Row],[wins]]/ParagonAbilities1Scenario4[[#This Row],[takes]],0)</f>
        <v>0.14285714285714285</v>
      </c>
      <c r="R89">
        <v>3</v>
      </c>
      <c r="S89">
        <f>COUNTIFS(Scenario4[winner1],"paragon",Scenario4[winner1-pw],ParagonEquipScenario4[[#This Row],[level]])+COUNTIFS(Scenario4[loser1],"paragon",Scenario4[loser1-pw],ParagonEquipScenario4[[#This Row],[level]])+COUNTIFS(Scenario4[loser2],"paragon",Scenario4[loser2-pw],ParagonEquipScenario4[[#This Row],[level]])+COUNTIFS(Scenario4[loser3],"paragon",Scenario4[loser3-pw],ParagonEquipScenario4[[#This Row],[level]])</f>
        <v>21</v>
      </c>
      <c r="T89">
        <f>COUNTIFS(Scenario4[winner1],"paragon",Scenario4[winner1-sw],ParagonEquipScenario4[[#This Row],[level]])+COUNTIFS(Scenario4[loser1],"paragon",Scenario4[loser1-sw],ParagonEquipScenario4[[#This Row],[level]])+COUNTIFS(Scenario4[loser2],"paragon",Scenario4[loser2-sw],ParagonEquipScenario4[[#This Row],[level]])+COUNTIFS(Scenario4[loser3],"paragon",Scenario4[loser3-sw],ParagonEquipScenario4[[#This Row],[level]])</f>
        <v>30</v>
      </c>
      <c r="U89" s="18">
        <f>COUNTIFS(Scenario4[winner1],"paragon",Scenario4[winner1-cp],ParagonEquipScenario4[[#This Row],[level]])+COUNTIFS(Scenario4[loser1],"paragon",Scenario4[loser1-cp],ParagonEquipScenario4[[#This Row],[level]])+COUNTIFS(Scenario4[loser2],"paragon",Scenario4[loser2-cp],ParagonEquipScenario4[[#This Row],[level]])+COUNTIFS(Scenario4[loser3],"paragon",Scenario4[loser3-cp],ParagonEquipScenario4[[#This Row],[level]])</f>
        <v>30</v>
      </c>
    </row>
    <row r="90" spans="12:21" x14ac:dyDescent="0.25">
      <c r="L90" s="17"/>
      <c r="O90" s="3"/>
      <c r="P90" s="3"/>
      <c r="U90" s="18"/>
    </row>
    <row r="91" spans="12:21" x14ac:dyDescent="0.25">
      <c r="L91" s="19" t="s">
        <v>109</v>
      </c>
      <c r="M91" s="8" t="s">
        <v>110</v>
      </c>
      <c r="N91" s="8" t="s">
        <v>79</v>
      </c>
      <c r="O91" s="9" t="s">
        <v>117</v>
      </c>
      <c r="P91" s="9" t="s">
        <v>118</v>
      </c>
      <c r="U91" s="18"/>
    </row>
    <row r="92" spans="12:21" x14ac:dyDescent="0.25">
      <c r="L92" s="20" t="s">
        <v>55</v>
      </c>
      <c r="M92" s="2">
        <f>COUNTIF(Scenario4[winner1-ability2],ParagonAbilities2Scenario4[[#This Row],[ability]])+COUNTIF(Scenario4[loser1-ability2],ParagonAbilities2Scenario4[[#This Row],[ability]])+COUNTIF(Scenario4[loser2-ability2],ParagonAbilities2Scenario4[[#This Row],[ability]])+COUNTIF(Scenario4[loser3-ability2],ParagonAbilities2Scenario4[[#This Row],[ability]])</f>
        <v>11</v>
      </c>
      <c r="N92" s="2">
        <f>COUNTIF(Scenario4[winner1-ability2],ParagonAbilities2Scenario4[[#This Row],[ability]])</f>
        <v>1</v>
      </c>
      <c r="O92" s="12">
        <f>IF(SUM(ParagonAbilities2Scenario4[[#This Row],[takes]]) &gt; 0,ParagonAbilities2Scenario4[[#This Row],[takes]]/SUM(ParagonAbilities2Scenario4[takes]),0)</f>
        <v>0.31428571428571428</v>
      </c>
      <c r="P92" s="12">
        <f>IF(ParagonAbilities2Scenario4[[#This Row],[takes]]&gt;0,ParagonAbilities2Scenario4[[#This Row],[wins]]/ParagonAbilities2Scenario4[[#This Row],[takes]],0)</f>
        <v>9.0909090909090912E-2</v>
      </c>
      <c r="U92" s="18"/>
    </row>
    <row r="93" spans="12:21" x14ac:dyDescent="0.25">
      <c r="L93" s="17" t="s">
        <v>83</v>
      </c>
      <c r="M93" s="2">
        <f>COUNTIF(Scenario4[winner1-ability2],ParagonAbilities2Scenario4[[#This Row],[ability]])+COUNTIF(Scenario4[loser1-ability2],ParagonAbilities2Scenario4[[#This Row],[ability]])+COUNTIF(Scenario4[loser2-ability2],ParagonAbilities2Scenario4[[#This Row],[ability]])+COUNTIF(Scenario4[loser3-ability2],ParagonAbilities2Scenario4[[#This Row],[ability]])</f>
        <v>24</v>
      </c>
      <c r="N93" s="2">
        <f>COUNTIF(Scenario4[winner1-ability2],ParagonAbilities2Scenario4[[#This Row],[ability]])</f>
        <v>4</v>
      </c>
      <c r="O93" s="3">
        <f>IF(SUM(ParagonAbilities2Scenario4[[#This Row],[takes]]) &gt; 0,ParagonAbilities2Scenario4[[#This Row],[takes]]/SUM(ParagonAbilities2Scenario4[takes]),0)</f>
        <v>0.68571428571428572</v>
      </c>
      <c r="P93" s="3">
        <f>IF(ParagonAbilities2Scenario4[[#This Row],[takes]]&gt;0,ParagonAbilities2Scenario4[[#This Row],[wins]]/ParagonAbilities2Scenario4[[#This Row],[takes]],0)</f>
        <v>0.16666666666666666</v>
      </c>
      <c r="U93" s="18"/>
    </row>
    <row r="94" spans="12:21" x14ac:dyDescent="0.25">
      <c r="L94" s="21" t="s">
        <v>113</v>
      </c>
      <c r="M94" s="2">
        <f>COUNTIF(Scenario4[winner1-ability2],ParagonAbilities2Scenario4[[#This Row],[ability]])+COUNTIF(Scenario4[loser1-ability2],ParagonAbilities2Scenario4[[#This Row],[ability]])+COUNTIF(Scenario4[loser2-ability2],ParagonAbilities2Scenario4[[#This Row],[ability]])+COUNTIF(Scenario4[loser3-ability2],ParagonAbilities2Scenario4[[#This Row],[ability]])</f>
        <v>0</v>
      </c>
      <c r="N94" s="2">
        <f>COUNTIF(Scenario4[winner1-ability2],ParagonAbilities2Scenario4[[#This Row],[ability]])</f>
        <v>0</v>
      </c>
      <c r="O94" s="13">
        <f>IF(SUM(ParagonAbilities2Scenario4[[#This Row],[takes]]) &gt; 0,ParagonAbilities2Scenario4[[#This Row],[takes]]/SUM(ParagonAbilities2Scenario4[takes]),0)</f>
        <v>0</v>
      </c>
      <c r="P94" s="13">
        <f>IF(ParagonAbilities2Scenario4[[#This Row],[takes]]&gt;0,ParagonAbilities2Scenario4[[#This Row],[wins]]/ParagonAbilities2Scenario4[[#This Row],[takes]],0)</f>
        <v>0</v>
      </c>
      <c r="U94" s="18"/>
    </row>
    <row r="95" spans="12:21" x14ac:dyDescent="0.25">
      <c r="L95" s="17"/>
      <c r="O95" s="3"/>
      <c r="P95" s="3"/>
      <c r="U95" s="18"/>
    </row>
    <row r="96" spans="12:21" x14ac:dyDescent="0.25">
      <c r="L96" s="19" t="s">
        <v>109</v>
      </c>
      <c r="M96" s="8" t="s">
        <v>110</v>
      </c>
      <c r="N96" s="8" t="s">
        <v>79</v>
      </c>
      <c r="O96" s="9" t="s">
        <v>117</v>
      </c>
      <c r="P96" s="9" t="s">
        <v>118</v>
      </c>
      <c r="U96" s="18"/>
    </row>
    <row r="97" spans="12:21" x14ac:dyDescent="0.25">
      <c r="L97" s="22" t="s">
        <v>114</v>
      </c>
      <c r="M97" s="1">
        <f>COUNTIF(Scenario4[winner1-ability3],ParagonAbilities3Scenario4[[#This Row],[ability]])+COUNTIF(Scenario4[loser1-ability3],ParagonAbilities3Scenario4[[#This Row],[ability]])+COUNTIF(Scenario4[loser2-ability3],ParagonAbilities3Scenario4[[#This Row],[ability]])+COUNTIF(Scenario4[loser3-ability3],ParagonAbilities3Scenario4[[#This Row],[ability]])</f>
        <v>7</v>
      </c>
      <c r="N97" s="1">
        <f>COUNTIF(Scenario4[winner1-ability3],ParagonAbilities3Scenario4[[#This Row],[ability]])</f>
        <v>2</v>
      </c>
      <c r="O97" s="14">
        <f>IF(SUM(ParagonAbilities3Scenario4[[#This Row],[takes]]) &gt; 0,ParagonAbilities3Scenario4[[#This Row],[takes]]/SUM(ParagonAbilities3Scenario4[takes]),0)</f>
        <v>0.21875</v>
      </c>
      <c r="P97" s="14">
        <f>IF(ParagonAbilities3Scenario4[[#This Row],[takes]]&gt;0,ParagonAbilities3Scenario4[[#This Row],[wins]]/ParagonAbilities3Scenario4[[#This Row],[takes]],0)</f>
        <v>0.2857142857142857</v>
      </c>
      <c r="U97" s="18"/>
    </row>
    <row r="98" spans="12:21" x14ac:dyDescent="0.25">
      <c r="L98" s="20" t="s">
        <v>105</v>
      </c>
      <c r="M98" s="2">
        <f>COUNTIF(Scenario4[winner1-ability3],ParagonAbilities3Scenario4[[#This Row],[ability]])+COUNTIF(Scenario4[loser1-ability3],ParagonAbilities3Scenario4[[#This Row],[ability]])+COUNTIF(Scenario4[loser2-ability3],ParagonAbilities3Scenario4[[#This Row],[ability]])+COUNTIF(Scenario4[loser3-ability3],ParagonAbilities3Scenario4[[#This Row],[ability]])</f>
        <v>14</v>
      </c>
      <c r="N98" s="2">
        <f>COUNTIF(Scenario4[winner1-ability3],ParagonAbilities3Scenario4[[#This Row],[ability]])</f>
        <v>3</v>
      </c>
      <c r="O98" s="12">
        <f>IF(SUM(ParagonAbilities3Scenario4[[#This Row],[takes]]) &gt; 0,ParagonAbilities3Scenario4[[#This Row],[takes]]/SUM(ParagonAbilities3Scenario4[takes]),0)</f>
        <v>0.4375</v>
      </c>
      <c r="P98" s="12">
        <f>IF(ParagonAbilities3Scenario4[[#This Row],[takes]]&gt;0,ParagonAbilities3Scenario4[[#This Row],[wins]]/ParagonAbilities3Scenario4[[#This Row],[takes]],0)</f>
        <v>0.21428571428571427</v>
      </c>
      <c r="U98" s="18"/>
    </row>
    <row r="99" spans="12:21" x14ac:dyDescent="0.25">
      <c r="L99" s="23" t="s">
        <v>97</v>
      </c>
      <c r="M99" s="1">
        <f>COUNTIF(Scenario4[winner1-ability3],ParagonAbilities3Scenario4[[#This Row],[ability]])+COUNTIF(Scenario4[loser1-ability3],ParagonAbilities3Scenario4[[#This Row],[ability]])+COUNTIF(Scenario4[loser2-ability3],ParagonAbilities3Scenario4[[#This Row],[ability]])+COUNTIF(Scenario4[loser3-ability3],ParagonAbilities3Scenario4[[#This Row],[ability]])</f>
        <v>11</v>
      </c>
      <c r="N99" s="1">
        <f>COUNTIF(Scenario4[winner1-ability3],ParagonAbilities3Scenario4[[#This Row],[ability]])</f>
        <v>0</v>
      </c>
      <c r="O99" s="15">
        <f>IF(SUM(ParagonAbilities3Scenario4[[#This Row],[takes]]) &gt; 0,ParagonAbilities3Scenario4[[#This Row],[takes]]/SUM(ParagonAbilities3Scenario4[takes]),0)</f>
        <v>0.34375</v>
      </c>
      <c r="P99" s="15">
        <f>IF(ParagonAbilities3Scenario4[[#This Row],[takes]]&gt;0,ParagonAbilities3Scenario4[[#This Row],[wins]]/ParagonAbilities3Scenario4[[#This Row],[takes]],0)</f>
        <v>0</v>
      </c>
      <c r="U99" s="18"/>
    </row>
    <row r="100" spans="12:21" x14ac:dyDescent="0.25">
      <c r="L100" s="17"/>
      <c r="O100" s="3"/>
      <c r="P100" s="3"/>
      <c r="U100" s="18"/>
    </row>
    <row r="101" spans="12:21" x14ac:dyDescent="0.25">
      <c r="L101" s="19" t="s">
        <v>109</v>
      </c>
      <c r="M101" s="8" t="s">
        <v>110</v>
      </c>
      <c r="N101" s="8" t="s">
        <v>79</v>
      </c>
      <c r="O101" s="9" t="s">
        <v>117</v>
      </c>
      <c r="P101" s="9" t="s">
        <v>118</v>
      </c>
      <c r="U101" s="18"/>
    </row>
    <row r="102" spans="12:21" x14ac:dyDescent="0.25">
      <c r="L102" s="20" t="s">
        <v>98</v>
      </c>
      <c r="M102" s="2">
        <f>COUNTIF(Scenario4[winner1-ability4],ParagonAbilities4Scenario4[[#This Row],[ability]])+COUNTIF(Scenario4[loser1-ability4],ParagonAbilities4Scenario4[[#This Row],[ability]])+COUNTIF(Scenario4[loser2-ability4],ParagonAbilities4Scenario4[[#This Row],[ability]])+COUNTIF(Scenario4[loser3-ability4],ParagonAbilities4Scenario4[[#This Row],[ability]])</f>
        <v>13</v>
      </c>
      <c r="N102" s="2">
        <f>COUNTIF(Scenario4[winner1-ability4],ParagonAbilities4Scenario4[[#This Row],[ability]])</f>
        <v>1</v>
      </c>
      <c r="O102" s="12">
        <f>IF(SUM(ParagonAbilities4Scenario4[[#This Row],[takes]]) &gt; 0,ParagonAbilities4Scenario4[[#This Row],[takes]]/SUM(ParagonAbilities4Scenario4[takes]),0)</f>
        <v>0.43333333333333335</v>
      </c>
      <c r="P102" s="12">
        <f>IF(ParagonAbilities4Scenario4[[#This Row],[takes]]&gt;0,ParagonAbilities4Scenario4[[#This Row],[wins]]/ParagonAbilities4Scenario4[[#This Row],[takes]],0)</f>
        <v>7.6923076923076927E-2</v>
      </c>
      <c r="U102" s="18"/>
    </row>
    <row r="103" spans="12:21" x14ac:dyDescent="0.25">
      <c r="L103" s="20" t="s">
        <v>115</v>
      </c>
      <c r="M103" s="2">
        <f>COUNTIF(Scenario4[winner1-ability4],ParagonAbilities4Scenario4[[#This Row],[ability]])+COUNTIF(Scenario4[loser1-ability4],ParagonAbilities4Scenario4[[#This Row],[ability]])+COUNTIF(Scenario4[loser2-ability4],ParagonAbilities4Scenario4[[#This Row],[ability]])+COUNTIF(Scenario4[loser3-ability4],ParagonAbilities4Scenario4[[#This Row],[ability]])</f>
        <v>16</v>
      </c>
      <c r="N103" s="2">
        <f>COUNTIF(Scenario4[winner1-ability4],ParagonAbilities4Scenario4[[#This Row],[ability]])</f>
        <v>4</v>
      </c>
      <c r="O103" s="12">
        <f>IF(SUM(ParagonAbilities4Scenario4[[#This Row],[takes]]) &gt; 0,ParagonAbilities4Scenario4[[#This Row],[takes]]/SUM(ParagonAbilities4Scenario4[takes]),0)</f>
        <v>0.53333333333333333</v>
      </c>
      <c r="P103" s="12">
        <f>IF(ParagonAbilities4Scenario4[[#This Row],[takes]]&gt;0,ParagonAbilities4Scenario4[[#This Row],[wins]]/ParagonAbilities4Scenario4[[#This Row],[takes]],0)</f>
        <v>0.25</v>
      </c>
      <c r="U103" s="18"/>
    </row>
    <row r="104" spans="12:21" ht="15.75" thickBot="1" x14ac:dyDescent="0.3">
      <c r="L104" s="24" t="s">
        <v>116</v>
      </c>
      <c r="M104" s="2">
        <f>COUNTIF(Scenario4[winner1-ability4],ParagonAbilities4Scenario4[[#This Row],[ability]])+COUNTIF(Scenario4[loser1-ability4],ParagonAbilities4Scenario4[[#This Row],[ability]])+COUNTIF(Scenario4[loser2-ability4],ParagonAbilities4Scenario4[[#This Row],[ability]])+COUNTIF(Scenario4[loser3-ability4],ParagonAbilities4Scenario4[[#This Row],[ability]])</f>
        <v>1</v>
      </c>
      <c r="N104" s="2">
        <f>COUNTIF(Scenario4[winner1-ability4],ParagonAbilities4Scenario4[[#This Row],[ability]])</f>
        <v>0</v>
      </c>
      <c r="O104" s="26">
        <f>IF(SUM(ParagonAbilities4Scenario4[[#This Row],[takes]]) &gt; 0,ParagonAbilities4Scenario4[[#This Row],[takes]]/SUM(ParagonAbilities4Scenario4[takes]),0)</f>
        <v>3.3333333333333333E-2</v>
      </c>
      <c r="P104" s="26">
        <f>IF(ParagonAbilities4Scenario4[[#This Row],[takes]]&gt;0,ParagonAbilities4Scenario4[[#This Row],[wins]]/ParagonAbilities4Scenario4[[#This Row],[takes]],0)</f>
        <v>0</v>
      </c>
      <c r="Q104" s="27"/>
      <c r="R104" s="27"/>
      <c r="S104" s="27"/>
      <c r="T104" s="27"/>
      <c r="U104" s="28"/>
    </row>
    <row r="105" spans="12:21" ht="15.75" thickBot="1" x14ac:dyDescent="0.3"/>
    <row r="106" spans="12:21" ht="15.75" thickBot="1" x14ac:dyDescent="0.3">
      <c r="L106" s="37" t="s">
        <v>220</v>
      </c>
      <c r="M106" s="38"/>
      <c r="N106" s="38"/>
      <c r="O106" s="38"/>
      <c r="P106" s="38"/>
      <c r="Q106" s="38"/>
      <c r="R106" s="38"/>
      <c r="S106" s="38"/>
      <c r="T106" s="38"/>
      <c r="U106" s="39"/>
    </row>
    <row r="107" spans="12:21" x14ac:dyDescent="0.25">
      <c r="L107" s="17" t="s">
        <v>109</v>
      </c>
      <c r="M107" t="s">
        <v>110</v>
      </c>
      <c r="N107" t="s">
        <v>79</v>
      </c>
      <c r="O107" s="3" t="s">
        <v>117</v>
      </c>
      <c r="P107" s="3" t="s">
        <v>118</v>
      </c>
      <c r="R107" t="s">
        <v>161</v>
      </c>
      <c r="S107" t="s">
        <v>162</v>
      </c>
      <c r="T107" t="s">
        <v>163</v>
      </c>
      <c r="U107" s="18" t="s">
        <v>164</v>
      </c>
    </row>
    <row r="108" spans="12:21" x14ac:dyDescent="0.25">
      <c r="L108" s="17" t="s">
        <v>54</v>
      </c>
      <c r="M108">
        <f>COUNTIF(Scenario5[winner1-ability1],ParagonAbilities1Scenario5[[#This Row],[ability]])+COUNTIF(Scenario5[winner2-ability1],ParagonAbilities1Scenario5[[#This Row],[ability]])+COUNTIF(Scenario5[loser1-ability1],ParagonAbilities1Scenario5[[#This Row],[ability]])+COUNTIF(Scenario5[loser2-ability1],ParagonAbilities1Scenario5[[#This Row],[ability]])</f>
        <v>0</v>
      </c>
      <c r="N108">
        <f>COUNTIF(Scenario5[winner1-ability1],ParagonAbilities1Scenario5[[#This Row],[ability]])+COUNTIF(Scenario5[winner2-ability1],ParagonAbilities1Scenario5[[#This Row],[ability]])</f>
        <v>0</v>
      </c>
      <c r="O108" s="3">
        <f>IF(SUM(ParagonAbilities1Scenario5[[#This Row],[takes]]) &gt; 0,ParagonAbilities1Scenario5[[#This Row],[takes]]/SUM(ParagonAbilities1Scenario5[takes]),0)</f>
        <v>0</v>
      </c>
      <c r="P108" s="3">
        <f>IF(ParagonAbilities1Scenario5[[#This Row],[takes]]&gt;0,ParagonAbilities1Scenario5[[#This Row],[wins]]/ParagonAbilities1Scenario5[[#This Row],[takes]],0)</f>
        <v>0</v>
      </c>
      <c r="R108">
        <v>1</v>
      </c>
      <c r="S108">
        <f>COUNTIFS(Scenario5[winner1],"paragon",Scenario5[winner1-pw],ParagonEquipScenario5[[#This Row],[level]])+COUNTIFS(Scenario5[winner2],"paragon",Scenario5[winner2-pw],ParagonEquipScenario5[[#This Row],[level]])+COUNTIFS(Scenario5[loser1],"paragon",Scenario5[loser1-pw],ParagonEquipScenario5[[#This Row],[level]])+COUNTIFS(Scenario5[loser2],"paragon",Scenario5[loser2-pw],ParagonEquipScenario5[[#This Row],[level]])</f>
        <v>51</v>
      </c>
      <c r="T108">
        <f>COUNTIFS(Scenario5[winner1],"paragon",Scenario5[winner1-sw],ParagonEquipScenario5[[#This Row],[level]])+COUNTIFS(Scenario5[winner2],"paragon",Scenario5[winner2-sw],ParagonEquipScenario5[[#This Row],[level]])+COUNTIFS(Scenario5[loser1],"paragon",Scenario5[loser1-sw],ParagonEquipScenario5[[#This Row],[level]])+COUNTIFS(Scenario5[loser2],"paragon",Scenario5[loser2-sw],ParagonEquipScenario5[[#This Row],[level]])</f>
        <v>69</v>
      </c>
      <c r="U108" s="18">
        <f>COUNTIFS(Scenario5[winner1],"paragon",Scenario5[winner1-cp],ParagonEquipScenario5[[#This Row],[level]])+COUNTIFS(Scenario5[winner2],"paragon",Scenario5[winner2-cp],ParagonEquipScenario5[[#This Row],[level]])+COUNTIFS(Scenario5[loser1],"paragon",Scenario5[loser1-cp],ParagonEquipScenario5[[#This Row],[level]])+COUNTIFS(Scenario5[loser2],"paragon",Scenario5[loser2-cp],ParagonEquipScenario5[[#This Row],[level]])</f>
        <v>48</v>
      </c>
    </row>
    <row r="109" spans="12:21" x14ac:dyDescent="0.25">
      <c r="L109" s="17" t="s">
        <v>111</v>
      </c>
      <c r="M109">
        <f>COUNTIF(Scenario5[winner1-ability1],ParagonAbilities1Scenario5[[#This Row],[ability]])+COUNTIF(Scenario5[winner2-ability1],ParagonAbilities1Scenario5[[#This Row],[ability]])+COUNTIF(Scenario5[loser1-ability1],ParagonAbilities1Scenario5[[#This Row],[ability]])+COUNTIF(Scenario5[loser2-ability1],ParagonAbilities1Scenario5[[#This Row],[ability]])</f>
        <v>44</v>
      </c>
      <c r="N109">
        <f>COUNTIF(Scenario5[winner1-ability1],ParagonAbilities1Scenario5[[#This Row],[ability]])+COUNTIF(Scenario5[winner2-ability1],ParagonAbilities1Scenario5[[#This Row],[ability]])</f>
        <v>29</v>
      </c>
      <c r="O109" s="3">
        <f>IF(SUM(ParagonAbilities1Scenario5[[#This Row],[takes]]) &gt; 0,ParagonAbilities1Scenario5[[#This Row],[takes]]/SUM(ParagonAbilities1Scenario5[takes]),0)</f>
        <v>0.41904761904761906</v>
      </c>
      <c r="P109" s="3">
        <f>IF(ParagonAbilities1Scenario5[[#This Row],[takes]]&gt;0,ParagonAbilities1Scenario5[[#This Row],[wins]]/ParagonAbilities1Scenario5[[#This Row],[takes]],0)</f>
        <v>0.65909090909090906</v>
      </c>
      <c r="R109">
        <v>2</v>
      </c>
      <c r="S109">
        <f>COUNTIFS(Scenario5[winner1],"paragon",Scenario5[winner1-pw],ParagonEquipScenario5[[#This Row],[level]])+COUNTIFS(Scenario5[winner2],"paragon",Scenario5[winner2-pw],ParagonEquipScenario5[[#This Row],[level]])+COUNTIFS(Scenario5[loser1],"paragon",Scenario5[loser1-pw],ParagonEquipScenario5[[#This Row],[level]])+COUNTIFS(Scenario5[loser2],"paragon",Scenario5[loser2-pw],ParagonEquipScenario5[[#This Row],[level]])</f>
        <v>32</v>
      </c>
      <c r="T109">
        <f>COUNTIFS(Scenario5[winner1],"paragon",Scenario5[winner1-sw],ParagonEquipScenario5[[#This Row],[level]])+COUNTIFS(Scenario5[winner2],"paragon",Scenario5[winner2-sw],ParagonEquipScenario5[[#This Row],[level]])+COUNTIFS(Scenario5[loser1],"paragon",Scenario5[loser1-sw],ParagonEquipScenario5[[#This Row],[level]])+COUNTIFS(Scenario5[loser2],"paragon",Scenario5[loser2-sw],ParagonEquipScenario5[[#This Row],[level]])</f>
        <v>22</v>
      </c>
      <c r="U109" s="18">
        <f>COUNTIFS(Scenario5[winner1],"paragon",Scenario5[winner1-cp],ParagonEquipScenario5[[#This Row],[level]])+COUNTIFS(Scenario5[winner2],"paragon",Scenario5[winner2-cp],ParagonEquipScenario5[[#This Row],[level]])+COUNTIFS(Scenario5[loser1],"paragon",Scenario5[loser1-cp],ParagonEquipScenario5[[#This Row],[level]])+COUNTIFS(Scenario5[loser2],"paragon",Scenario5[loser2-cp],ParagonEquipScenario5[[#This Row],[level]])</f>
        <v>30</v>
      </c>
    </row>
    <row r="110" spans="12:21" x14ac:dyDescent="0.25">
      <c r="L110" s="17" t="s">
        <v>112</v>
      </c>
      <c r="M110">
        <f>COUNTIF(Scenario5[winner1-ability1],ParagonAbilities1Scenario5[[#This Row],[ability]])+COUNTIF(Scenario5[winner2-ability1],ParagonAbilities1Scenario5[[#This Row],[ability]])+COUNTIF(Scenario5[loser1-ability1],ParagonAbilities1Scenario5[[#This Row],[ability]])+COUNTIF(Scenario5[loser2-ability1],ParagonAbilities1Scenario5[[#This Row],[ability]])</f>
        <v>61</v>
      </c>
      <c r="N110">
        <f>COUNTIF(Scenario5[winner1-ability1],ParagonAbilities1Scenario5[[#This Row],[ability]])+COUNTIF(Scenario5[winner2-ability1],ParagonAbilities1Scenario5[[#This Row],[ability]])</f>
        <v>28</v>
      </c>
      <c r="O110" s="3">
        <f>IF(SUM(ParagonAbilities1Scenario5[[#This Row],[takes]]) &gt; 0,ParagonAbilities1Scenario5[[#This Row],[takes]]/SUM(ParagonAbilities1Scenario5[takes]),0)</f>
        <v>0.580952380952381</v>
      </c>
      <c r="P110" s="3">
        <f>IF(ParagonAbilities1Scenario5[[#This Row],[takes]]&gt;0,ParagonAbilities1Scenario5[[#This Row],[wins]]/ParagonAbilities1Scenario5[[#This Row],[takes]],0)</f>
        <v>0.45901639344262296</v>
      </c>
      <c r="R110">
        <v>3</v>
      </c>
      <c r="S110">
        <f>COUNTIFS(Scenario5[winner1],"paragon",Scenario5[winner1-pw],ParagonEquipScenario5[[#This Row],[level]])+COUNTIFS(Scenario5[winner2],"paragon",Scenario5[winner2-pw],ParagonEquipScenario5[[#This Row],[level]])+COUNTIFS(Scenario5[loser1],"paragon",Scenario5[loser1-pw],ParagonEquipScenario5[[#This Row],[level]])+COUNTIFS(Scenario5[loser2],"paragon",Scenario5[loser2-pw],ParagonEquipScenario5[[#This Row],[level]])</f>
        <v>22</v>
      </c>
      <c r="T110">
        <f>COUNTIFS(Scenario5[winner1],"paragon",Scenario5[winner1-sw],ParagonEquipScenario5[[#This Row],[level]])+COUNTIFS(Scenario5[winner2],"paragon",Scenario5[winner2-sw],ParagonEquipScenario5[[#This Row],[level]])+COUNTIFS(Scenario5[loser1],"paragon",Scenario5[loser1-sw],ParagonEquipScenario5[[#This Row],[level]])+COUNTIFS(Scenario5[loser2],"paragon",Scenario5[loser2-sw],ParagonEquipScenario5[[#This Row],[level]])</f>
        <v>14</v>
      </c>
      <c r="U110" s="18">
        <f>COUNTIFS(Scenario5[winner1],"paragon",Scenario5[winner1-cp],ParagonEquipScenario5[[#This Row],[level]])+COUNTIFS(Scenario5[winner2],"paragon",Scenario5[winner2-cp],ParagonEquipScenario5[[#This Row],[level]])+COUNTIFS(Scenario5[loser1],"paragon",Scenario5[loser1-cp],ParagonEquipScenario5[[#This Row],[level]])+COUNTIFS(Scenario5[loser2],"paragon",Scenario5[loser2-cp],ParagonEquipScenario5[[#This Row],[level]])</f>
        <v>27</v>
      </c>
    </row>
    <row r="111" spans="12:21" x14ac:dyDescent="0.25">
      <c r="L111" s="17"/>
      <c r="O111" s="3"/>
      <c r="P111" s="3"/>
      <c r="U111" s="18"/>
    </row>
    <row r="112" spans="12:21" x14ac:dyDescent="0.25">
      <c r="L112" s="19" t="s">
        <v>109</v>
      </c>
      <c r="M112" s="8" t="s">
        <v>110</v>
      </c>
      <c r="N112" s="8" t="s">
        <v>79</v>
      </c>
      <c r="O112" s="9" t="s">
        <v>117</v>
      </c>
      <c r="P112" s="9" t="s">
        <v>118</v>
      </c>
      <c r="U112" s="18"/>
    </row>
    <row r="113" spans="12:21" x14ac:dyDescent="0.25">
      <c r="L113" s="20" t="s">
        <v>55</v>
      </c>
      <c r="M113" s="2">
        <f>COUNTIF(Scenario5[winner1-ability2],ParagonAbilities2Scenario5[[#This Row],[ability]])+COUNTIF(Scenario5[winner2-ability2],ParagonAbilities2Scenario5[[#This Row],[ability]])+COUNTIF(Scenario5[loser1-ability2],ParagonAbilities2Scenario5[[#This Row],[ability]])+COUNTIF(Scenario5[loser2-ability2],ParagonAbilities2Scenario5[[#This Row],[ability]])</f>
        <v>36</v>
      </c>
      <c r="N113" s="2">
        <f>COUNTIF(Scenario5[winner1-ability2],ParagonAbilities2Scenario5[[#This Row],[ability]])+COUNTIF(Scenario5[winner2-ability2],ParagonAbilities2Scenario5[[#This Row],[ability]])</f>
        <v>15</v>
      </c>
      <c r="O113" s="12">
        <f>IF(SUM(ParagonAbilities2Scenario5[[#This Row],[takes]]) &gt; 0,ParagonAbilities2Scenario5[[#This Row],[takes]]/SUM(ParagonAbilities2Scenario5[takes]),0)</f>
        <v>0.35643564356435642</v>
      </c>
      <c r="P113" s="12">
        <f>IF(ParagonAbilities2Scenario5[[#This Row],[takes]]&gt;0,ParagonAbilities2Scenario5[[#This Row],[wins]]/ParagonAbilities2Scenario5[[#This Row],[takes]],0)</f>
        <v>0.41666666666666669</v>
      </c>
      <c r="U113" s="18"/>
    </row>
    <row r="114" spans="12:21" x14ac:dyDescent="0.25">
      <c r="L114" s="17" t="s">
        <v>83</v>
      </c>
      <c r="M114" s="2">
        <f>COUNTIF(Scenario5[winner1-ability2],ParagonAbilities2Scenario5[[#This Row],[ability]])+COUNTIF(Scenario5[winner2-ability2],ParagonAbilities2Scenario5[[#This Row],[ability]])+COUNTIF(Scenario5[loser1-ability2],ParagonAbilities2Scenario5[[#This Row],[ability]])+COUNTIF(Scenario5[loser2-ability2],ParagonAbilities2Scenario5[[#This Row],[ability]])</f>
        <v>29</v>
      </c>
      <c r="N114" s="2">
        <f>COUNTIF(Scenario5[winner1-ability2],ParagonAbilities2Scenario5[[#This Row],[ability]])+COUNTIF(Scenario5[winner2-ability2],ParagonAbilities2Scenario5[[#This Row],[ability]])</f>
        <v>13</v>
      </c>
      <c r="O114" s="3">
        <f>IF(SUM(ParagonAbilities2Scenario5[[#This Row],[takes]]) &gt; 0,ParagonAbilities2Scenario5[[#This Row],[takes]]/SUM(ParagonAbilities2Scenario5[takes]),0)</f>
        <v>0.28712871287128711</v>
      </c>
      <c r="P114" s="3">
        <f>IF(ParagonAbilities2Scenario5[[#This Row],[takes]]&gt;0,ParagonAbilities2Scenario5[[#This Row],[wins]]/ParagonAbilities2Scenario5[[#This Row],[takes]],0)</f>
        <v>0.44827586206896552</v>
      </c>
      <c r="U114" s="18"/>
    </row>
    <row r="115" spans="12:21" x14ac:dyDescent="0.25">
      <c r="L115" s="21" t="s">
        <v>113</v>
      </c>
      <c r="M115" s="2">
        <f>COUNTIF(Scenario5[winner1-ability2],ParagonAbilities2Scenario5[[#This Row],[ability]])+COUNTIF(Scenario5[winner2-ability2],ParagonAbilities2Scenario5[[#This Row],[ability]])+COUNTIF(Scenario5[loser1-ability2],ParagonAbilities2Scenario5[[#This Row],[ability]])+COUNTIF(Scenario5[loser2-ability2],ParagonAbilities2Scenario5[[#This Row],[ability]])</f>
        <v>36</v>
      </c>
      <c r="N115" s="2">
        <f>COUNTIF(Scenario5[winner1-ability2],ParagonAbilities2Scenario5[[#This Row],[ability]])+COUNTIF(Scenario5[winner2-ability2],ParagonAbilities2Scenario5[[#This Row],[ability]])</f>
        <v>27</v>
      </c>
      <c r="O115" s="13">
        <f>IF(SUM(ParagonAbilities2Scenario5[[#This Row],[takes]]) &gt; 0,ParagonAbilities2Scenario5[[#This Row],[takes]]/SUM(ParagonAbilities2Scenario5[takes]),0)</f>
        <v>0.35643564356435642</v>
      </c>
      <c r="P115" s="13">
        <f>IF(ParagonAbilities2Scenario5[[#This Row],[takes]]&gt;0,ParagonAbilities2Scenario5[[#This Row],[wins]]/ParagonAbilities2Scenario5[[#This Row],[takes]],0)</f>
        <v>0.75</v>
      </c>
      <c r="U115" s="18"/>
    </row>
    <row r="116" spans="12:21" x14ac:dyDescent="0.25">
      <c r="L116" s="17"/>
      <c r="O116" s="3"/>
      <c r="P116" s="3"/>
      <c r="U116" s="18"/>
    </row>
    <row r="117" spans="12:21" x14ac:dyDescent="0.25">
      <c r="L117" s="19" t="s">
        <v>109</v>
      </c>
      <c r="M117" s="8" t="s">
        <v>110</v>
      </c>
      <c r="N117" s="8" t="s">
        <v>79</v>
      </c>
      <c r="O117" s="9" t="s">
        <v>117</v>
      </c>
      <c r="P117" s="9" t="s">
        <v>118</v>
      </c>
      <c r="U117" s="18"/>
    </row>
    <row r="118" spans="12:21" x14ac:dyDescent="0.25">
      <c r="L118" s="22" t="s">
        <v>114</v>
      </c>
      <c r="M118" s="1">
        <f>COUNTIF(Scenario5[winner1-ability3],ParagonAbilities3Scenario5[[#This Row],[ability]])+COUNTIF(Scenario5[winner2-ability3],ParagonAbilities3Scenario5[[#This Row],[ability]])+COUNTIF(Scenario5[loser1-ability3],ParagonAbilities3Scenario5[[#This Row],[ability]])+COUNTIF(Scenario5[loser2-ability3],ParagonAbilities3Scenario5[[#This Row],[ability]])</f>
        <v>11</v>
      </c>
      <c r="N118" s="1">
        <f>COUNTIF(Scenario5[winner1-ability3],ParagonAbilities3Scenario5[[#This Row],[ability]])+COUNTIF(Scenario5[winner2-ability3],ParagonAbilities3Scenario5[[#This Row],[ability]])</f>
        <v>9</v>
      </c>
      <c r="O118" s="14">
        <f>IF(SUM(ParagonAbilities3Scenario5[[#This Row],[takes]]) &gt; 0,ParagonAbilities3Scenario5[[#This Row],[takes]]/SUM(ParagonAbilities3Scenario5[takes]),0)</f>
        <v>0.13414634146341464</v>
      </c>
      <c r="P118" s="14">
        <f>IF(ParagonAbilities3Scenario5[[#This Row],[takes]]&gt;0,ParagonAbilities3Scenario5[[#This Row],[wins]]/ParagonAbilities3Scenario5[[#This Row],[takes]],0)</f>
        <v>0.81818181818181823</v>
      </c>
      <c r="U118" s="18"/>
    </row>
    <row r="119" spans="12:21" x14ac:dyDescent="0.25">
      <c r="L119" s="20" t="s">
        <v>105</v>
      </c>
      <c r="M119" s="2">
        <f>COUNTIF(Scenario5[winner1-ability3],ParagonAbilities3Scenario5[[#This Row],[ability]])+COUNTIF(Scenario5[winner2-ability3],ParagonAbilities3Scenario5[[#This Row],[ability]])+COUNTIF(Scenario5[loser1-ability3],ParagonAbilities3Scenario5[[#This Row],[ability]])+COUNTIF(Scenario5[loser2-ability3],ParagonAbilities3Scenario5[[#This Row],[ability]])</f>
        <v>33</v>
      </c>
      <c r="N119" s="2">
        <f>COUNTIF(Scenario5[winner1-ability3],ParagonAbilities3Scenario5[[#This Row],[ability]])+COUNTIF(Scenario5[winner2-ability3],ParagonAbilities3Scenario5[[#This Row],[ability]])</f>
        <v>17</v>
      </c>
      <c r="O119" s="12">
        <f>IF(SUM(ParagonAbilities3Scenario5[[#This Row],[takes]]) &gt; 0,ParagonAbilities3Scenario5[[#This Row],[takes]]/SUM(ParagonAbilities3Scenario5[takes]),0)</f>
        <v>0.40243902439024393</v>
      </c>
      <c r="P119" s="12">
        <f>IF(ParagonAbilities3Scenario5[[#This Row],[takes]]&gt;0,ParagonAbilities3Scenario5[[#This Row],[wins]]/ParagonAbilities3Scenario5[[#This Row],[takes]],0)</f>
        <v>0.51515151515151514</v>
      </c>
      <c r="U119" s="18"/>
    </row>
    <row r="120" spans="12:21" x14ac:dyDescent="0.25">
      <c r="L120" s="23" t="s">
        <v>97</v>
      </c>
      <c r="M120" s="1">
        <f>COUNTIF(Scenario5[winner1-ability3],ParagonAbilities3Scenario5[[#This Row],[ability]])+COUNTIF(Scenario5[winner2-ability3],ParagonAbilities3Scenario5[[#This Row],[ability]])+COUNTIF(Scenario5[loser1-ability3],ParagonAbilities3Scenario5[[#This Row],[ability]])+COUNTIF(Scenario5[loser2-ability3],ParagonAbilities3Scenario5[[#This Row],[ability]])</f>
        <v>38</v>
      </c>
      <c r="N120" s="1">
        <f>COUNTIF(Scenario5[winner1-ability3],ParagonAbilities3Scenario5[[#This Row],[ability]])+COUNTIF(Scenario5[winner2-ability3],ParagonAbilities3Scenario5[[#This Row],[ability]])</f>
        <v>19</v>
      </c>
      <c r="O120" s="15">
        <f>IF(SUM(ParagonAbilities3Scenario5[[#This Row],[takes]]) &gt; 0,ParagonAbilities3Scenario5[[#This Row],[takes]]/SUM(ParagonAbilities3Scenario5[takes]),0)</f>
        <v>0.46341463414634149</v>
      </c>
      <c r="P120" s="15">
        <f>IF(ParagonAbilities3Scenario5[[#This Row],[takes]]&gt;0,ParagonAbilities3Scenario5[[#This Row],[wins]]/ParagonAbilities3Scenario5[[#This Row],[takes]],0)</f>
        <v>0.5</v>
      </c>
      <c r="U120" s="18"/>
    </row>
    <row r="121" spans="12:21" x14ac:dyDescent="0.25">
      <c r="L121" s="17"/>
      <c r="O121" s="3"/>
      <c r="P121" s="3"/>
      <c r="U121" s="18"/>
    </row>
    <row r="122" spans="12:21" x14ac:dyDescent="0.25">
      <c r="L122" s="19" t="s">
        <v>109</v>
      </c>
      <c r="M122" s="8" t="s">
        <v>110</v>
      </c>
      <c r="N122" s="8" t="s">
        <v>79</v>
      </c>
      <c r="O122" s="9" t="s">
        <v>117</v>
      </c>
      <c r="P122" s="9" t="s">
        <v>118</v>
      </c>
      <c r="U122" s="18"/>
    </row>
    <row r="123" spans="12:21" x14ac:dyDescent="0.25">
      <c r="L123" s="20" t="s">
        <v>98</v>
      </c>
      <c r="M123" s="2">
        <f>COUNTIF(Scenario5[winner1-ability4],ParagonAbilities4Scenario5[[#This Row],[ability]])+COUNTIF(Scenario5[winner2-ability4],ParagonAbilities4Scenario5[[#This Row],[ability]])+COUNTIF(Scenario5[loser1-ability4],ParagonAbilities4Scenario5[[#This Row],[ability]])+COUNTIF(Scenario5[loser2-ability4],ParagonAbilities4Scenario5[[#This Row],[ability]])</f>
        <v>17</v>
      </c>
      <c r="N123" s="2">
        <f>COUNTIF(Scenario5[winner1-ability4],ParagonAbilities4Scenario5[[#This Row],[ability]])+COUNTIF(Scenario5[winner2-ability4],ParagonAbilities4Scenario5[[#This Row],[ability]])</f>
        <v>11</v>
      </c>
      <c r="O123" s="12">
        <f>IF(SUM(ParagonAbilities4Scenario5[[#This Row],[takes]]) &gt; 0,ParagonAbilities4Scenario5[[#This Row],[takes]]/SUM(ParagonAbilities4Scenario5[takes]),0)</f>
        <v>0.39534883720930231</v>
      </c>
      <c r="P123" s="12">
        <f>IF(ParagonAbilities4Scenario5[[#This Row],[takes]]&gt;0,ParagonAbilities4Scenario5[[#This Row],[wins]]/ParagonAbilities4Scenario5[[#This Row],[takes]],0)</f>
        <v>0.6470588235294118</v>
      </c>
      <c r="U123" s="18"/>
    </row>
    <row r="124" spans="12:21" x14ac:dyDescent="0.25">
      <c r="L124" s="20" t="s">
        <v>115</v>
      </c>
      <c r="M124" s="2">
        <f>COUNTIF(Scenario5[winner1-ability4],ParagonAbilities4Scenario5[[#This Row],[ability]])+COUNTIF(Scenario5[winner2-ability4],ParagonAbilities4Scenario5[[#This Row],[ability]])+COUNTIF(Scenario5[loser1-ability4],ParagonAbilities4Scenario5[[#This Row],[ability]])+COUNTIF(Scenario5[loser2-ability4],ParagonAbilities4Scenario5[[#This Row],[ability]])</f>
        <v>10</v>
      </c>
      <c r="N124" s="2">
        <f>COUNTIF(Scenario5[winner1-ability4],ParagonAbilities4Scenario5[[#This Row],[ability]])+COUNTIF(Scenario5[winner2-ability4],ParagonAbilities4Scenario5[[#This Row],[ability]])</f>
        <v>3</v>
      </c>
      <c r="O124" s="12">
        <f>IF(SUM(ParagonAbilities4Scenario5[[#This Row],[takes]]) &gt; 0,ParagonAbilities4Scenario5[[#This Row],[takes]]/SUM(ParagonAbilities4Scenario5[takes]),0)</f>
        <v>0.23255813953488372</v>
      </c>
      <c r="P124" s="12">
        <f>IF(ParagonAbilities4Scenario5[[#This Row],[takes]]&gt;0,ParagonAbilities4Scenario5[[#This Row],[wins]]/ParagonAbilities4Scenario5[[#This Row],[takes]],0)</f>
        <v>0.3</v>
      </c>
      <c r="U124" s="18"/>
    </row>
    <row r="125" spans="12:21" ht="15.75" thickBot="1" x14ac:dyDescent="0.3">
      <c r="L125" s="24" t="s">
        <v>116</v>
      </c>
      <c r="M125" s="2">
        <f>COUNTIF(Scenario5[winner1-ability4],ParagonAbilities4Scenario5[[#This Row],[ability]])+COUNTIF(Scenario5[winner2-ability4],ParagonAbilities4Scenario5[[#This Row],[ability]])+COUNTIF(Scenario5[loser1-ability4],ParagonAbilities4Scenario5[[#This Row],[ability]])+COUNTIF(Scenario5[loser2-ability4],ParagonAbilities4Scenario5[[#This Row],[ability]])</f>
        <v>16</v>
      </c>
      <c r="N125" s="2">
        <f>COUNTIF(Scenario5[winner1-ability4],ParagonAbilities4Scenario5[[#This Row],[ability]])+COUNTIF(Scenario5[winner2-ability4],ParagonAbilities4Scenario5[[#This Row],[ability]])</f>
        <v>15</v>
      </c>
      <c r="O125" s="26">
        <f>IF(SUM(ParagonAbilities4Scenario5[[#This Row],[takes]]) &gt; 0,ParagonAbilities4Scenario5[[#This Row],[takes]]/SUM(ParagonAbilities4Scenario5[takes]),0)</f>
        <v>0.37209302325581395</v>
      </c>
      <c r="P125" s="26">
        <f>IF(ParagonAbilities4Scenario5[[#This Row],[takes]]&gt;0,ParagonAbilities4Scenario5[[#This Row],[wins]]/ParagonAbilities4Scenario5[[#This Row],[takes]],0)</f>
        <v>0.9375</v>
      </c>
      <c r="Q125" s="27"/>
      <c r="R125" s="27"/>
      <c r="S125" s="27"/>
      <c r="T125" s="27"/>
      <c r="U125" s="28"/>
    </row>
  </sheetData>
  <mergeCells count="7">
    <mergeCell ref="L106:U106"/>
    <mergeCell ref="L85:U85"/>
    <mergeCell ref="A1:J1"/>
    <mergeCell ref="L1:U1"/>
    <mergeCell ref="L22:U22"/>
    <mergeCell ref="L43:U43"/>
    <mergeCell ref="L64:U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7ED0C-4110-4CF5-8DC3-FF9F21DAA0FB}">
  <dimension ref="A1:V125"/>
  <sheetViews>
    <sheetView workbookViewId="0">
      <selection activeCell="E24" sqref="E24"/>
    </sheetView>
  </sheetViews>
  <sheetFormatPr defaultRowHeight="15" x14ac:dyDescent="0.25"/>
  <cols>
    <col min="1" max="1" width="18.425781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8.7109375" bestFit="1" customWidth="1"/>
    <col min="9" max="9" width="12.85546875" bestFit="1" customWidth="1"/>
    <col min="10" max="10" width="3.85546875" customWidth="1"/>
    <col min="11" max="11" width="18.42578125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4" customWidth="1"/>
    <col min="17" max="17" width="7.7109375" bestFit="1" customWidth="1"/>
    <col min="18" max="18" width="8.710937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9"/>
      <c r="K1" s="37" t="s">
        <v>182</v>
      </c>
      <c r="L1" s="38"/>
      <c r="M1" s="38"/>
      <c r="N1" s="38"/>
      <c r="O1" s="38"/>
      <c r="P1" s="38"/>
      <c r="Q1" s="38"/>
      <c r="R1" s="38"/>
      <c r="S1" s="39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165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165</v>
      </c>
      <c r="S2" s="18" t="s">
        <v>164</v>
      </c>
      <c r="U2" t="s">
        <v>192</v>
      </c>
      <c r="V2" s="3">
        <f>H4/SUM(HighlanderEquip[sword])</f>
        <v>0.30129870129870129</v>
      </c>
    </row>
    <row r="3" spans="1:22" x14ac:dyDescent="0.25">
      <c r="A3" t="s">
        <v>68</v>
      </c>
      <c r="B3">
        <f>L3+L24+L45+L66+L87+L108</f>
        <v>118</v>
      </c>
      <c r="C3">
        <f>M3+M24+M45+M66+M87+M108</f>
        <v>52</v>
      </c>
      <c r="D3" s="3">
        <f>IF(SUM(HighlanderAbilities1[[#This Row],[takes]]) &gt; 0,HighlanderAbilities1[[#This Row],[takes]]/SUM(HighlanderAbilities1[takes]),0)</f>
        <v>0.30649350649350648</v>
      </c>
      <c r="E3" s="3">
        <f>IF(HighlanderAbilities1[[#This Row],[takes]]&gt;0,HighlanderAbilities1[[#This Row],[wins]]/HighlanderAbilities1[[#This Row],[takes]],0)</f>
        <v>0.44067796610169491</v>
      </c>
      <c r="G3">
        <v>1</v>
      </c>
      <c r="H3">
        <f>R3+R24+R45+R66+R87+R108</f>
        <v>116</v>
      </c>
      <c r="I3" s="18">
        <f>S3+S24+S45+S66+S87+S108</f>
        <v>254</v>
      </c>
      <c r="K3" s="17" t="s">
        <v>68</v>
      </c>
      <c r="L3">
        <f>COUNTIF(Scenario0[winner1-ability1],HighlanderAbilities1Scenario0[[#This Row],[ability]])+COUNTIF(Scenario0[winner2-ability1],HighlanderAbilities1Scenario0[[#This Row],[ability]])+COUNTIF(Scenario0[loser1-ability1],HighlanderAbilities1Scenario0[[#This Row],[ability]])+COUNTIF(Scenario0[loser2-ability1],HighlanderAbilities1Scenario0[[#This Row],[ability]])</f>
        <v>47</v>
      </c>
      <c r="M3">
        <f>COUNTIF(Scenario0[winner1-ability1],HighlanderAbilities1Scenario0[[#This Row],[ability]])+COUNTIF(Scenario0[winner2-ability1],HighlanderAbilities1Scenario0[[#This Row],[ability]])</f>
        <v>11</v>
      </c>
      <c r="N3" s="3">
        <f>IF(SUM(HighlanderAbilities1Scenario0[[#This Row],[takes]]) &gt; 0,HighlanderAbilities1Scenario0[[#This Row],[takes]]/SUM(HighlanderAbilities1Scenario0[takes]),0)</f>
        <v>0.44761904761904764</v>
      </c>
      <c r="O3" s="3">
        <f>IF(HighlanderAbilities1Scenario0[[#This Row],[takes]]&gt;0,HighlanderAbilities1Scenario0[[#This Row],[wins]]/HighlanderAbilities1Scenario0[[#This Row],[takes]],0)</f>
        <v>0.23404255319148937</v>
      </c>
      <c r="Q3">
        <v>1</v>
      </c>
      <c r="R3">
        <f>COUNTIFS(Scenario0[winner1],"highlander",Scenario0[winner1-pw],HighlanderEquipScenario0[[#This Row],[level]])+COUNTIFS(Scenario0[winner2],"highlander",Scenario0[winner2-pw],HighlanderEquipScenario0[[#This Row],[level]])+COUNTIFS(Scenario0[loser1],"highlander",Scenario0[loser1-pw],HighlanderEquipScenario0[[#This Row],[level]])+COUNTIFS(Scenario0[loser2],"highlander",Scenario0[loser2-pw],HighlanderEquipScenario0[[#This Row],[level]])</f>
        <v>66</v>
      </c>
      <c r="S3" s="18">
        <f>COUNTIFS(Scenario0[winner1],"highlander",Scenario0[winner1-cp],HighlanderEquipScenario0[[#This Row],[level]])+COUNTIFS(Scenario0[winner2],"highlander",Scenario0[winner2-cp],HighlanderEquipScenario0[[#This Row],[level]])+COUNTIFS(Scenario0[loser1],"highlander",Scenario0[loser1-cp],HighlanderEquipScenario0[[#This Row],[level]])+COUNTIFS(Scenario0[loser2],"highlander",Scenario0[loser2-cp],HighlanderEquipScenario0[[#This Row],[level]])</f>
        <v>89</v>
      </c>
      <c r="U3" t="s">
        <v>193</v>
      </c>
      <c r="V3" s="16">
        <f>H5/SUM(HighlanderEquip[sword])</f>
        <v>0.39740259740259742</v>
      </c>
    </row>
    <row r="4" spans="1:22" x14ac:dyDescent="0.25">
      <c r="A4" t="s">
        <v>120</v>
      </c>
      <c r="B4">
        <f t="shared" ref="B4:B5" si="0">L4+L25+L46+L67+L88+L109</f>
        <v>90</v>
      </c>
      <c r="C4">
        <f t="shared" ref="C4:C5" si="1">M4+M25+M46+M67+M88+M109</f>
        <v>47</v>
      </c>
      <c r="D4" s="3">
        <f>IF(SUM(HighlanderAbilities1[[#This Row],[takes]]) &gt; 0,HighlanderAbilities1[[#This Row],[takes]]/SUM(HighlanderAbilities1[takes]),0)</f>
        <v>0.23376623376623376</v>
      </c>
      <c r="E4" s="3">
        <f>IF(HighlanderAbilities1[[#This Row],[takes]]&gt;0,HighlanderAbilities1[[#This Row],[wins]]/HighlanderAbilities1[[#This Row],[takes]],0)</f>
        <v>0.52222222222222225</v>
      </c>
      <c r="G4">
        <v>2</v>
      </c>
      <c r="H4">
        <f t="shared" ref="H4:H5" si="2">R4+R25+R46+R67+R88+R109</f>
        <v>116</v>
      </c>
      <c r="I4" s="18">
        <f t="shared" ref="I4:I5" si="3">S4+S25+S46+S67+S88+S109</f>
        <v>53</v>
      </c>
      <c r="K4" s="17" t="s">
        <v>120</v>
      </c>
      <c r="L4">
        <f>COUNTIF(Scenario0[winner1-ability1],HighlanderAbilities1Scenario0[[#This Row],[ability]])+COUNTIF(Scenario0[winner2-ability1],HighlanderAbilities1Scenario0[[#This Row],[ability]])+COUNTIF(Scenario0[loser1-ability1],HighlanderAbilities1Scenario0[[#This Row],[ability]])+COUNTIF(Scenario0[loser2-ability1],HighlanderAbilities1Scenario0[[#This Row],[ability]])</f>
        <v>0</v>
      </c>
      <c r="M4">
        <f>COUNTIF(Scenario0[winner1-ability1],HighlanderAbilities1Scenario0[[#This Row],[ability]])+COUNTIF(Scenario0[winner2-ability1],HighlanderAbilities1Scenario0[[#This Row],[ability]])</f>
        <v>0</v>
      </c>
      <c r="N4" s="3">
        <f>IF(SUM(HighlanderAbilities1Scenario0[[#This Row],[takes]]) &gt; 0,HighlanderAbilities1Scenario0[[#This Row],[takes]]/SUM(HighlanderAbilities1Scenario0[takes]),0)</f>
        <v>0</v>
      </c>
      <c r="O4" s="3">
        <f>IF(HighlanderAbilities1Scenario0[[#This Row],[takes]]&gt;0,HighlanderAbilities1Scenario0[[#This Row],[wins]]/HighlanderAbilities1Scenario0[[#This Row],[takes]],0)</f>
        <v>0</v>
      </c>
      <c r="Q4">
        <v>2</v>
      </c>
      <c r="R4">
        <f>COUNTIFS(Scenario0[winner1],"highlander",Scenario0[winner1-pw],HighlanderEquipScenario0[[#This Row],[level]])+COUNTIFS(Scenario0[winner2],"highlander",Scenario0[winner2-pw],HighlanderEquipScenario0[[#This Row],[level]])+COUNTIFS(Scenario0[loser1],"highlander",Scenario0[loser1-pw],HighlanderEquipScenario0[[#This Row],[level]])+COUNTIFS(Scenario0[loser2],"highlander",Scenario0[loser2-pw],HighlanderEquipScenario0[[#This Row],[level]])</f>
        <v>27</v>
      </c>
      <c r="S4" s="18">
        <f>COUNTIFS(Scenario0[winner1],"highlander",Scenario0[winner1-cp],HighlanderEquipScenario0[[#This Row],[level]])+COUNTIFS(Scenario0[winner2],"highlander",Scenario0[winner2-cp],HighlanderEquipScenario0[[#This Row],[level]])+COUNTIFS(Scenario0[loser1],"highlander",Scenario0[loser1-cp],HighlanderEquipScenario0[[#This Row],[level]])+COUNTIFS(Scenario0[loser2],"highlander",Scenario0[loser2-cp],HighlanderEquipScenario0[[#This Row],[level]])</f>
        <v>11</v>
      </c>
      <c r="U4" t="s">
        <v>179</v>
      </c>
      <c r="V4" s="3">
        <f>HighlanderEquip[[#This Row],[chestpiece]]/SUM(HighlanderEquip[chestpiece])</f>
        <v>0.13766233766233765</v>
      </c>
    </row>
    <row r="5" spans="1:22" x14ac:dyDescent="0.25">
      <c r="A5" t="s">
        <v>57</v>
      </c>
      <c r="B5">
        <f t="shared" si="0"/>
        <v>177</v>
      </c>
      <c r="C5">
        <f t="shared" si="1"/>
        <v>78</v>
      </c>
      <c r="D5" s="3">
        <f>IF(SUM(HighlanderAbilities1[[#This Row],[takes]]) &gt; 0,HighlanderAbilities1[[#This Row],[takes]]/SUM(HighlanderAbilities1[takes]),0)</f>
        <v>0.45974025974025973</v>
      </c>
      <c r="E5" s="3">
        <f>IF(HighlanderAbilities1[[#This Row],[takes]]&gt;0,HighlanderAbilities1[[#This Row],[wins]]/HighlanderAbilities1[[#This Row],[takes]],0)</f>
        <v>0.44067796610169491</v>
      </c>
      <c r="G5">
        <v>3</v>
      </c>
      <c r="H5">
        <f t="shared" si="2"/>
        <v>153</v>
      </c>
      <c r="I5" s="18">
        <f t="shared" si="3"/>
        <v>78</v>
      </c>
      <c r="K5" s="17" t="s">
        <v>57</v>
      </c>
      <c r="L5">
        <f>COUNTIF(Scenario0[winner1-ability1],HighlanderAbilities1Scenario0[[#This Row],[ability]])+COUNTIF(Scenario0[winner2-ability1],HighlanderAbilities1Scenario0[[#This Row],[ability]])+COUNTIF(Scenario0[loser1-ability1],HighlanderAbilities1Scenario0[[#This Row],[ability]])+COUNTIF(Scenario0[loser2-ability1],HighlanderAbilities1Scenario0[[#This Row],[ability]])</f>
        <v>58</v>
      </c>
      <c r="M5">
        <f>COUNTIF(Scenario0[winner1-ability1],HighlanderAbilities1Scenario0[[#This Row],[ability]])+COUNTIF(Scenario0[winner2-ability1],HighlanderAbilities1Scenario0[[#This Row],[ability]])</f>
        <v>28</v>
      </c>
      <c r="N5" s="3">
        <f>IF(SUM(HighlanderAbilities1Scenario0[[#This Row],[takes]]) &gt; 0,HighlanderAbilities1Scenario0[[#This Row],[takes]]/SUM(HighlanderAbilities1Scenario0[takes]),0)</f>
        <v>0.55238095238095242</v>
      </c>
      <c r="O5" s="3">
        <f>IF(HighlanderAbilities1Scenario0[[#This Row],[takes]]&gt;0,HighlanderAbilities1Scenario0[[#This Row],[wins]]/HighlanderAbilities1Scenario0[[#This Row],[takes]],0)</f>
        <v>0.48275862068965519</v>
      </c>
      <c r="Q5">
        <v>3</v>
      </c>
      <c r="R5">
        <f>COUNTIFS(Scenario0[winner1],"highlander",Scenario0[winner1-pw],HighlanderEquipScenario0[[#This Row],[level]])+COUNTIFS(Scenario0[winner2],"highlander",Scenario0[winner2-pw],HighlanderEquipScenario0[[#This Row],[level]])+COUNTIFS(Scenario0[loser1],"highlander",Scenario0[loser1-pw],HighlanderEquipScenario0[[#This Row],[level]])+COUNTIFS(Scenario0[loser2],"highlander",Scenario0[loser2-pw],HighlanderEquipScenario0[[#This Row],[level]])</f>
        <v>12</v>
      </c>
      <c r="S5" s="18">
        <f>COUNTIFS(Scenario0[winner1],"highlander",Scenario0[winner1-cp],HighlanderEquipScenario0[[#This Row],[level]])+COUNTIFS(Scenario0[winner2],"highlander",Scenario0[winner2-cp],HighlanderEquipScenario0[[#This Row],[level]])+COUNTIFS(Scenario0[loser1],"highlander",Scenario0[loser1-cp],HighlanderEquipScenario0[[#This Row],[level]])+COUNTIFS(Scenario0[loser2],"highlander",Scenario0[loser2-cp],HighlanderEquipScenario0[[#This Row],[level]])</f>
        <v>5</v>
      </c>
      <c r="U5" t="s">
        <v>180</v>
      </c>
      <c r="V5" s="16">
        <f>HighlanderEquip[[#This Row],[chestpiece]]/SUM(HighlanderEquip[chestpiece])</f>
        <v>0.20259740259740261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SUM(HighlanderAbilities2[takes])/SUM(HighlanderAbilities1[takes])</f>
        <v>0.66493506493506493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SUM(HighlanderAbilities3[takes])/SUM(HighlanderAbilities1[takes])</f>
        <v>0.44155844155844154</v>
      </c>
    </row>
    <row r="8" spans="1:22" x14ac:dyDescent="0.25">
      <c r="A8" s="2" t="s">
        <v>69</v>
      </c>
      <c r="B8" s="2">
        <f>L8+L29+L50+L71+L92+L113</f>
        <v>68</v>
      </c>
      <c r="C8" s="2">
        <f>M8+M29+M50+M71+M92+M113</f>
        <v>27</v>
      </c>
      <c r="D8" s="12">
        <f>IF(SUM(HighlanderAbilities2[[#This Row],[takes]]) &gt; 0,HighlanderAbilities2[[#This Row],[takes]]/SUM(HighlanderAbilities2[takes]),0)</f>
        <v>0.265625</v>
      </c>
      <c r="E8" s="12">
        <f>IF(HighlanderAbilities2[[#This Row],[takes]]&gt;0,HighlanderAbilities2[[#This Row],[wins]]/HighlanderAbilities2[[#This Row],[takes]],0)</f>
        <v>0.39705882352941174</v>
      </c>
      <c r="I8" s="18"/>
      <c r="K8" s="20" t="s">
        <v>69</v>
      </c>
      <c r="L8" s="2">
        <f>COUNTIF(Scenario0[winner1-ability2],HighlanderAbilities2Scenario0[[#This Row],[ability]])+COUNTIF(Scenario0[winner2-ability2],HighlanderAbilities2Scenario0[[#This Row],[ability]])+COUNTIF(Scenario0[loser1-ability2],HighlanderAbilities2Scenario0[[#This Row],[ability]])+COUNTIF(Scenario0[loser2-ability2],HighlanderAbilities2Scenario0[[#This Row],[ability]])</f>
        <v>7</v>
      </c>
      <c r="M8" s="2">
        <f>COUNTIF(Scenario0[winner1-ability2],HighlanderAbilities2Scenario0[[#This Row],[ability]])+COUNTIF(Scenario0[winner2-ability2],HighlanderAbilities2Scenario0[[#This Row],[ability]])</f>
        <v>2</v>
      </c>
      <c r="N8" s="12">
        <f>IF(SUM(HighlanderAbilities2Scenario0[[#This Row],[takes]]) &gt; 0,HighlanderAbilities2Scenario0[[#This Row],[takes]]/SUM(HighlanderAbilities2Scenario0[takes]),0)</f>
        <v>0.16666666666666666</v>
      </c>
      <c r="O8" s="12">
        <f>IF(HighlanderAbilities2Scenario0[[#This Row],[takes]]&gt;0,HighlanderAbilities2Scenario0[[#This Row],[wins]]/HighlanderAbilities2Scenario0[[#This Row],[takes]],0)</f>
        <v>0.2857142857142857</v>
      </c>
      <c r="S8" s="18"/>
      <c r="U8" t="s">
        <v>178</v>
      </c>
      <c r="V8" s="16">
        <f>SUM(HighlanderAbilities4[takes])/SUM(HighlanderAbilities1[takes])</f>
        <v>0.23376623376623376</v>
      </c>
    </row>
    <row r="9" spans="1:22" x14ac:dyDescent="0.25">
      <c r="A9" t="s">
        <v>121</v>
      </c>
      <c r="B9" s="2">
        <f t="shared" ref="B9:B10" si="4">L9+L30+L51+L72+L93+L114</f>
        <v>89</v>
      </c>
      <c r="C9" s="2">
        <f t="shared" ref="C9:C10" si="5">M9+M30+M51+M72+M93+M114</f>
        <v>49</v>
      </c>
      <c r="D9" s="3">
        <f>IF(SUM(HighlanderAbilities2[[#This Row],[takes]]) &gt; 0,HighlanderAbilities2[[#This Row],[takes]]/SUM(HighlanderAbilities2[takes]),0)</f>
        <v>0.34765625</v>
      </c>
      <c r="E9" s="3">
        <f>IF(HighlanderAbilities2[[#This Row],[takes]]&gt;0,HighlanderAbilities2[[#This Row],[wins]]/HighlanderAbilities2[[#This Row],[takes]],0)</f>
        <v>0.550561797752809</v>
      </c>
      <c r="I9" s="18"/>
      <c r="K9" s="17" t="s">
        <v>121</v>
      </c>
      <c r="L9" s="2">
        <f>COUNTIF(Scenario0[winner1-ability2],HighlanderAbilities2Scenario0[[#This Row],[ability]])+COUNTIF(Scenario0[winner2-ability2],HighlanderAbilities2Scenario0[[#This Row],[ability]])+COUNTIF(Scenario0[loser1-ability2],HighlanderAbilities2Scenario0[[#This Row],[ability]])+COUNTIF(Scenario0[loser2-ability2],HighlanderAbilities2Scenario0[[#This Row],[ability]])</f>
        <v>2</v>
      </c>
      <c r="M9" s="2">
        <f>COUNTIF(Scenario0[winner1-ability2],HighlanderAbilities2Scenario0[[#This Row],[ability]])+COUNTIF(Scenario0[winner2-ability2],HighlanderAbilities2Scenario0[[#This Row],[ability]])</f>
        <v>0</v>
      </c>
      <c r="N9" s="3">
        <f>IF(SUM(HighlanderAbilities2Scenario0[[#This Row],[takes]]) &gt; 0,HighlanderAbilities2Scenario0[[#This Row],[takes]]/SUM(HighlanderAbilities2Scenario0[takes]),0)</f>
        <v>4.7619047619047616E-2</v>
      </c>
      <c r="O9" s="3">
        <f>IF(HighlanderAbilities2Scenario0[[#This Row],[takes]]&gt;0,HighlanderAbilities2Scenario0[[#This Row],[wins]]/HighlanderAbilities2Scenario0[[#This Row],[takes]],0)</f>
        <v>0</v>
      </c>
      <c r="S9" s="18"/>
      <c r="U9" t="s">
        <v>194</v>
      </c>
      <c r="V9" s="33">
        <f>(SUM(HighlanderAbilities2[takes])+SUM(HighlanderAbilities3[takes])+SUM(HighlanderAbilities4[takes])+SUM(H4:H5)+SUM(I4:I5))/SUM(HighlanderAbilities1[takes])</f>
        <v>2.3792207792207791</v>
      </c>
    </row>
    <row r="10" spans="1:22" x14ac:dyDescent="0.25">
      <c r="A10" s="10" t="s">
        <v>122</v>
      </c>
      <c r="B10" s="2">
        <f t="shared" si="4"/>
        <v>99</v>
      </c>
      <c r="C10" s="2">
        <f t="shared" si="5"/>
        <v>55</v>
      </c>
      <c r="D10" s="13">
        <f>IF(SUM(HighlanderAbilities2[[#This Row],[takes]]) &gt; 0,HighlanderAbilities2[[#This Row],[takes]]/SUM(HighlanderAbilities2[takes]),0)</f>
        <v>0.38671875</v>
      </c>
      <c r="E10" s="13">
        <f>IF(HighlanderAbilities2[[#This Row],[takes]]&gt;0,HighlanderAbilities2[[#This Row],[wins]]/HighlanderAbilities2[[#This Row],[takes]],0)</f>
        <v>0.55555555555555558</v>
      </c>
      <c r="I10" s="18"/>
      <c r="K10" s="21" t="s">
        <v>122</v>
      </c>
      <c r="L10" s="2">
        <f>COUNTIF(Scenario0[winner1-ability2],HighlanderAbilities2Scenario0[[#This Row],[ability]])+COUNTIF(Scenario0[winner2-ability2],HighlanderAbilities2Scenario0[[#This Row],[ability]])+COUNTIF(Scenario0[loser1-ability2],HighlanderAbilities2Scenario0[[#This Row],[ability]])+COUNTIF(Scenario0[loser2-ability2],HighlanderAbilities2Scenario0[[#This Row],[ability]])</f>
        <v>33</v>
      </c>
      <c r="M10" s="2">
        <f>COUNTIF(Scenario0[winner1-ability2],HighlanderAbilities2Scenario0[[#This Row],[ability]])+COUNTIF(Scenario0[winner2-ability2],HighlanderAbilities2Scenario0[[#This Row],[ability]])</f>
        <v>15</v>
      </c>
      <c r="N10" s="13">
        <f>IF(SUM(HighlanderAbilities2Scenario0[[#This Row],[takes]]) &gt; 0,HighlanderAbilities2Scenario0[[#This Row],[takes]]/SUM(HighlanderAbilities2Scenario0[takes]),0)</f>
        <v>0.7857142857142857</v>
      </c>
      <c r="O10" s="13">
        <f>IF(HighlanderAbilities2Scenario0[[#This Row],[takes]]&gt;0,HighlanderAbilities2Scenario0[[#This Row],[wins]]/HighlanderAbilities2Scenario0[[#This Row],[takes]],0)</f>
        <v>0.45454545454545453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123</v>
      </c>
      <c r="B13" s="1">
        <f>L13+L34+L55+L76+L97+L118</f>
        <v>49</v>
      </c>
      <c r="C13" s="1">
        <f>M13+M34+M55+M76+M97+M118</f>
        <v>28</v>
      </c>
      <c r="D13" s="14">
        <f>IF(SUM(HighlanderAbilities3[[#This Row],[takes]]) &gt; 0,HighlanderAbilities3[[#This Row],[takes]]/SUM(HighlanderAbilities3[takes]),0)</f>
        <v>0.28823529411764703</v>
      </c>
      <c r="E13" s="14">
        <f>IF(HighlanderAbilities3[[#This Row],[takes]]&gt;0,HighlanderAbilities3[[#This Row],[wins]]/HighlanderAbilities3[[#This Row],[takes]],0)</f>
        <v>0.5714285714285714</v>
      </c>
      <c r="I13" s="18"/>
      <c r="K13" s="22" t="s">
        <v>123</v>
      </c>
      <c r="L13" s="1">
        <f>COUNTIF(Scenario0[winner1-ability3],HighlanderAbilities3Scenario0[[#This Row],[ability]])+COUNTIF(Scenario0[winner2-ability3],HighlanderAbilities3Scenario0[[#This Row],[ability]])+COUNTIF(Scenario0[loser1-ability3],HighlanderAbilities3Scenario0[[#This Row],[ability]])+COUNTIF(Scenario0[loser2-ability3],HighlanderAbilities3Scenario0[[#This Row],[ability]])</f>
        <v>1</v>
      </c>
      <c r="M13" s="1">
        <f>COUNTIF(Scenario0[winner1-ability3],HighlanderAbilities3Scenario0[[#This Row],[ability]])+COUNTIF(Scenario0[winner2-ability3],HighlanderAbilities3Scenario0[[#This Row],[ability]])</f>
        <v>0</v>
      </c>
      <c r="N13" s="14">
        <f>IF(SUM(HighlanderAbilities3Scenario0[[#This Row],[takes]]) &gt; 0,HighlanderAbilities3Scenario0[[#This Row],[takes]]/SUM(HighlanderAbilities3Scenario0[takes]),0)</f>
        <v>6.25E-2</v>
      </c>
      <c r="O13" s="14">
        <f>IF(HighlanderAbilities3Scenario0[[#This Row],[takes]]&gt;0,HighlanderAbilities3Scenario0[[#This Row],[wins]]/HighlanderAbilities3Scenario0[[#This Row],[takes]],0)</f>
        <v>0</v>
      </c>
      <c r="S13" s="18"/>
    </row>
    <row r="14" spans="1:22" x14ac:dyDescent="0.25">
      <c r="A14" s="2" t="s">
        <v>87</v>
      </c>
      <c r="B14" s="2">
        <f t="shared" ref="B14:B15" si="6">L14+L35+L56+L77+L98+L119</f>
        <v>64</v>
      </c>
      <c r="C14" s="2">
        <f t="shared" ref="C14:C15" si="7">M14+M35+M56+M77+M98+M119</f>
        <v>27</v>
      </c>
      <c r="D14" s="12">
        <f>IF(SUM(HighlanderAbilities3[[#This Row],[takes]]) &gt; 0,HighlanderAbilities3[[#This Row],[takes]]/SUM(HighlanderAbilities3[takes]),0)</f>
        <v>0.37647058823529411</v>
      </c>
      <c r="E14" s="12">
        <f>IF(HighlanderAbilities3[[#This Row],[takes]]&gt;0,HighlanderAbilities3[[#This Row],[wins]]/HighlanderAbilities3[[#This Row],[takes]],0)</f>
        <v>0.421875</v>
      </c>
      <c r="I14" s="18"/>
      <c r="K14" s="20" t="s">
        <v>87</v>
      </c>
      <c r="L14" s="2">
        <f>COUNTIF(Scenario0[winner1-ability3],HighlanderAbilities3Scenario0[[#This Row],[ability]])+COUNTIF(Scenario0[winner2-ability3],HighlanderAbilities3Scenario0[[#This Row],[ability]])+COUNTIF(Scenario0[loser1-ability3],HighlanderAbilities3Scenario0[[#This Row],[ability]])+COUNTIF(Scenario0[loser2-ability3],HighlanderAbilities3Scenario0[[#This Row],[ability]])</f>
        <v>1</v>
      </c>
      <c r="M14" s="2">
        <f>COUNTIF(Scenario0[winner1-ability3],HighlanderAbilities3Scenario0[[#This Row],[ability]])+COUNTIF(Scenario0[winner2-ability3],HighlanderAbilities3Scenario0[[#This Row],[ability]])</f>
        <v>0</v>
      </c>
      <c r="N14" s="12">
        <f>IF(SUM(HighlanderAbilities3Scenario0[[#This Row],[takes]]) &gt; 0,HighlanderAbilities3Scenario0[[#This Row],[takes]]/SUM(HighlanderAbilities3Scenario0[takes]),0)</f>
        <v>6.25E-2</v>
      </c>
      <c r="O14" s="12">
        <f>IF(HighlanderAbilities3Scenario0[[#This Row],[takes]]&gt;0,HighlanderAbilities3Scenario0[[#This Row],[wins]]/HighlanderAbilities3Scenario0[[#This Row],[takes]],0)</f>
        <v>0</v>
      </c>
      <c r="S14" s="18"/>
    </row>
    <row r="15" spans="1:22" x14ac:dyDescent="0.25">
      <c r="A15" s="11" t="s">
        <v>85</v>
      </c>
      <c r="B15" s="1">
        <f t="shared" si="6"/>
        <v>57</v>
      </c>
      <c r="C15" s="1">
        <f t="shared" si="7"/>
        <v>32</v>
      </c>
      <c r="D15" s="15">
        <f>IF(SUM(HighlanderAbilities3[[#This Row],[takes]]) &gt; 0,HighlanderAbilities3[[#This Row],[takes]]/SUM(HighlanderAbilities3[takes]),0)</f>
        <v>0.3352941176470588</v>
      </c>
      <c r="E15" s="15">
        <f>IF(HighlanderAbilities3[[#This Row],[takes]]&gt;0,HighlanderAbilities3[[#This Row],[wins]]/HighlanderAbilities3[[#This Row],[takes]],0)</f>
        <v>0.56140350877192979</v>
      </c>
      <c r="I15" s="18"/>
      <c r="K15" s="23" t="s">
        <v>85</v>
      </c>
      <c r="L15" s="1">
        <f>COUNTIF(Scenario0[winner1-ability3],HighlanderAbilities3Scenario0[[#This Row],[ability]])+COUNTIF(Scenario0[winner2-ability3],HighlanderAbilities3Scenario0[[#This Row],[ability]])+COUNTIF(Scenario0[loser1-ability3],HighlanderAbilities3Scenario0[[#This Row],[ability]])+COUNTIF(Scenario0[loser2-ability3],HighlanderAbilities3Scenario0[[#This Row],[ability]])</f>
        <v>14</v>
      </c>
      <c r="M15" s="1">
        <f>COUNTIF(Scenario0[winner1-ability3],HighlanderAbilities3Scenario0[[#This Row],[ability]])+COUNTIF(Scenario0[winner2-ability3],HighlanderAbilities3Scenario0[[#This Row],[ability]])</f>
        <v>7</v>
      </c>
      <c r="N15" s="15">
        <f>IF(SUM(HighlanderAbilities3Scenario0[[#This Row],[takes]]) &gt; 0,HighlanderAbilities3Scenario0[[#This Row],[takes]]/SUM(HighlanderAbilities3Scenario0[takes]),0)</f>
        <v>0.875</v>
      </c>
      <c r="O15" s="15">
        <f>IF(HighlanderAbilities3Scenario0[[#This Row],[takes]]&gt;0,HighlanderAbilities3Scenario0[[#This Row],[wins]]/HighlanderAbilities3Scenario0[[#This Row],[takes]],0)</f>
        <v>0.5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88</v>
      </c>
      <c r="B18" s="2">
        <f>L18+L39+L60+L81+L102+L123</f>
        <v>26</v>
      </c>
      <c r="C18" s="2">
        <f>M18+M39+M60+M81+M102+M123</f>
        <v>11</v>
      </c>
      <c r="D18" s="12">
        <f>IF(SUM(HighlanderAbilities4[[#This Row],[takes]]) &gt; 0,HighlanderAbilities4[[#This Row],[takes]]/SUM(HighlanderAbilities4[takes]),0)</f>
        <v>0.28888888888888886</v>
      </c>
      <c r="E18" s="12">
        <f>IF(HighlanderAbilities4[[#This Row],[takes]]&gt;0,HighlanderAbilities4[[#This Row],[wins]]/HighlanderAbilities4[[#This Row],[takes]],0)</f>
        <v>0.42307692307692307</v>
      </c>
      <c r="I18" s="18"/>
      <c r="K18" s="20" t="s">
        <v>88</v>
      </c>
      <c r="L18" s="2">
        <f>COUNTIF(Scenario0[winner1-ability4],HighlanderAbilities4Scenario0[[#This Row],[ability]])+COUNTIF(Scenario0[winner2-ability4],HighlanderAbilities4Scenario0[[#This Row],[ability]])+COUNTIF(Scenario0[loser1-ability4],HighlanderAbilities4Scenario0[[#This Row],[ability]])+COUNTIF(Scenario0[loser2-ability4],HighlanderAbilities4Scenario0[[#This Row],[ability]])</f>
        <v>0</v>
      </c>
      <c r="M18" s="2">
        <f>COUNTIF(Scenario0[winner1-ability4],HighlanderAbilities4Scenario0[[#This Row],[ability]])+COUNTIF(Scenario0[winner2-ability4],HighlanderAbilities4Scenario0[[#This Row],[ability]])</f>
        <v>0</v>
      </c>
      <c r="N18" s="12">
        <f>IF(SUM(HighlanderAbilities4Scenario0[[#This Row],[takes]]) &gt; 0,HighlanderAbilities4Scenario0[[#This Row],[takes]]/SUM(HighlanderAbilities4Scenario0[takes]),0)</f>
        <v>0</v>
      </c>
      <c r="O18" s="12">
        <f>IF(HighlanderAbilities4Scenario0[[#This Row],[takes]]&gt;0,HighlanderAbilities4Scenario0[[#This Row],[wins]]/HighlanderAbilities4Scenario0[[#This Row],[takes]],0)</f>
        <v>0</v>
      </c>
      <c r="S18" s="18"/>
    </row>
    <row r="19" spans="1:20" x14ac:dyDescent="0.25">
      <c r="A19" s="2" t="s">
        <v>124</v>
      </c>
      <c r="B19" s="2">
        <f t="shared" ref="B19:B20" si="8">L19+L40+L61+L82+L103+L124</f>
        <v>31</v>
      </c>
      <c r="C19" s="2">
        <f t="shared" ref="C19:C20" si="9">M19+M40+M61+M82+M103+M124</f>
        <v>16</v>
      </c>
      <c r="D19" s="12">
        <f>IF(SUM(HighlanderAbilities4[[#This Row],[takes]]) &gt; 0,HighlanderAbilities4[[#This Row],[takes]]/SUM(HighlanderAbilities4[takes]),0)</f>
        <v>0.34444444444444444</v>
      </c>
      <c r="E19" s="12">
        <f>IF(HighlanderAbilities4[[#This Row],[takes]]&gt;0,HighlanderAbilities4[[#This Row],[wins]]/HighlanderAbilities4[[#This Row],[takes]],0)</f>
        <v>0.5161290322580645</v>
      </c>
      <c r="I19" s="18"/>
      <c r="K19" s="20" t="s">
        <v>124</v>
      </c>
      <c r="L19" s="2">
        <f>COUNTIF(Scenario0[winner1-ability4],HighlanderAbilities4Scenario0[[#This Row],[ability]])+COUNTIF(Scenario0[winner2-ability4],HighlanderAbilities4Scenario0[[#This Row],[ability]])+COUNTIF(Scenario0[loser1-ability4],HighlanderAbilities4Scenario0[[#This Row],[ability]])+COUNTIF(Scenario0[loser2-ability4],HighlanderAbilities4Scenario0[[#This Row],[ability]])</f>
        <v>2</v>
      </c>
      <c r="M19" s="2">
        <f>COUNTIF(Scenario0[winner1-ability4],HighlanderAbilities4Scenario0[[#This Row],[ability]])+COUNTIF(Scenario0[winner2-ability4],HighlanderAbilities4Scenario0[[#This Row],[ability]])</f>
        <v>1</v>
      </c>
      <c r="N19" s="12">
        <f>IF(SUM(HighlanderAbilities4Scenario0[[#This Row],[takes]]) &gt; 0,HighlanderAbilities4Scenario0[[#This Row],[takes]]/SUM(HighlanderAbilities4Scenario0[takes]),0)</f>
        <v>0.5</v>
      </c>
      <c r="O19" s="12">
        <f>IF(HighlanderAbilities4Scenario0[[#This Row],[takes]]&gt;0,HighlanderAbilities4Scenario0[[#This Row],[wins]]/HighlanderAbilities4Scenario0[[#This Row],[takes]],0)</f>
        <v>0.5</v>
      </c>
      <c r="S19" s="18"/>
    </row>
    <row r="20" spans="1:20" ht="15.75" thickBot="1" x14ac:dyDescent="0.3">
      <c r="A20" s="10" t="s">
        <v>125</v>
      </c>
      <c r="B20" s="2">
        <f t="shared" si="8"/>
        <v>33</v>
      </c>
      <c r="C20" s="2">
        <f t="shared" si="9"/>
        <v>17</v>
      </c>
      <c r="D20" s="26">
        <f>IF(SUM(HighlanderAbilities4[[#This Row],[takes]]) &gt; 0,HighlanderAbilities4[[#This Row],[takes]]/SUM(HighlanderAbilities4[takes]),0)</f>
        <v>0.36666666666666664</v>
      </c>
      <c r="E20" s="26">
        <f>IF(HighlanderAbilities4[[#This Row],[takes]]&gt;0,HighlanderAbilities4[[#This Row],[wins]]/HighlanderAbilities4[[#This Row],[takes]],0)</f>
        <v>0.51515151515151514</v>
      </c>
      <c r="F20" s="27"/>
      <c r="G20" s="27"/>
      <c r="H20" s="27"/>
      <c r="I20" s="28"/>
      <c r="K20" s="24" t="s">
        <v>125</v>
      </c>
      <c r="L20" s="25">
        <f>COUNTIF(Scenario0[winner1-ability4],HighlanderAbilities4Scenario0[[#This Row],[ability]])+COUNTIF(Scenario0[winner2-ability4],HighlanderAbilities4Scenario0[[#This Row],[ability]])+COUNTIF(Scenario0[loser1-ability4],HighlanderAbilities4Scenario0[[#This Row],[ability]])+COUNTIF(Scenario0[loser2-ability4],HighlanderAbilities4Scenario0[[#This Row],[ability]])</f>
        <v>2</v>
      </c>
      <c r="M20" s="25">
        <f>COUNTIF(Scenario0[winner1-ability4],HighlanderAbilities4Scenario0[[#This Row],[ability]])+COUNTIF(Scenario0[winner2-ability4],HighlanderAbilities4Scenario0[[#This Row],[ability]])</f>
        <v>1</v>
      </c>
      <c r="N20" s="26">
        <f>IF(SUM(HighlanderAbilities4Scenario0[[#This Row],[takes]]) &gt; 0,HighlanderAbilities4Scenario0[[#This Row],[takes]]/SUM(HighlanderAbilities4Scenario0[takes]),0)</f>
        <v>0.5</v>
      </c>
      <c r="O20" s="26">
        <f>IF(HighlanderAbilities4Scenario0[[#This Row],[takes]]&gt;0,HighlanderAbilities4Scenario0[[#This Row],[wins]]/HighlanderAbilities4Scenario0[[#This Row],[takes]],0)</f>
        <v>0.5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7" t="s">
        <v>183</v>
      </c>
      <c r="L22" s="38"/>
      <c r="M22" s="38"/>
      <c r="N22" s="38"/>
      <c r="O22" s="38"/>
      <c r="P22" s="38"/>
      <c r="Q22" s="38"/>
      <c r="R22" s="38"/>
      <c r="S22" s="39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165</v>
      </c>
      <c r="S23" s="18" t="s">
        <v>164</v>
      </c>
    </row>
    <row r="24" spans="1:20" x14ac:dyDescent="0.25">
      <c r="K24" s="17" t="s">
        <v>68</v>
      </c>
      <c r="L24">
        <f>COUNTIF(Scenario1[winner1-ability1],HighlanderAbilities1Scenario1[[#This Row],[ability]])+COUNTIF(Scenario1[winner2-ability1],HighlanderAbilities1Scenario1[[#This Row],[ability]])+COUNTIF(Scenario1[loser1-ability1],HighlanderAbilities1Scenario1[[#This Row],[ability]])+COUNTIF(Scenario1[loser2-ability1],HighlanderAbilities1Scenario1[[#This Row],[ability]])</f>
        <v>51</v>
      </c>
      <c r="M24">
        <f>COUNTIF(Scenario1[winner1-ability1],HighlanderAbilities1Scenario1[[#This Row],[ability]])+COUNTIF(Scenario1[winner2-ability1],HighlanderAbilities1Scenario1[[#This Row],[ability]])</f>
        <v>32</v>
      </c>
      <c r="N24" s="3">
        <f>IF(SUM(HighlanderAbilities1Scenario1[[#This Row],[takes]]) &gt; 0,HighlanderAbilities1Scenario1[[#This Row],[takes]]/SUM(HighlanderAbilities1Scenario1[takes]),0)</f>
        <v>0.48571428571428571</v>
      </c>
      <c r="O24" s="3">
        <f>IF(HighlanderAbilities1Scenario1[[#This Row],[takes]]&gt;0,HighlanderAbilities1Scenario1[[#This Row],[wins]]/HighlanderAbilities1Scenario1[[#This Row],[takes]],0)</f>
        <v>0.62745098039215685</v>
      </c>
      <c r="Q24">
        <v>1</v>
      </c>
      <c r="R24">
        <f>COUNTIFS(Scenario1[winner1],"highlander",Scenario1[winner1-pw],HighlanderEquipScenario1[[#This Row],[level]])+COUNTIFS(Scenario1[winner2],"highlander",Scenario1[winner2-pw],HighlanderEquipScenario1[[#This Row],[level]])+COUNTIFS(Scenario1[loser1],"highlander",Scenario1[loser1-pw],HighlanderEquipScenario1[[#This Row],[level]])+COUNTIFS(Scenario1[loser2],"highlander",Scenario1[loser2-pw],HighlanderEquipScenario1[[#This Row],[level]])</f>
        <v>30</v>
      </c>
      <c r="S24" s="18">
        <f>COUNTIFS(Scenario1[winner1],"highlander",Scenario1[winner1-cp],HighlanderEquipScenario1[[#This Row],[level]])+COUNTIFS(Scenario1[winner2],"highlander",Scenario1[winner2-cp],HighlanderEquipScenario1[[#This Row],[level]])+COUNTIFS(Scenario1[loser1],"highlander",Scenario1[loser1-cp],HighlanderEquipScenario1[[#This Row],[level]])+COUNTIFS(Scenario1[loser2],"highlander",Scenario1[loser2-cp],HighlanderEquipScenario1[[#This Row],[level]])</f>
        <v>73</v>
      </c>
    </row>
    <row r="25" spans="1:20" x14ac:dyDescent="0.25">
      <c r="K25" s="17" t="s">
        <v>120</v>
      </c>
      <c r="L25">
        <f>COUNTIF(Scenario1[winner1-ability1],HighlanderAbilities1Scenario1[[#This Row],[ability]])+COUNTIF(Scenario1[winner2-ability1],HighlanderAbilities1Scenario1[[#This Row],[ability]])+COUNTIF(Scenario1[loser1-ability1],HighlanderAbilities1Scenario1[[#This Row],[ability]])+COUNTIF(Scenario1[loser2-ability1],HighlanderAbilities1Scenario1[[#This Row],[ability]])</f>
        <v>1</v>
      </c>
      <c r="M25">
        <f>COUNTIF(Scenario1[winner1-ability1],HighlanderAbilities1Scenario1[[#This Row],[ability]])+COUNTIF(Scenario1[winner2-ability1],HighlanderAbilities1Scenario1[[#This Row],[ability]])</f>
        <v>0</v>
      </c>
      <c r="N25" s="3">
        <f>IF(SUM(HighlanderAbilities1Scenario1[[#This Row],[takes]]) &gt; 0,HighlanderAbilities1Scenario1[[#This Row],[takes]]/SUM(HighlanderAbilities1Scenario1[takes]),0)</f>
        <v>9.5238095238095247E-3</v>
      </c>
      <c r="O25" s="3">
        <f>IF(HighlanderAbilities1Scenario1[[#This Row],[takes]]&gt;0,HighlanderAbilities1Scenario1[[#This Row],[wins]]/HighlanderAbilities1Scenario1[[#This Row],[takes]],0)</f>
        <v>0</v>
      </c>
      <c r="Q25">
        <v>2</v>
      </c>
      <c r="R25">
        <f>COUNTIFS(Scenario1[winner1],"highlander",Scenario1[winner1-pw],HighlanderEquipScenario1[[#This Row],[level]])+COUNTIFS(Scenario1[winner2],"highlander",Scenario1[winner2-pw],HighlanderEquipScenario1[[#This Row],[level]])+COUNTIFS(Scenario1[loser1],"highlander",Scenario1[loser1-pw],HighlanderEquipScenario1[[#This Row],[level]])+COUNTIFS(Scenario1[loser2],"highlander",Scenario1[loser2-pw],HighlanderEquipScenario1[[#This Row],[level]])</f>
        <v>45</v>
      </c>
      <c r="S25" s="18">
        <f>COUNTIFS(Scenario1[winner1],"highlander",Scenario1[winner1-cp],HighlanderEquipScenario1[[#This Row],[level]])+COUNTIFS(Scenario1[winner2],"highlander",Scenario1[winner2-cp],HighlanderEquipScenario1[[#This Row],[level]])+COUNTIFS(Scenario1[loser1],"highlander",Scenario1[loser1-cp],HighlanderEquipScenario1[[#This Row],[level]])+COUNTIFS(Scenario1[loser2],"highlander",Scenario1[loser2-cp],HighlanderEquipScenario1[[#This Row],[level]])</f>
        <v>15</v>
      </c>
    </row>
    <row r="26" spans="1:20" x14ac:dyDescent="0.25">
      <c r="K26" s="17" t="s">
        <v>57</v>
      </c>
      <c r="L26">
        <f>COUNTIF(Scenario1[winner1-ability1],HighlanderAbilities1Scenario1[[#This Row],[ability]])+COUNTIF(Scenario1[winner2-ability1],HighlanderAbilities1Scenario1[[#This Row],[ability]])+COUNTIF(Scenario1[loser1-ability1],HighlanderAbilities1Scenario1[[#This Row],[ability]])+COUNTIF(Scenario1[loser2-ability1],HighlanderAbilities1Scenario1[[#This Row],[ability]])</f>
        <v>53</v>
      </c>
      <c r="M26">
        <f>COUNTIF(Scenario1[winner1-ability1],HighlanderAbilities1Scenario1[[#This Row],[ability]])+COUNTIF(Scenario1[winner2-ability1],HighlanderAbilities1Scenario1[[#This Row],[ability]])</f>
        <v>18</v>
      </c>
      <c r="N26" s="3">
        <f>IF(SUM(HighlanderAbilities1Scenario1[[#This Row],[takes]]) &gt; 0,HighlanderAbilities1Scenario1[[#This Row],[takes]]/SUM(HighlanderAbilities1Scenario1[takes]),0)</f>
        <v>0.50476190476190474</v>
      </c>
      <c r="O26" s="3">
        <f>IF(HighlanderAbilities1Scenario1[[#This Row],[takes]]&gt;0,HighlanderAbilities1Scenario1[[#This Row],[wins]]/HighlanderAbilities1Scenario1[[#This Row],[takes]],0)</f>
        <v>0.33962264150943394</v>
      </c>
      <c r="Q26">
        <v>3</v>
      </c>
      <c r="R26">
        <f>COUNTIFS(Scenario1[winner1],"highlander",Scenario1[winner1-pw],HighlanderEquipScenario1[[#This Row],[level]])+COUNTIFS(Scenario1[winner2],"highlander",Scenario1[winner2-pw],HighlanderEquipScenario1[[#This Row],[level]])+COUNTIFS(Scenario1[loser1],"highlander",Scenario1[loser1-pw],HighlanderEquipScenario1[[#This Row],[level]])+COUNTIFS(Scenario1[loser2],"highlander",Scenario1[loser2-pw],HighlanderEquipScenario1[[#This Row],[level]])</f>
        <v>30</v>
      </c>
      <c r="S26" s="18">
        <f>COUNTIFS(Scenario1[winner1],"highlander",Scenario1[winner1-cp],HighlanderEquipScenario1[[#This Row],[level]])+COUNTIFS(Scenario1[winner2],"highlander",Scenario1[winner2-cp],HighlanderEquipScenario1[[#This Row],[level]])+COUNTIFS(Scenario1[loser1],"highlander",Scenario1[loser1-cp],HighlanderEquipScenario1[[#This Row],[level]])+COUNTIFS(Scenario1[loser2],"highlander",Scenario1[loser2-cp],HighlanderEquipScenario1[[#This Row],[level]])</f>
        <v>17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0" t="s">
        <v>69</v>
      </c>
      <c r="L29" s="2">
        <f>COUNTIF(Scenario1[winner1-ability2],HighlanderAbilities2Scenario1[[#This Row],[ability]])+COUNTIF(Scenario1[winner2-ability2],HighlanderAbilities2Scenario1[[#This Row],[ability]])+COUNTIF(Scenario1[loser1-ability2],HighlanderAbilities2Scenario1[[#This Row],[ability]])+COUNTIF(Scenario1[loser2-ability2],HighlanderAbilities2Scenario1[[#This Row],[ability]])</f>
        <v>4</v>
      </c>
      <c r="M29" s="2">
        <f>COUNTIF(Scenario1[winner1-ability2],HighlanderAbilities2Scenario1[[#This Row],[ability]])+COUNTIF(Scenario1[winner2-ability2],HighlanderAbilities2Scenario1[[#This Row],[ability]])</f>
        <v>3</v>
      </c>
      <c r="N29" s="12">
        <f>IF(SUM(HighlanderAbilities2Scenario1[[#This Row],[takes]]) &gt; 0,HighlanderAbilities2Scenario1[[#This Row],[takes]]/SUM(HighlanderAbilities2Scenario1[takes]),0)</f>
        <v>7.5471698113207544E-2</v>
      </c>
      <c r="O29" s="12">
        <f>IF(HighlanderAbilities2Scenario1[[#This Row],[takes]]&gt;0,HighlanderAbilities2Scenario1[[#This Row],[wins]]/HighlanderAbilities2Scenario1[[#This Row],[takes]],0)</f>
        <v>0.75</v>
      </c>
      <c r="S29" s="18"/>
    </row>
    <row r="30" spans="1:20" x14ac:dyDescent="0.25">
      <c r="K30" s="17" t="s">
        <v>121</v>
      </c>
      <c r="L30" s="2">
        <f>COUNTIF(Scenario1[winner1-ability2],HighlanderAbilities2Scenario1[[#This Row],[ability]])+COUNTIF(Scenario1[winner2-ability2],HighlanderAbilities2Scenario1[[#This Row],[ability]])+COUNTIF(Scenario1[loser1-ability2],HighlanderAbilities2Scenario1[[#This Row],[ability]])+COUNTIF(Scenario1[loser2-ability2],HighlanderAbilities2Scenario1[[#This Row],[ability]])</f>
        <v>28</v>
      </c>
      <c r="M30" s="2">
        <f>COUNTIF(Scenario1[winner1-ability2],HighlanderAbilities2Scenario1[[#This Row],[ability]])+COUNTIF(Scenario1[winner2-ability2],HighlanderAbilities2Scenario1[[#This Row],[ability]])</f>
        <v>15</v>
      </c>
      <c r="N30" s="3">
        <f>IF(SUM(HighlanderAbilities2Scenario1[[#This Row],[takes]]) &gt; 0,HighlanderAbilities2Scenario1[[#This Row],[takes]]/SUM(HighlanderAbilities2Scenario1[takes]),0)</f>
        <v>0.52830188679245282</v>
      </c>
      <c r="O30" s="3">
        <f>IF(HighlanderAbilities2Scenario1[[#This Row],[takes]]&gt;0,HighlanderAbilities2Scenario1[[#This Row],[wins]]/HighlanderAbilities2Scenario1[[#This Row],[takes]],0)</f>
        <v>0.5357142857142857</v>
      </c>
      <c r="S30" s="18"/>
    </row>
    <row r="31" spans="1:20" x14ac:dyDescent="0.25">
      <c r="K31" s="21" t="s">
        <v>122</v>
      </c>
      <c r="L31" s="2">
        <f>COUNTIF(Scenario1[winner1-ability2],HighlanderAbilities2Scenario1[[#This Row],[ability]])+COUNTIF(Scenario1[winner2-ability2],HighlanderAbilities2Scenario1[[#This Row],[ability]])+COUNTIF(Scenario1[loser1-ability2],HighlanderAbilities2Scenario1[[#This Row],[ability]])+COUNTIF(Scenario1[loser2-ability2],HighlanderAbilities2Scenario1[[#This Row],[ability]])</f>
        <v>21</v>
      </c>
      <c r="M31" s="2">
        <f>COUNTIF(Scenario1[winner1-ability2],HighlanderAbilities2Scenario1[[#This Row],[ability]])+COUNTIF(Scenario1[winner2-ability2],HighlanderAbilities2Scenario1[[#This Row],[ability]])</f>
        <v>12</v>
      </c>
      <c r="N31" s="13">
        <f>IF(SUM(HighlanderAbilities2Scenario1[[#This Row],[takes]]) &gt; 0,HighlanderAbilities2Scenario1[[#This Row],[takes]]/SUM(HighlanderAbilities2Scenario1[takes]),0)</f>
        <v>0.39622641509433965</v>
      </c>
      <c r="O31" s="13">
        <f>IF(HighlanderAbilities2Scenario1[[#This Row],[takes]]&gt;0,HighlanderAbilities2Scenario1[[#This Row],[wins]]/HighlanderAbilities2Scenario1[[#This Row],[takes]],0)</f>
        <v>0.5714285714285714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22" t="s">
        <v>123</v>
      </c>
      <c r="L34" s="1">
        <f>COUNTIF(Scenario1[winner1-ability3],HighlanderAbilities3Scenario1[[#This Row],[ability]])+COUNTIF(Scenario1[winner2-ability3],HighlanderAbilities3Scenario1[[#This Row],[ability]])+COUNTIF(Scenario1[loser1-ability3],HighlanderAbilities3Scenario1[[#This Row],[ability]])+COUNTIF(Scenario1[loser2-ability3],HighlanderAbilities3Scenario1[[#This Row],[ability]])</f>
        <v>5</v>
      </c>
      <c r="M34" s="1">
        <f>COUNTIF(Scenario1[winner1-ability3],HighlanderAbilities3Scenario1[[#This Row],[ability]])+COUNTIF(Scenario1[winner2-ability3],HighlanderAbilities3Scenario1[[#This Row],[ability]])</f>
        <v>2</v>
      </c>
      <c r="N34" s="14">
        <f>IF(SUM(HighlanderAbilities3Scenario1[[#This Row],[takes]]) &gt; 0,HighlanderAbilities3Scenario1[[#This Row],[takes]]/SUM(HighlanderAbilities3Scenario1[takes]),0)</f>
        <v>0.17241379310344829</v>
      </c>
      <c r="O34" s="14">
        <f>IF(HighlanderAbilities3Scenario1[[#This Row],[takes]]&gt;0,HighlanderAbilities3Scenario1[[#This Row],[wins]]/HighlanderAbilities3Scenario1[[#This Row],[takes]],0)</f>
        <v>0.4</v>
      </c>
      <c r="S34" s="18"/>
    </row>
    <row r="35" spans="11:20" x14ac:dyDescent="0.25">
      <c r="K35" s="20" t="s">
        <v>87</v>
      </c>
      <c r="L35" s="2">
        <f>COUNTIF(Scenario1[winner1-ability3],HighlanderAbilities3Scenario1[[#This Row],[ability]])+COUNTIF(Scenario1[winner2-ability3],HighlanderAbilities3Scenario1[[#This Row],[ability]])+COUNTIF(Scenario1[loser1-ability3],HighlanderAbilities3Scenario1[[#This Row],[ability]])+COUNTIF(Scenario1[loser2-ability3],HighlanderAbilities3Scenario1[[#This Row],[ability]])</f>
        <v>5</v>
      </c>
      <c r="M35" s="2">
        <f>COUNTIF(Scenario1[winner1-ability3],HighlanderAbilities3Scenario1[[#This Row],[ability]])+COUNTIF(Scenario1[winner2-ability3],HighlanderAbilities3Scenario1[[#This Row],[ability]])</f>
        <v>4</v>
      </c>
      <c r="N35" s="12">
        <f>IF(SUM(HighlanderAbilities3Scenario1[[#This Row],[takes]]) &gt; 0,HighlanderAbilities3Scenario1[[#This Row],[takes]]/SUM(HighlanderAbilities3Scenario1[takes]),0)</f>
        <v>0.17241379310344829</v>
      </c>
      <c r="O35" s="12">
        <f>IF(HighlanderAbilities3Scenario1[[#This Row],[takes]]&gt;0,HighlanderAbilities3Scenario1[[#This Row],[wins]]/HighlanderAbilities3Scenario1[[#This Row],[takes]],0)</f>
        <v>0.8</v>
      </c>
      <c r="S35" s="18"/>
    </row>
    <row r="36" spans="11:20" x14ac:dyDescent="0.25">
      <c r="K36" s="23" t="s">
        <v>85</v>
      </c>
      <c r="L36" s="1">
        <f>COUNTIF(Scenario1[winner1-ability3],HighlanderAbilities3Scenario1[[#This Row],[ability]])+COUNTIF(Scenario1[winner2-ability3],HighlanderAbilities3Scenario1[[#This Row],[ability]])+COUNTIF(Scenario1[loser1-ability3],HighlanderAbilities3Scenario1[[#This Row],[ability]])+COUNTIF(Scenario1[loser2-ability3],HighlanderAbilities3Scenario1[[#This Row],[ability]])</f>
        <v>19</v>
      </c>
      <c r="M36" s="1">
        <f>COUNTIF(Scenario1[winner1-ability3],HighlanderAbilities3Scenario1[[#This Row],[ability]])+COUNTIF(Scenario1[winner2-ability3],HighlanderAbilities3Scenario1[[#This Row],[ability]])</f>
        <v>10</v>
      </c>
      <c r="N36" s="15">
        <f>IF(SUM(HighlanderAbilities3Scenario1[[#This Row],[takes]]) &gt; 0,HighlanderAbilities3Scenario1[[#This Row],[takes]]/SUM(HighlanderAbilities3Scenario1[takes]),0)</f>
        <v>0.65517241379310343</v>
      </c>
      <c r="O36" s="15">
        <f>IF(HighlanderAbilities3Scenario1[[#This Row],[takes]]&gt;0,HighlanderAbilities3Scenario1[[#This Row],[wins]]/HighlanderAbilities3Scenario1[[#This Row],[takes]],0)</f>
        <v>0.52631578947368418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0" t="s">
        <v>88</v>
      </c>
      <c r="L39" s="2">
        <f>COUNTIF(Scenario1[winner1-ability4],HighlanderAbilities4Scenario1[[#This Row],[ability]])+COUNTIF(Scenario1[winner2-ability4],HighlanderAbilities4Scenario1[[#This Row],[ability]])+COUNTIF(Scenario1[loser1-ability4],HighlanderAbilities4Scenario1[[#This Row],[ability]])+COUNTIF(Scenario1[loser2-ability4],HighlanderAbilities4Scenario1[[#This Row],[ability]])</f>
        <v>1</v>
      </c>
      <c r="M39" s="2">
        <f>COUNTIF(Scenario1[winner1-ability4],HighlanderAbilities4Scenario1[[#This Row],[ability]])+COUNTIF(Scenario1[winner2-ability4],HighlanderAbilities4Scenario1[[#This Row],[ability]])</f>
        <v>0</v>
      </c>
      <c r="N39" s="12">
        <f>IF(SUM(HighlanderAbilities4Scenario1[[#This Row],[takes]]) &gt; 0,HighlanderAbilities4Scenario1[[#This Row],[takes]]/SUM(HighlanderAbilities4Scenario1[takes]),0)</f>
        <v>0.2</v>
      </c>
      <c r="O39" s="12">
        <f>IF(HighlanderAbilities4Scenario1[[#This Row],[takes]]&gt;0,HighlanderAbilities4Scenario1[[#This Row],[wins]]/HighlanderAbilities4Scenario1[[#This Row],[takes]],0)</f>
        <v>0</v>
      </c>
      <c r="S39" s="18"/>
    </row>
    <row r="40" spans="11:20" x14ac:dyDescent="0.25">
      <c r="K40" s="20" t="s">
        <v>124</v>
      </c>
      <c r="L40" s="2">
        <f>COUNTIF(Scenario1[winner1-ability4],HighlanderAbilities4Scenario1[[#This Row],[ability]])+COUNTIF(Scenario1[winner2-ability4],HighlanderAbilities4Scenario1[[#This Row],[ability]])+COUNTIF(Scenario1[loser1-ability4],HighlanderAbilities4Scenario1[[#This Row],[ability]])+COUNTIF(Scenario1[loser2-ability4],HighlanderAbilities4Scenario1[[#This Row],[ability]])</f>
        <v>1</v>
      </c>
      <c r="M40" s="2">
        <f>COUNTIF(Scenario1[winner1-ability4],HighlanderAbilities4Scenario1[[#This Row],[ability]])+COUNTIF(Scenario1[winner2-ability4],HighlanderAbilities4Scenario1[[#This Row],[ability]])</f>
        <v>1</v>
      </c>
      <c r="N40" s="12">
        <f>IF(SUM(HighlanderAbilities4Scenario1[[#This Row],[takes]]) &gt; 0,HighlanderAbilities4Scenario1[[#This Row],[takes]]/SUM(HighlanderAbilities4Scenario1[takes]),0)</f>
        <v>0.2</v>
      </c>
      <c r="O40" s="12">
        <f>IF(HighlanderAbilities4Scenario1[[#This Row],[takes]]&gt;0,HighlanderAbilities4Scenario1[[#This Row],[wins]]/HighlanderAbilities4Scenario1[[#This Row],[takes]],0)</f>
        <v>1</v>
      </c>
      <c r="S40" s="18"/>
    </row>
    <row r="41" spans="11:20" ht="15.75" thickBot="1" x14ac:dyDescent="0.3">
      <c r="K41" s="24" t="s">
        <v>125</v>
      </c>
      <c r="L41" s="25">
        <f>COUNTIF(Scenario1[winner1-ability4],HighlanderAbilities4Scenario1[[#This Row],[ability]])+COUNTIF(Scenario1[winner2-ability4],HighlanderAbilities4Scenario1[[#This Row],[ability]])+COUNTIF(Scenario1[loser1-ability4],HighlanderAbilities4Scenario1[[#This Row],[ability]])+COUNTIF(Scenario1[loser2-ability4],HighlanderAbilities4Scenario1[[#This Row],[ability]])</f>
        <v>3</v>
      </c>
      <c r="M41" s="25">
        <f>COUNTIF(Scenario1[winner1-ability4],HighlanderAbilities4Scenario1[[#This Row],[ability]])+COUNTIF(Scenario1[winner2-ability4],HighlanderAbilities4Scenario1[[#This Row],[ability]])</f>
        <v>0</v>
      </c>
      <c r="N41" s="26">
        <f>IF(SUM(HighlanderAbilities4Scenario1[[#This Row],[takes]]) &gt; 0,HighlanderAbilities4Scenario1[[#This Row],[takes]]/SUM(HighlanderAbilities4Scenario1[takes]),0)</f>
        <v>0.6</v>
      </c>
      <c r="O41" s="26">
        <f>IF(HighlanderAbilities4Scenario1[[#This Row],[takes]]&gt;0,HighlanderAbilities4Scenario1[[#This Row],[wins]]/HighlanderAbilities4Scenario1[[#This Row],[takes]],0)</f>
        <v>0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7" t="s">
        <v>184</v>
      </c>
      <c r="L43" s="38"/>
      <c r="M43" s="38"/>
      <c r="N43" s="38"/>
      <c r="O43" s="38"/>
      <c r="P43" s="38"/>
      <c r="Q43" s="38"/>
      <c r="R43" s="38"/>
      <c r="S43" s="39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165</v>
      </c>
      <c r="S44" s="18" t="s">
        <v>164</v>
      </c>
    </row>
    <row r="45" spans="11:20" x14ac:dyDescent="0.25">
      <c r="K45" s="17" t="s">
        <v>68</v>
      </c>
      <c r="L45">
        <f>COUNTIF(Scenario2[winner1-ability1],HighlanderAbilities1Scenario2[[#This Row],[ability]])+COUNTIF(Scenario2[loser1-ability1],HighlanderAbilities1Scenario2[[#This Row],[ability]])</f>
        <v>2</v>
      </c>
      <c r="M45">
        <f>COUNTIF(Scenario2[winner1-ability1],HighlanderAbilities1Scenario2[[#This Row],[ability]])</f>
        <v>1</v>
      </c>
      <c r="N45" s="3">
        <f>IF(SUM(HighlanderAbilities1Scenario2[[#This Row],[takes]]) &gt; 0,HighlanderAbilities1Scenario2[[#This Row],[takes]]/SUM(HighlanderAbilities1Scenario2[takes]),0)</f>
        <v>0.14285714285714285</v>
      </c>
      <c r="O45" s="3">
        <f>IF(HighlanderAbilities1Scenario2[[#This Row],[takes]]&gt;0,HighlanderAbilities1Scenario2[[#This Row],[wins]]/HighlanderAbilities1Scenario2[[#This Row],[takes]],0)</f>
        <v>0.5</v>
      </c>
      <c r="Q45">
        <v>1</v>
      </c>
      <c r="R45">
        <f>COUNTIFS(Scenario2[winner1],"highlander",Scenario2[winner1-pw],HighlanderEquipScenario2[[#This Row],[level]])+COUNTIFS(Scenario2[loser1],"highlander",Scenario2[loser1-pw],HighlanderEquipScenario2[[#This Row],[level]])</f>
        <v>2</v>
      </c>
      <c r="S45" s="18">
        <f>COUNTIFS(Scenario2[winner1],"highlander",Scenario2[winner1-cp],HighlanderEquipScenario2[[#This Row],[level]])+COUNTIFS(Scenario2[loser1],"highlander",Scenario2[loser1-cp],HighlanderEquipScenario2[[#This Row],[level]])</f>
        <v>10</v>
      </c>
    </row>
    <row r="46" spans="11:20" x14ac:dyDescent="0.25">
      <c r="K46" s="17" t="s">
        <v>120</v>
      </c>
      <c r="L46">
        <f>COUNTIF(Scenario2[winner1-ability1],HighlanderAbilities1Scenario2[[#This Row],[ability]])+COUNTIF(Scenario2[loser1-ability1],HighlanderAbilities1Scenario2[[#This Row],[ability]])</f>
        <v>8</v>
      </c>
      <c r="M46">
        <f>COUNTIF(Scenario2[winner1-ability1],HighlanderAbilities1Scenario2[[#This Row],[ability]])</f>
        <v>6</v>
      </c>
      <c r="N46" s="3">
        <f>IF(SUM(HighlanderAbilities1Scenario2[[#This Row],[takes]]) &gt; 0,HighlanderAbilities1Scenario2[[#This Row],[takes]]/SUM(HighlanderAbilities1Scenario2[takes]),0)</f>
        <v>0.5714285714285714</v>
      </c>
      <c r="O46" s="3">
        <f>IF(HighlanderAbilities1Scenario2[[#This Row],[takes]]&gt;0,HighlanderAbilities1Scenario2[[#This Row],[wins]]/HighlanderAbilities1Scenario2[[#This Row],[takes]],0)</f>
        <v>0.75</v>
      </c>
      <c r="Q46">
        <v>2</v>
      </c>
      <c r="R46">
        <f>COUNTIFS(Scenario2[winner1],"highlander",Scenario2[winner1-pw],HighlanderEquipScenario2[[#This Row],[level]])+COUNTIFS(Scenario2[loser1],"highlander",Scenario2[loser1-pw],HighlanderEquipScenario2[[#This Row],[level]])</f>
        <v>3</v>
      </c>
      <c r="S46" s="18">
        <f>COUNTIFS(Scenario2[winner1],"highlander",Scenario2[winner1-cp],HighlanderEquipScenario2[[#This Row],[level]])+COUNTIFS(Scenario2[loser1],"highlander",Scenario2[loser1-cp],HighlanderEquipScenario2[[#This Row],[level]])</f>
        <v>3</v>
      </c>
    </row>
    <row r="47" spans="11:20" x14ac:dyDescent="0.25">
      <c r="K47" s="17" t="s">
        <v>57</v>
      </c>
      <c r="L47">
        <f>COUNTIF(Scenario2[winner1-ability1],HighlanderAbilities1Scenario2[[#This Row],[ability]])+COUNTIF(Scenario2[loser1-ability1],HighlanderAbilities1Scenario2[[#This Row],[ability]])</f>
        <v>4</v>
      </c>
      <c r="M47">
        <f>COUNTIF(Scenario2[winner1-ability1],HighlanderAbilities1Scenario2[[#This Row],[ability]])</f>
        <v>1</v>
      </c>
      <c r="N47" s="3">
        <f>IF(SUM(HighlanderAbilities1Scenario2[[#This Row],[takes]]) &gt; 0,HighlanderAbilities1Scenario2[[#This Row],[takes]]/SUM(HighlanderAbilities1Scenario2[takes]),0)</f>
        <v>0.2857142857142857</v>
      </c>
      <c r="O47" s="3">
        <f>IF(HighlanderAbilities1Scenario2[[#This Row],[takes]]&gt;0,HighlanderAbilities1Scenario2[[#This Row],[wins]]/HighlanderAbilities1Scenario2[[#This Row],[takes]],0)</f>
        <v>0.25</v>
      </c>
      <c r="Q47">
        <v>3</v>
      </c>
      <c r="R47">
        <f>COUNTIFS(Scenario2[winner1],"highlander",Scenario2[winner1-pw],HighlanderEquipScenario2[[#This Row],[level]])+COUNTIFS(Scenario2[loser1],"highlander",Scenario2[loser1-pw],HighlanderEquipScenario2[[#This Row],[level]])</f>
        <v>9</v>
      </c>
      <c r="S47" s="18">
        <f>COUNTIFS(Scenario2[winner1],"highlander",Scenario2[winner1-cp],HighlanderEquipScenario2[[#This Row],[level]])+COUNTIFS(Scenario2[loser1],"highlander",Scenario2[loser1-cp],HighlanderEquipScenario2[[#This Row],[level]])</f>
        <v>1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0" t="s">
        <v>69</v>
      </c>
      <c r="L50" s="2">
        <f>COUNTIF(Scenario2[winner1-ability2],HighlanderAbilities2Scenario2[[#This Row],[ability]])+COUNTIF(Scenario2[loser1-ability2],HighlanderAbilities2Scenario2[[#This Row],[ability]])</f>
        <v>0</v>
      </c>
      <c r="M50" s="2">
        <f>COUNTIF(Scenario2[winner1-ability2],HighlanderAbilities2Scenario2[[#This Row],[ability]])</f>
        <v>0</v>
      </c>
      <c r="N50" s="12">
        <f>IF(SUM(HighlanderAbilities2Scenario2[[#This Row],[takes]]) &gt; 0,HighlanderAbilities2Scenario2[[#This Row],[takes]]/SUM(HighlanderAbilities2Scenario2[takes]),0)</f>
        <v>0</v>
      </c>
      <c r="O50" s="12">
        <f>IF(HighlanderAbilities2Scenario2[[#This Row],[takes]]&gt;0,HighlanderAbilities2Scenario2[[#This Row],[wins]]/HighlanderAbilities2Scenario2[[#This Row],[takes]],0)</f>
        <v>0</v>
      </c>
      <c r="S50" s="18"/>
    </row>
    <row r="51" spans="11:19" x14ac:dyDescent="0.25">
      <c r="K51" s="17" t="s">
        <v>121</v>
      </c>
      <c r="L51" s="2">
        <f>COUNTIF(Scenario2[winner1-ability2],HighlanderAbilities2Scenario2[[#This Row],[ability]])+COUNTIF(Scenario2[loser1-ability2],HighlanderAbilities2Scenario2[[#This Row],[ability]])</f>
        <v>5</v>
      </c>
      <c r="M51" s="2">
        <f>COUNTIF(Scenario2[winner1-ability2],HighlanderAbilities2Scenario2[[#This Row],[ability]])</f>
        <v>4</v>
      </c>
      <c r="N51" s="3">
        <f>IF(SUM(HighlanderAbilities2Scenario2[[#This Row],[takes]]) &gt; 0,HighlanderAbilities2Scenario2[[#This Row],[takes]]/SUM(HighlanderAbilities2Scenario2[takes]),0)</f>
        <v>0.41666666666666669</v>
      </c>
      <c r="O51" s="3">
        <f>IF(HighlanderAbilities2Scenario2[[#This Row],[takes]]&gt;0,HighlanderAbilities2Scenario2[[#This Row],[wins]]/HighlanderAbilities2Scenario2[[#This Row],[takes]],0)</f>
        <v>0.8</v>
      </c>
      <c r="S51" s="18"/>
    </row>
    <row r="52" spans="11:19" x14ac:dyDescent="0.25">
      <c r="K52" s="21" t="s">
        <v>122</v>
      </c>
      <c r="L52" s="2">
        <f>COUNTIF(Scenario2[winner1-ability2],HighlanderAbilities2Scenario2[[#This Row],[ability]])+COUNTIF(Scenario2[loser1-ability2],HighlanderAbilities2Scenario2[[#This Row],[ability]])</f>
        <v>7</v>
      </c>
      <c r="M52" s="2">
        <f>COUNTIF(Scenario2[winner1-ability2],HighlanderAbilities2Scenario2[[#This Row],[ability]])</f>
        <v>2</v>
      </c>
      <c r="N52" s="13">
        <f>IF(SUM(HighlanderAbilities2Scenario2[[#This Row],[takes]]) &gt; 0,HighlanderAbilities2Scenario2[[#This Row],[takes]]/SUM(HighlanderAbilities2Scenario2[takes]),0)</f>
        <v>0.58333333333333337</v>
      </c>
      <c r="O52" s="13">
        <f>IF(HighlanderAbilities2Scenario2[[#This Row],[takes]]&gt;0,HighlanderAbilities2Scenario2[[#This Row],[wins]]/HighlanderAbilities2Scenario2[[#This Row],[takes]],0)</f>
        <v>0.2857142857142857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22" t="s">
        <v>123</v>
      </c>
      <c r="L55" s="1">
        <f>COUNTIF(Scenario2[winner1-ability3],HighlanderAbilities3Scenario2[[#This Row],[ability]])+COUNTIF(Scenario2[loser1-ability3],HighlanderAbilities3Scenario2[[#This Row],[ability]])</f>
        <v>3</v>
      </c>
      <c r="M55" s="1">
        <f>COUNTIF(Scenario2[winner1-ability3],HighlanderAbilities3Scenario2[[#This Row],[ability]])</f>
        <v>2</v>
      </c>
      <c r="N55" s="14">
        <f>IF(SUM(HighlanderAbilities3Scenario2[[#This Row],[takes]]) &gt; 0,HighlanderAbilities3Scenario2[[#This Row],[takes]]/SUM(HighlanderAbilities3Scenario2[takes]),0)</f>
        <v>0.3</v>
      </c>
      <c r="O55" s="14">
        <f>IF(HighlanderAbilities3Scenario2[[#This Row],[takes]]&gt;0,HighlanderAbilities3Scenario2[[#This Row],[wins]]/HighlanderAbilities3Scenario2[[#This Row],[takes]],0)</f>
        <v>0.66666666666666663</v>
      </c>
      <c r="S55" s="18"/>
    </row>
    <row r="56" spans="11:19" x14ac:dyDescent="0.25">
      <c r="K56" s="20" t="s">
        <v>87</v>
      </c>
      <c r="L56" s="2">
        <f>COUNTIF(Scenario2[winner1-ability3],HighlanderAbilities3Scenario2[[#This Row],[ability]])+COUNTIF(Scenario2[loser1-ability3],HighlanderAbilities3Scenario2[[#This Row],[ability]])</f>
        <v>5</v>
      </c>
      <c r="M56" s="2">
        <f>COUNTIF(Scenario2[winner1-ability3],HighlanderAbilities3Scenario2[[#This Row],[ability]])</f>
        <v>3</v>
      </c>
      <c r="N56" s="12">
        <f>IF(SUM(HighlanderAbilities3Scenario2[[#This Row],[takes]]) &gt; 0,HighlanderAbilities3Scenario2[[#This Row],[takes]]/SUM(HighlanderAbilities3Scenario2[takes]),0)</f>
        <v>0.5</v>
      </c>
      <c r="O56" s="12">
        <f>IF(HighlanderAbilities3Scenario2[[#This Row],[takes]]&gt;0,HighlanderAbilities3Scenario2[[#This Row],[wins]]/HighlanderAbilities3Scenario2[[#This Row],[takes]],0)</f>
        <v>0.6</v>
      </c>
      <c r="S56" s="18"/>
    </row>
    <row r="57" spans="11:19" x14ac:dyDescent="0.25">
      <c r="K57" s="23" t="s">
        <v>85</v>
      </c>
      <c r="L57" s="1">
        <f>COUNTIF(Scenario2[winner1-ability3],HighlanderAbilities3Scenario2[[#This Row],[ability]])+COUNTIF(Scenario2[loser1-ability3],HighlanderAbilities3Scenario2[[#This Row],[ability]])</f>
        <v>2</v>
      </c>
      <c r="M57" s="1">
        <f>COUNTIF(Scenario2[winner1-ability3],HighlanderAbilities3Scenario2[[#This Row],[ability]])</f>
        <v>1</v>
      </c>
      <c r="N57" s="15">
        <f>IF(SUM(HighlanderAbilities3Scenario2[[#This Row],[takes]]) &gt; 0,HighlanderAbilities3Scenario2[[#This Row],[takes]]/SUM(HighlanderAbilities3Scenario2[takes]),0)</f>
        <v>0.2</v>
      </c>
      <c r="O57" s="15">
        <f>IF(HighlanderAbilities3Scenario2[[#This Row],[takes]]&gt;0,HighlanderAbilities3Scenario2[[#This Row],[wins]]/HighlanderAbilities3Scenario2[[#This Row],[takes]],0)</f>
        <v>0.5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0" t="s">
        <v>88</v>
      </c>
      <c r="L60" s="2">
        <f>COUNTIF(Scenario2[winner1-ability4],HighlanderAbilities4Scenario2[[#This Row],[ability]])+COUNTIF(Scenario2[loser1-ability4],HighlanderAbilities4Scenario2[[#This Row],[ability]])</f>
        <v>0</v>
      </c>
      <c r="M60" s="2">
        <f>COUNTIF(Scenario2[winner1-ability4],HighlanderAbilities4Scenario2[[#This Row],[ability]])</f>
        <v>0</v>
      </c>
      <c r="N60" s="12">
        <f>IF(SUM(HighlanderAbilities4Scenario2[[#This Row],[takes]]) &gt; 0,HighlanderAbilities4Scenario2[[#This Row],[takes]]/SUM(HighlanderAbilities4Scenario2[takes]),0)</f>
        <v>0</v>
      </c>
      <c r="O60" s="12">
        <f>IF(HighlanderAbilities4Scenario2[[#This Row],[takes]]&gt;0,HighlanderAbilities4Scenario2[[#This Row],[wins]]/HighlanderAbilities4Scenario2[[#This Row],[takes]],0)</f>
        <v>0</v>
      </c>
      <c r="S60" s="18"/>
    </row>
    <row r="61" spans="11:19" x14ac:dyDescent="0.25">
      <c r="K61" s="20" t="s">
        <v>124</v>
      </c>
      <c r="L61" s="2">
        <f>COUNTIF(Scenario2[winner1-ability4],HighlanderAbilities4Scenario2[[#This Row],[ability]])+COUNTIF(Scenario2[loser1-ability4],HighlanderAbilities4Scenario2[[#This Row],[ability]])</f>
        <v>3</v>
      </c>
      <c r="M61" s="2">
        <f>COUNTIF(Scenario2[winner1-ability4],HighlanderAbilities4Scenario2[[#This Row],[ability]])</f>
        <v>2</v>
      </c>
      <c r="N61" s="12">
        <f>IF(SUM(HighlanderAbilities4Scenario2[[#This Row],[takes]]) &gt; 0,HighlanderAbilities4Scenario2[[#This Row],[takes]]/SUM(HighlanderAbilities4Scenario2[takes]),0)</f>
        <v>0.6</v>
      </c>
      <c r="O61" s="12">
        <f>IF(HighlanderAbilities4Scenario2[[#This Row],[takes]]&gt;0,HighlanderAbilities4Scenario2[[#This Row],[wins]]/HighlanderAbilities4Scenario2[[#This Row],[takes]],0)</f>
        <v>0.66666666666666663</v>
      </c>
      <c r="S61" s="18"/>
    </row>
    <row r="62" spans="11:19" ht="15.75" thickBot="1" x14ac:dyDescent="0.3">
      <c r="K62" s="24" t="s">
        <v>125</v>
      </c>
      <c r="L62" s="25">
        <f>COUNTIF(Scenario2[winner1-ability4],HighlanderAbilities4Scenario2[[#This Row],[ability]])+COUNTIF(Scenario2[loser1-ability4],HighlanderAbilities4Scenario2[[#This Row],[ability]])</f>
        <v>2</v>
      </c>
      <c r="M62" s="25">
        <f>COUNTIF(Scenario2[winner1-ability4],HighlanderAbilities4Scenario2[[#This Row],[ability]])</f>
        <v>1</v>
      </c>
      <c r="N62" s="26">
        <f>IF(SUM(HighlanderAbilities4Scenario2[[#This Row],[takes]]) &gt; 0,HighlanderAbilities4Scenario2[[#This Row],[takes]]/SUM(HighlanderAbilities4Scenario2[takes]),0)</f>
        <v>0.4</v>
      </c>
      <c r="O62" s="26">
        <f>IF(HighlanderAbilities4Scenario2[[#This Row],[takes]]&gt;0,HighlanderAbilities4Scenario2[[#This Row],[wins]]/HighlanderAbilities4Scenario2[[#This Row],[takes]],0)</f>
        <v>0.5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7" t="s">
        <v>209</v>
      </c>
      <c r="L64" s="38"/>
      <c r="M64" s="38"/>
      <c r="N64" s="38"/>
      <c r="O64" s="38"/>
      <c r="P64" s="38"/>
      <c r="Q64" s="38"/>
      <c r="R64" s="38"/>
      <c r="S64" s="39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165</v>
      </c>
      <c r="S65" s="18" t="s">
        <v>164</v>
      </c>
    </row>
    <row r="66" spans="11:19" x14ac:dyDescent="0.25">
      <c r="K66" s="17" t="s">
        <v>68</v>
      </c>
      <c r="L66">
        <f>COUNTIF(Scenario3[winner1-ability1],HighlanderAbilities1Scenario3[[#This Row],[ability]])+COUNTIF(Scenario3[loser1-ability1],HighlanderAbilities1Scenario3[[#This Row],[ability]])+COUNTIF(Scenario3[loser2-ability1],HighlanderAbilities1Scenario3[[#This Row],[ability]])</f>
        <v>3</v>
      </c>
      <c r="M66">
        <f>COUNTIF(Scenario3[winner1-ability1],HighlanderAbilities1Scenario3[[#This Row],[ability]])</f>
        <v>1</v>
      </c>
      <c r="N66" s="3">
        <f>IF(SUM(HighlanderAbilities1Scenario3[[#This Row],[takes]]) &gt; 0,HighlanderAbilities1Scenario3[[#This Row],[takes]]/SUM(HighlanderAbilities1Scenario3[takes]),0)</f>
        <v>0.14285714285714285</v>
      </c>
      <c r="O66" s="3">
        <f>IF(HighlanderAbilities1Scenario3[[#This Row],[takes]]&gt;0,HighlanderAbilities1Scenario3[[#This Row],[wins]]/HighlanderAbilities1Scenario3[[#This Row],[takes]],0)</f>
        <v>0.33333333333333331</v>
      </c>
      <c r="Q66">
        <v>1</v>
      </c>
      <c r="R66">
        <f>COUNTIFS(Scenario3[winner1],"highlander",Scenario3[winner1-pw],HighlanderEquipScenario3[[#This Row],[level]])+COUNTIFS(Scenario3[loser1],"highlander",Scenario3[loser1-pw],HighlanderEquipScenario3[[#This Row],[level]])+COUNTIFS(Scenario3[loser2],"highlander",Scenario3[loser2-pw],HighlanderEquipScenario3[[#This Row],[level]])</f>
        <v>1</v>
      </c>
      <c r="S66" s="18">
        <f>COUNTIFS(Scenario3[winner1],"highlander",Scenario3[winner1-cp],HighlanderEquipScenario3[[#This Row],[level]])+COUNTIFS(Scenario3[loser1],"highlander",Scenario3[loser1-cp],HighlanderEquipScenario3[[#This Row],[level]])+COUNTIFS(Scenario3[loser2],"highlander",Scenario3[loser2-cp],HighlanderEquipScenario3[[#This Row],[level]])</f>
        <v>3</v>
      </c>
    </row>
    <row r="67" spans="11:19" x14ac:dyDescent="0.25">
      <c r="K67" s="17" t="s">
        <v>120</v>
      </c>
      <c r="L67">
        <f>COUNTIF(Scenario3[winner1-ability1],HighlanderAbilities1Scenario3[[#This Row],[ability]])+COUNTIF(Scenario3[loser1-ability1],HighlanderAbilities1Scenario3[[#This Row],[ability]])+COUNTIF(Scenario3[loser2-ability1],HighlanderAbilities1Scenario3[[#This Row],[ability]])</f>
        <v>14</v>
      </c>
      <c r="M67">
        <f>COUNTIF(Scenario3[winner1-ability1],HighlanderAbilities1Scenario3[[#This Row],[ability]])</f>
        <v>10</v>
      </c>
      <c r="N67" s="3">
        <f>IF(SUM(HighlanderAbilities1Scenario3[[#This Row],[takes]]) &gt; 0,HighlanderAbilities1Scenario3[[#This Row],[takes]]/SUM(HighlanderAbilities1Scenario3[takes]),0)</f>
        <v>0.66666666666666663</v>
      </c>
      <c r="O67" s="3">
        <f>IF(HighlanderAbilities1Scenario3[[#This Row],[takes]]&gt;0,HighlanderAbilities1Scenario3[[#This Row],[wins]]/HighlanderAbilities1Scenario3[[#This Row],[takes]],0)</f>
        <v>0.7142857142857143</v>
      </c>
      <c r="Q67">
        <v>2</v>
      </c>
      <c r="R67">
        <f>COUNTIFS(Scenario3[winner1],"highlander",Scenario3[winner1-pw],HighlanderEquipScenario3[[#This Row],[level]])+COUNTIFS(Scenario3[loser1],"highlander",Scenario3[loser1-pw],HighlanderEquipScenario3[[#This Row],[level]])+COUNTIFS(Scenario3[loser2],"highlander",Scenario3[loser2-pw],HighlanderEquipScenario3[[#This Row],[level]])</f>
        <v>4</v>
      </c>
      <c r="S67" s="18">
        <f>COUNTIFS(Scenario3[winner1],"highlander",Scenario3[winner1-cp],HighlanderEquipScenario3[[#This Row],[level]])+COUNTIFS(Scenario3[loser1],"highlander",Scenario3[loser1-cp],HighlanderEquipScenario3[[#This Row],[level]])+COUNTIFS(Scenario3[loser2],"highlander",Scenario3[loser2-cp],HighlanderEquipScenario3[[#This Row],[level]])</f>
        <v>5</v>
      </c>
    </row>
    <row r="68" spans="11:19" x14ac:dyDescent="0.25">
      <c r="K68" s="17" t="s">
        <v>57</v>
      </c>
      <c r="L68">
        <f>COUNTIF(Scenario3[winner1-ability1],HighlanderAbilities1Scenario3[[#This Row],[ability]])+COUNTIF(Scenario3[loser1-ability1],HighlanderAbilities1Scenario3[[#This Row],[ability]])+COUNTIF(Scenario3[loser2-ability1],HighlanderAbilities1Scenario3[[#This Row],[ability]])</f>
        <v>4</v>
      </c>
      <c r="M68">
        <f>COUNTIF(Scenario3[winner1-ability1],HighlanderAbilities1Scenario3[[#This Row],[ability]])</f>
        <v>2</v>
      </c>
      <c r="N68" s="3">
        <f>IF(SUM(HighlanderAbilities1Scenario3[[#This Row],[takes]]) &gt; 0,HighlanderAbilities1Scenario3[[#This Row],[takes]]/SUM(HighlanderAbilities1Scenario3[takes]),0)</f>
        <v>0.19047619047619047</v>
      </c>
      <c r="O68" s="3">
        <f>IF(HighlanderAbilities1Scenario3[[#This Row],[takes]]&gt;0,HighlanderAbilities1Scenario3[[#This Row],[wins]]/HighlanderAbilities1Scenario3[[#This Row],[takes]],0)</f>
        <v>0.5</v>
      </c>
      <c r="Q68">
        <v>3</v>
      </c>
      <c r="R68">
        <f>COUNTIFS(Scenario3[winner1],"highlander",Scenario3[winner1-pw],HighlanderEquipScenario3[[#This Row],[level]])+COUNTIFS(Scenario3[loser1],"highlander",Scenario3[loser1-pw],HighlanderEquipScenario3[[#This Row],[level]])+COUNTIFS(Scenario3[loser2],"highlander",Scenario3[loser2-pw],HighlanderEquipScenario3[[#This Row],[level]])</f>
        <v>16</v>
      </c>
      <c r="S68" s="18">
        <f>COUNTIFS(Scenario3[winner1],"highlander",Scenario3[winner1-cp],HighlanderEquipScenario3[[#This Row],[level]])+COUNTIFS(Scenario3[loser1],"highlander",Scenario3[loser1-cp],HighlanderEquipScenario3[[#This Row],[level]])+COUNTIFS(Scenario3[loser2],"highlander",Scenario3[loser2-cp],HighlanderEquipScenario3[[#This Row],[level]])</f>
        <v>13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0" t="s">
        <v>69</v>
      </c>
      <c r="L71" s="2">
        <f>COUNTIF(Scenario3[winner1-ability2],HighlanderAbilities2Scenario3[[#This Row],[ability]])+COUNTIF(Scenario3[loser1-ability2],HighlanderAbilities2Scenario3[[#This Row],[ability]])+COUNTIF(Scenario3[loser2-ability2],HighlanderAbilities2Scenario3[[#This Row],[ability]])</f>
        <v>10</v>
      </c>
      <c r="M71" s="2">
        <f>COUNTIF(Scenario3[winner1-ability2],HighlanderAbilities2Scenario3[[#This Row],[ability]])</f>
        <v>3</v>
      </c>
      <c r="N71" s="12">
        <f>IF(SUM(HighlanderAbilities2Scenario3[[#This Row],[takes]]) &gt; 0,HighlanderAbilities2Scenario3[[#This Row],[takes]]/SUM(HighlanderAbilities2Scenario3[takes]),0)</f>
        <v>0.47619047619047616</v>
      </c>
      <c r="O71" s="12">
        <f>IF(HighlanderAbilities2Scenario3[[#This Row],[takes]]&gt;0,HighlanderAbilities2Scenario3[[#This Row],[wins]]/HighlanderAbilities2Scenario3[[#This Row],[takes]],0)</f>
        <v>0.3</v>
      </c>
      <c r="S71" s="18"/>
    </row>
    <row r="72" spans="11:19" x14ac:dyDescent="0.25">
      <c r="K72" s="17" t="s">
        <v>121</v>
      </c>
      <c r="L72" s="2">
        <f>COUNTIF(Scenario3[winner1-ability2],HighlanderAbilities2Scenario3[[#This Row],[ability]])+COUNTIF(Scenario3[loser1-ability2],HighlanderAbilities2Scenario3[[#This Row],[ability]])+COUNTIF(Scenario3[loser2-ability2],HighlanderAbilities2Scenario3[[#This Row],[ability]])</f>
        <v>10</v>
      </c>
      <c r="M72" s="2">
        <f>COUNTIF(Scenario3[winner1-ability2],HighlanderAbilities2Scenario3[[#This Row],[ability]])</f>
        <v>9</v>
      </c>
      <c r="N72" s="3">
        <f>IF(SUM(HighlanderAbilities2Scenario3[[#This Row],[takes]]) &gt; 0,HighlanderAbilities2Scenario3[[#This Row],[takes]]/SUM(HighlanderAbilities2Scenario3[takes]),0)</f>
        <v>0.47619047619047616</v>
      </c>
      <c r="O72" s="3">
        <f>IF(HighlanderAbilities2Scenario3[[#This Row],[takes]]&gt;0,HighlanderAbilities2Scenario3[[#This Row],[wins]]/HighlanderAbilities2Scenario3[[#This Row],[takes]],0)</f>
        <v>0.9</v>
      </c>
      <c r="S72" s="18"/>
    </row>
    <row r="73" spans="11:19" x14ac:dyDescent="0.25">
      <c r="K73" s="21" t="s">
        <v>122</v>
      </c>
      <c r="L73" s="2">
        <f>COUNTIF(Scenario3[winner1-ability2],HighlanderAbilities2Scenario3[[#This Row],[ability]])+COUNTIF(Scenario3[loser1-ability2],HighlanderAbilities2Scenario3[[#This Row],[ability]])+COUNTIF(Scenario3[loser2-ability2],HighlanderAbilities2Scenario3[[#This Row],[ability]])</f>
        <v>1</v>
      </c>
      <c r="M73" s="2">
        <f>COUNTIF(Scenario3[winner1-ability2],HighlanderAbilities2Scenario3[[#This Row],[ability]])</f>
        <v>1</v>
      </c>
      <c r="N73" s="13">
        <f>IF(SUM(HighlanderAbilities2Scenario3[[#This Row],[takes]]) &gt; 0,HighlanderAbilities2Scenario3[[#This Row],[takes]]/SUM(HighlanderAbilities2Scenario3[takes]),0)</f>
        <v>4.7619047619047616E-2</v>
      </c>
      <c r="O73" s="13">
        <f>IF(HighlanderAbilities2Scenario3[[#This Row],[takes]]&gt;0,HighlanderAbilities2Scenario3[[#This Row],[wins]]/HighlanderAbilities2Scenario3[[#This Row],[takes]],0)</f>
        <v>1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22" t="s">
        <v>123</v>
      </c>
      <c r="L76" s="1">
        <f>COUNTIF(Scenario3[winner1-ability3],HighlanderAbilities3Scenario3[[#This Row],[ability]])+COUNTIF(Scenario3[loser1-ability3],HighlanderAbilities3Scenario3[[#This Row],[ability]])+COUNTIF(Scenario3[loser2-ability3],HighlanderAbilities3Scenario3[[#This Row],[ability]])</f>
        <v>5</v>
      </c>
      <c r="M76" s="1">
        <f>COUNTIF(Scenario3[winner1-ability3],HighlanderAbilities3Scenario3[[#This Row],[ability]])</f>
        <v>5</v>
      </c>
      <c r="N76" s="14">
        <f>IF(SUM(HighlanderAbilities3Scenario3[[#This Row],[takes]]) &gt; 0,HighlanderAbilities3Scenario3[[#This Row],[takes]]/SUM(HighlanderAbilities3Scenario3[takes]),0)</f>
        <v>0.29411764705882354</v>
      </c>
      <c r="O76" s="14">
        <f>IF(HighlanderAbilities3Scenario3[[#This Row],[takes]]&gt;0,HighlanderAbilities3Scenario3[[#This Row],[wins]]/HighlanderAbilities3Scenario3[[#This Row],[takes]],0)</f>
        <v>1</v>
      </c>
      <c r="S76" s="18"/>
    </row>
    <row r="77" spans="11:19" x14ac:dyDescent="0.25">
      <c r="K77" s="20" t="s">
        <v>87</v>
      </c>
      <c r="L77" s="2">
        <f>COUNTIF(Scenario3[winner1-ability3],HighlanderAbilities3Scenario3[[#This Row],[ability]])+COUNTIF(Scenario3[loser1-ability3],HighlanderAbilities3Scenario3[[#This Row],[ability]])+COUNTIF(Scenario3[loser2-ability3],HighlanderAbilities3Scenario3[[#This Row],[ability]])</f>
        <v>9</v>
      </c>
      <c r="M77" s="2">
        <f>COUNTIF(Scenario3[winner1-ability3],HighlanderAbilities3Scenario3[[#This Row],[ability]])</f>
        <v>3</v>
      </c>
      <c r="N77" s="12">
        <f>IF(SUM(HighlanderAbilities3Scenario3[[#This Row],[takes]]) &gt; 0,HighlanderAbilities3Scenario3[[#This Row],[takes]]/SUM(HighlanderAbilities3Scenario3[takes]),0)</f>
        <v>0.52941176470588236</v>
      </c>
      <c r="O77" s="12">
        <f>IF(HighlanderAbilities3Scenario3[[#This Row],[takes]]&gt;0,HighlanderAbilities3Scenario3[[#This Row],[wins]]/HighlanderAbilities3Scenario3[[#This Row],[takes]],0)</f>
        <v>0.33333333333333331</v>
      </c>
      <c r="S77" s="18"/>
    </row>
    <row r="78" spans="11:19" x14ac:dyDescent="0.25">
      <c r="K78" s="23" t="s">
        <v>85</v>
      </c>
      <c r="L78" s="1">
        <f>COUNTIF(Scenario3[winner1-ability3],HighlanderAbilities3Scenario3[[#This Row],[ability]])+COUNTIF(Scenario3[loser1-ability3],HighlanderAbilities3Scenario3[[#This Row],[ability]])+COUNTIF(Scenario3[loser2-ability3],HighlanderAbilities3Scenario3[[#This Row],[ability]])</f>
        <v>3</v>
      </c>
      <c r="M78" s="1">
        <f>COUNTIF(Scenario3[winner1-ability3],HighlanderAbilities3Scenario3[[#This Row],[ability]])</f>
        <v>2</v>
      </c>
      <c r="N78" s="15">
        <f>IF(SUM(HighlanderAbilities3Scenario3[[#This Row],[takes]]) &gt; 0,HighlanderAbilities3Scenario3[[#This Row],[takes]]/SUM(HighlanderAbilities3Scenario3[takes]),0)</f>
        <v>0.17647058823529413</v>
      </c>
      <c r="O78" s="15">
        <f>IF(HighlanderAbilities3Scenario3[[#This Row],[takes]]&gt;0,HighlanderAbilities3Scenario3[[#This Row],[wins]]/HighlanderAbilities3Scenario3[[#This Row],[takes]],0)</f>
        <v>0.66666666666666663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0" t="s">
        <v>88</v>
      </c>
      <c r="L81" s="2">
        <f>COUNTIF(Scenario3[winner1-ability4],HighlanderAbilities4Scenario3[[#This Row],[ability]])+COUNTIF(Scenario3[loser1-ability4],HighlanderAbilities4Scenario3[[#This Row],[ability]])+COUNTIF(Scenario3[loser2-ability4],HighlanderAbilities4Scenario3[[#This Row],[ability]])</f>
        <v>4</v>
      </c>
      <c r="M81" s="2">
        <f>COUNTIF(Scenario3[winner1-ability4],HighlanderAbilities4Scenario3[[#This Row],[ability]])</f>
        <v>3</v>
      </c>
      <c r="N81" s="12">
        <f>IF(SUM(HighlanderAbilities4Scenario3[[#This Row],[takes]]) &gt; 0,HighlanderAbilities4Scenario3[[#This Row],[takes]]/SUM(HighlanderAbilities4Scenario3[takes]),0)</f>
        <v>0.25</v>
      </c>
      <c r="O81" s="12">
        <f>IF(HighlanderAbilities4Scenario3[[#This Row],[takes]]&gt;0,HighlanderAbilities4Scenario3[[#This Row],[wins]]/HighlanderAbilities4Scenario3[[#This Row],[takes]],0)</f>
        <v>0.75</v>
      </c>
      <c r="S81" s="18"/>
    </row>
    <row r="82" spans="11:19" x14ac:dyDescent="0.25">
      <c r="K82" s="20" t="s">
        <v>124</v>
      </c>
      <c r="L82" s="2">
        <f>COUNTIF(Scenario3[winner1-ability4],HighlanderAbilities4Scenario3[[#This Row],[ability]])+COUNTIF(Scenario3[loser1-ability4],HighlanderAbilities4Scenario3[[#This Row],[ability]])+COUNTIF(Scenario3[loser2-ability4],HighlanderAbilities4Scenario3[[#This Row],[ability]])</f>
        <v>6</v>
      </c>
      <c r="M82" s="2">
        <f>COUNTIF(Scenario3[winner1-ability4],HighlanderAbilities4Scenario3[[#This Row],[ability]])</f>
        <v>4</v>
      </c>
      <c r="N82" s="12">
        <f>IF(SUM(HighlanderAbilities4Scenario3[[#This Row],[takes]]) &gt; 0,HighlanderAbilities4Scenario3[[#This Row],[takes]]/SUM(HighlanderAbilities4Scenario3[takes]),0)</f>
        <v>0.375</v>
      </c>
      <c r="O82" s="12">
        <f>IF(HighlanderAbilities4Scenario3[[#This Row],[takes]]&gt;0,HighlanderAbilities4Scenario3[[#This Row],[wins]]/HighlanderAbilities4Scenario3[[#This Row],[takes]],0)</f>
        <v>0.66666666666666663</v>
      </c>
      <c r="S82" s="18"/>
    </row>
    <row r="83" spans="11:19" ht="15.75" thickBot="1" x14ac:dyDescent="0.3">
      <c r="K83" s="24" t="s">
        <v>125</v>
      </c>
      <c r="L83" s="2">
        <f>COUNTIF(Scenario3[winner1-ability4],HighlanderAbilities4Scenario3[[#This Row],[ability]])+COUNTIF(Scenario3[loser1-ability4],HighlanderAbilities4Scenario3[[#This Row],[ability]])+COUNTIF(Scenario3[loser2-ability4],HighlanderAbilities4Scenario3[[#This Row],[ability]])</f>
        <v>6</v>
      </c>
      <c r="M83" s="2">
        <f>COUNTIF(Scenario3[winner1-ability4],HighlanderAbilities4Scenario3[[#This Row],[ability]])</f>
        <v>2</v>
      </c>
      <c r="N83" s="26">
        <f>IF(SUM(HighlanderAbilities4Scenario3[[#This Row],[takes]]) &gt; 0,HighlanderAbilities4Scenario3[[#This Row],[takes]]/SUM(HighlanderAbilities4Scenario3[takes]),0)</f>
        <v>0.375</v>
      </c>
      <c r="O83" s="26">
        <f>IF(HighlanderAbilities4Scenario3[[#This Row],[takes]]&gt;0,HighlanderAbilities4Scenario3[[#This Row],[wins]]/HighlanderAbilities4Scenario3[[#This Row],[takes]],0)</f>
        <v>0.33333333333333331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7" t="s">
        <v>219</v>
      </c>
      <c r="L85" s="38"/>
      <c r="M85" s="38"/>
      <c r="N85" s="38"/>
      <c r="O85" s="38"/>
      <c r="P85" s="38"/>
      <c r="Q85" s="38"/>
      <c r="R85" s="38"/>
      <c r="S85" s="39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165</v>
      </c>
      <c r="S86" s="18" t="s">
        <v>164</v>
      </c>
    </row>
    <row r="87" spans="11:19" x14ac:dyDescent="0.25">
      <c r="K87" s="17" t="s">
        <v>68</v>
      </c>
      <c r="L87">
        <f>COUNTIF(Scenario4[winner1-ability1],HighlanderAbilities1Scenario4[[#This Row],[ability]])+COUNTIF(Scenario4[loser1-ability1],HighlanderAbilities1Scenario4[[#This Row],[ability]])+COUNTIF(Scenario4[loser2-ability1],HighlanderAbilities1Scenario4[[#This Row],[ability]])+COUNTIF(Scenario4[loser3-ability1],HighlanderAbilities1Scenario4[[#This Row],[ability]])</f>
        <v>0</v>
      </c>
      <c r="M87">
        <f>COUNTIF(Scenario4[winner1-ability1],HighlanderAbilities1Scenario4[[#This Row],[ability]])</f>
        <v>0</v>
      </c>
      <c r="N87" s="3">
        <f>IF(SUM(HighlanderAbilities1Scenario4[[#This Row],[takes]]) &gt; 0,HighlanderAbilities1Scenario4[[#This Row],[takes]]/SUM(HighlanderAbilities1Scenario4[takes]),0)</f>
        <v>0</v>
      </c>
      <c r="O87" s="3">
        <f>IF(HighlanderAbilities1Scenario4[[#This Row],[takes]]&gt;0,HighlanderAbilities1Scenario4[[#This Row],[wins]]/HighlanderAbilities1Scenario4[[#This Row],[takes]],0)</f>
        <v>0</v>
      </c>
      <c r="Q87">
        <v>1</v>
      </c>
      <c r="R87">
        <f>COUNTIFS(Scenario4[winner1],"highlander",Scenario4[winner1-pw],HighlanderEquipScenario4[[#This Row],[level]])+COUNTIFS(Scenario4[loser1],"highlander",Scenario4[loser1-pw],HighlanderEquipScenario4[[#This Row],[level]])+COUNTIFS(Scenario4[loser2],"highlander",Scenario4[loser2-pw],HighlanderEquipScenario4[[#This Row],[level]])+COUNTIFS(Scenario4[loser3],"highlander",Scenario4[loser3-pw],HighlanderEquipScenario4[[#This Row],[level]])</f>
        <v>1</v>
      </c>
      <c r="S87" s="18">
        <f>COUNTIFS(Scenario4[winner1],"highlander",Scenario4[winner1-cp],HighlanderEquipScenario4[[#This Row],[level]])+COUNTIFS(Scenario4[loser1],"highlander",Scenario4[loser1-cp],HighlanderEquipScenario4[[#This Row],[level]])+COUNTIFS(Scenario4[loser2],"highlander",Scenario4[loser2-cp],HighlanderEquipScenario4[[#This Row],[level]])+COUNTIFS(Scenario4[loser3],"highlander",Scenario4[loser3-cp],HighlanderEquipScenario4[[#This Row],[level]])</f>
        <v>2</v>
      </c>
    </row>
    <row r="88" spans="11:19" x14ac:dyDescent="0.25">
      <c r="K88" s="17" t="s">
        <v>120</v>
      </c>
      <c r="L88">
        <f>COUNTIF(Scenario4[winner1-ability1],HighlanderAbilities1Scenario4[[#This Row],[ability]])+COUNTIF(Scenario4[loser1-ability1],HighlanderAbilities1Scenario4[[#This Row],[ability]])+COUNTIF(Scenario4[loser2-ability1],HighlanderAbilities1Scenario4[[#This Row],[ability]])+COUNTIF(Scenario4[loser3-ability1],HighlanderAbilities1Scenario4[[#This Row],[ability]])</f>
        <v>26</v>
      </c>
      <c r="M88">
        <f>COUNTIF(Scenario4[winner1-ability1],HighlanderAbilities1Scenario4[[#This Row],[ability]])</f>
        <v>8</v>
      </c>
      <c r="N88" s="3">
        <f>IF(SUM(HighlanderAbilities1Scenario4[[#This Row],[takes]]) &gt; 0,HighlanderAbilities1Scenario4[[#This Row],[takes]]/SUM(HighlanderAbilities1Scenario4[takes]),0)</f>
        <v>0.74285714285714288</v>
      </c>
      <c r="O88" s="3">
        <f>IF(HighlanderAbilities1Scenario4[[#This Row],[takes]]&gt;0,HighlanderAbilities1Scenario4[[#This Row],[wins]]/HighlanderAbilities1Scenario4[[#This Row],[takes]],0)</f>
        <v>0.30769230769230771</v>
      </c>
      <c r="Q88">
        <v>2</v>
      </c>
      <c r="R88">
        <f>COUNTIFS(Scenario4[winner1],"highlander",Scenario4[winner1-pw],HighlanderEquipScenario4[[#This Row],[level]])+COUNTIFS(Scenario4[loser1],"highlander",Scenario4[loser1-pw],HighlanderEquipScenario4[[#This Row],[level]])+COUNTIFS(Scenario4[loser2],"highlander",Scenario4[loser2-pw],HighlanderEquipScenario4[[#This Row],[level]])+COUNTIFS(Scenario4[loser3],"highlander",Scenario4[loser3-pw],HighlanderEquipScenario4[[#This Row],[level]])</f>
        <v>4</v>
      </c>
      <c r="S88" s="18">
        <f>COUNTIFS(Scenario4[winner1],"highlander",Scenario4[winner1-cp],HighlanderEquipScenario4[[#This Row],[level]])+COUNTIFS(Scenario4[loser1],"highlander",Scenario4[loser1-cp],HighlanderEquipScenario4[[#This Row],[level]])+COUNTIFS(Scenario4[loser2],"highlander",Scenario4[loser2-cp],HighlanderEquipScenario4[[#This Row],[level]])+COUNTIFS(Scenario4[loser3],"highlander",Scenario4[loser3-cp],HighlanderEquipScenario4[[#This Row],[level]])</f>
        <v>3</v>
      </c>
    </row>
    <row r="89" spans="11:19" x14ac:dyDescent="0.25">
      <c r="K89" s="17" t="s">
        <v>57</v>
      </c>
      <c r="L89">
        <f>COUNTIF(Scenario4[winner1-ability1],HighlanderAbilities1Scenario4[[#This Row],[ability]])+COUNTIF(Scenario4[loser1-ability1],HighlanderAbilities1Scenario4[[#This Row],[ability]])+COUNTIF(Scenario4[loser2-ability1],HighlanderAbilities1Scenario4[[#This Row],[ability]])+COUNTIF(Scenario4[loser3-ability1],HighlanderAbilities1Scenario4[[#This Row],[ability]])</f>
        <v>9</v>
      </c>
      <c r="M89">
        <f>COUNTIF(Scenario4[winner1-ability1],HighlanderAbilities1Scenario4[[#This Row],[ability]])</f>
        <v>2</v>
      </c>
      <c r="N89" s="3">
        <f>IF(SUM(HighlanderAbilities1Scenario4[[#This Row],[takes]]) &gt; 0,HighlanderAbilities1Scenario4[[#This Row],[takes]]/SUM(HighlanderAbilities1Scenario4[takes]),0)</f>
        <v>0.25714285714285712</v>
      </c>
      <c r="O89" s="3">
        <f>IF(HighlanderAbilities1Scenario4[[#This Row],[takes]]&gt;0,HighlanderAbilities1Scenario4[[#This Row],[wins]]/HighlanderAbilities1Scenario4[[#This Row],[takes]],0)</f>
        <v>0.22222222222222221</v>
      </c>
      <c r="Q89">
        <v>3</v>
      </c>
      <c r="R89">
        <f>COUNTIFS(Scenario4[winner1],"highlander",Scenario4[winner1-pw],HighlanderEquipScenario4[[#This Row],[level]])+COUNTIFS(Scenario4[loser1],"highlander",Scenario4[loser1-pw],HighlanderEquipScenario4[[#This Row],[level]])+COUNTIFS(Scenario4[loser2],"highlander",Scenario4[loser2-pw],HighlanderEquipScenario4[[#This Row],[level]])+COUNTIFS(Scenario4[loser3],"highlander",Scenario4[loser3-pw],HighlanderEquipScenario4[[#This Row],[level]])</f>
        <v>30</v>
      </c>
      <c r="S89" s="18">
        <f>COUNTIFS(Scenario4[winner1],"highlander",Scenario4[winner1-cp],HighlanderEquipScenario4[[#This Row],[level]])+COUNTIFS(Scenario4[loser1],"highlander",Scenario4[loser1-cp],HighlanderEquipScenario4[[#This Row],[level]])+COUNTIFS(Scenario4[loser2],"highlander",Scenario4[loser2-cp],HighlanderEquipScenario4[[#This Row],[level]])+COUNTIFS(Scenario4[loser3],"highlander",Scenario4[loser3-cp],HighlanderEquipScenario4[[#This Row],[level]])</f>
        <v>30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0" t="s">
        <v>69</v>
      </c>
      <c r="L92" s="2">
        <f>COUNTIF(Scenario4[winner1-ability2],HighlanderAbilities2Scenario4[[#This Row],[ability]])+COUNTIF(Scenario4[loser1-ability2],HighlanderAbilities2Scenario4[[#This Row],[ability]])+COUNTIF(Scenario4[loser2-ability2],HighlanderAbilities2Scenario4[[#This Row],[ability]])+COUNTIF(Scenario4[loser3-ability2],HighlanderAbilities2Scenario4[[#This Row],[ability]])</f>
        <v>28</v>
      </c>
      <c r="M92" s="2">
        <f>COUNTIF(Scenario4[winner1-ability2],HighlanderAbilities2Scenario4[[#This Row],[ability]])</f>
        <v>7</v>
      </c>
      <c r="N92" s="12">
        <f>IF(SUM(HighlanderAbilities2Scenario4[[#This Row],[takes]]) &gt; 0,HighlanderAbilities2Scenario4[[#This Row],[takes]]/SUM(HighlanderAbilities2Scenario4[takes]),0)</f>
        <v>0.8</v>
      </c>
      <c r="O92" s="12">
        <f>IF(HighlanderAbilities2Scenario4[[#This Row],[takes]]&gt;0,HighlanderAbilities2Scenario4[[#This Row],[wins]]/HighlanderAbilities2Scenario4[[#This Row],[takes]],0)</f>
        <v>0.25</v>
      </c>
      <c r="S92" s="18"/>
    </row>
    <row r="93" spans="11:19" x14ac:dyDescent="0.25">
      <c r="K93" s="17" t="s">
        <v>121</v>
      </c>
      <c r="L93" s="2">
        <f>COUNTIF(Scenario4[winner1-ability2],HighlanderAbilities2Scenario4[[#This Row],[ability]])+COUNTIF(Scenario4[loser1-ability2],HighlanderAbilities2Scenario4[[#This Row],[ability]])+COUNTIF(Scenario4[loser2-ability2],HighlanderAbilities2Scenario4[[#This Row],[ability]])+COUNTIF(Scenario4[loser3-ability2],HighlanderAbilities2Scenario4[[#This Row],[ability]])</f>
        <v>6</v>
      </c>
      <c r="M93" s="2">
        <f>COUNTIF(Scenario4[winner1-ability2],HighlanderAbilities2Scenario4[[#This Row],[ability]])</f>
        <v>3</v>
      </c>
      <c r="N93" s="3">
        <f>IF(SUM(HighlanderAbilities2Scenario4[[#This Row],[takes]]) &gt; 0,HighlanderAbilities2Scenario4[[#This Row],[takes]]/SUM(HighlanderAbilities2Scenario4[takes]),0)</f>
        <v>0.17142857142857143</v>
      </c>
      <c r="O93" s="3">
        <f>IF(HighlanderAbilities2Scenario4[[#This Row],[takes]]&gt;0,HighlanderAbilities2Scenario4[[#This Row],[wins]]/HighlanderAbilities2Scenario4[[#This Row],[takes]],0)</f>
        <v>0.5</v>
      </c>
      <c r="S93" s="18"/>
    </row>
    <row r="94" spans="11:19" x14ac:dyDescent="0.25">
      <c r="K94" s="21" t="s">
        <v>122</v>
      </c>
      <c r="L94" s="2">
        <f>COUNTIF(Scenario4[winner1-ability2],HighlanderAbilities2Scenario4[[#This Row],[ability]])+COUNTIF(Scenario4[loser1-ability2],HighlanderAbilities2Scenario4[[#This Row],[ability]])+COUNTIF(Scenario4[loser2-ability2],HighlanderAbilities2Scenario4[[#This Row],[ability]])+COUNTIF(Scenario4[loser3-ability2],HighlanderAbilities2Scenario4[[#This Row],[ability]])</f>
        <v>1</v>
      </c>
      <c r="M94" s="2">
        <f>COUNTIF(Scenario4[winner1-ability2],HighlanderAbilities2Scenario4[[#This Row],[ability]])</f>
        <v>0</v>
      </c>
      <c r="N94" s="13">
        <f>IF(SUM(HighlanderAbilities2Scenario4[[#This Row],[takes]]) &gt; 0,HighlanderAbilities2Scenario4[[#This Row],[takes]]/SUM(HighlanderAbilities2Scenario4[takes]),0)</f>
        <v>2.8571428571428571E-2</v>
      </c>
      <c r="O94" s="13">
        <f>IF(HighlanderAbilities2Scenario4[[#This Row],[takes]]&gt;0,HighlanderAbilities2Scenario4[[#This Row],[wins]]/HighlanderAbilities2Scenario4[[#This Row],[takes]],0)</f>
        <v>0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22" t="s">
        <v>123</v>
      </c>
      <c r="L97" s="1">
        <f>COUNTIF(Scenario4[winner1-ability3],HighlanderAbilities3Scenario4[[#This Row],[ability]])+COUNTIF(Scenario4[loser1-ability3],HighlanderAbilities3Scenario4[[#This Row],[ability]])+COUNTIF(Scenario4[loser2-ability3],HighlanderAbilities3Scenario4[[#This Row],[ability]])+COUNTIF(Scenario4[loser3-ability3],HighlanderAbilities3Scenario4[[#This Row],[ability]])</f>
        <v>9</v>
      </c>
      <c r="M97" s="1">
        <f>COUNTIF(Scenario4[winner1-ability3],HighlanderAbilities3Scenario4[[#This Row],[ability]])</f>
        <v>3</v>
      </c>
      <c r="N97" s="14">
        <f>IF(SUM(HighlanderAbilities3Scenario4[[#This Row],[takes]]) &gt; 0,HighlanderAbilities3Scenario4[[#This Row],[takes]]/SUM(HighlanderAbilities3Scenario4[takes]),0)</f>
        <v>0.26470588235294118</v>
      </c>
      <c r="O97" s="14">
        <f>IF(HighlanderAbilities3Scenario4[[#This Row],[takes]]&gt;0,HighlanderAbilities3Scenario4[[#This Row],[wins]]/HighlanderAbilities3Scenario4[[#This Row],[takes]],0)</f>
        <v>0.33333333333333331</v>
      </c>
      <c r="S97" s="18"/>
    </row>
    <row r="98" spans="11:19" x14ac:dyDescent="0.25">
      <c r="K98" s="20" t="s">
        <v>87</v>
      </c>
      <c r="L98" s="2">
        <f>COUNTIF(Scenario4[winner1-ability3],HighlanderAbilities3Scenario4[[#This Row],[ability]])+COUNTIF(Scenario4[loser1-ability3],HighlanderAbilities3Scenario4[[#This Row],[ability]])+COUNTIF(Scenario4[loser2-ability3],HighlanderAbilities3Scenario4[[#This Row],[ability]])+COUNTIF(Scenario4[loser3-ability3],HighlanderAbilities3Scenario4[[#This Row],[ability]])</f>
        <v>22</v>
      </c>
      <c r="M98" s="2">
        <f>COUNTIF(Scenario4[winner1-ability3],HighlanderAbilities3Scenario4[[#This Row],[ability]])</f>
        <v>6</v>
      </c>
      <c r="N98" s="12">
        <f>IF(SUM(HighlanderAbilities3Scenario4[[#This Row],[takes]]) &gt; 0,HighlanderAbilities3Scenario4[[#This Row],[takes]]/SUM(HighlanderAbilities3Scenario4[takes]),0)</f>
        <v>0.6470588235294118</v>
      </c>
      <c r="O98" s="12">
        <f>IF(HighlanderAbilities3Scenario4[[#This Row],[takes]]&gt;0,HighlanderAbilities3Scenario4[[#This Row],[wins]]/HighlanderAbilities3Scenario4[[#This Row],[takes]],0)</f>
        <v>0.27272727272727271</v>
      </c>
      <c r="S98" s="18"/>
    </row>
    <row r="99" spans="11:19" x14ac:dyDescent="0.25">
      <c r="K99" s="23" t="s">
        <v>85</v>
      </c>
      <c r="L99" s="1">
        <f>COUNTIF(Scenario4[winner1-ability3],HighlanderAbilities3Scenario4[[#This Row],[ability]])+COUNTIF(Scenario4[loser1-ability3],HighlanderAbilities3Scenario4[[#This Row],[ability]])+COUNTIF(Scenario4[loser2-ability3],HighlanderAbilities3Scenario4[[#This Row],[ability]])+COUNTIF(Scenario4[loser3-ability3],HighlanderAbilities3Scenario4[[#This Row],[ability]])</f>
        <v>3</v>
      </c>
      <c r="M99" s="1">
        <f>COUNTIF(Scenario4[winner1-ability3],HighlanderAbilities3Scenario4[[#This Row],[ability]])</f>
        <v>1</v>
      </c>
      <c r="N99" s="15">
        <f>IF(SUM(HighlanderAbilities3Scenario4[[#This Row],[takes]]) &gt; 0,HighlanderAbilities3Scenario4[[#This Row],[takes]]/SUM(HighlanderAbilities3Scenario4[takes]),0)</f>
        <v>8.8235294117647065E-2</v>
      </c>
      <c r="O99" s="15">
        <f>IF(HighlanderAbilities3Scenario4[[#This Row],[takes]]&gt;0,HighlanderAbilities3Scenario4[[#This Row],[wins]]/HighlanderAbilities3Scenario4[[#This Row],[takes]],0)</f>
        <v>0.33333333333333331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0" t="s">
        <v>88</v>
      </c>
      <c r="L102" s="2">
        <f>COUNTIF(Scenario4[winner1-ability4],HighlanderAbilities4Scenario4[[#This Row],[ability]])+COUNTIF(Scenario4[loser1-ability4],HighlanderAbilities4Scenario4[[#This Row],[ability]])+COUNTIF(Scenario4[loser2-ability4],HighlanderAbilities4Scenario4[[#This Row],[ability]])+COUNTIF(Scenario4[loser3-ability4],HighlanderAbilities4Scenario4[[#This Row],[ability]])</f>
        <v>14</v>
      </c>
      <c r="M102" s="2">
        <f>COUNTIF(Scenario4[winner1-ability4],HighlanderAbilities4Scenario4[[#This Row],[ability]])</f>
        <v>4</v>
      </c>
      <c r="N102" s="12">
        <f>IF(SUM(HighlanderAbilities4Scenario4[[#This Row],[takes]]) &gt; 0,HighlanderAbilities4Scenario4[[#This Row],[takes]]/SUM(HighlanderAbilities4Scenario4[takes]),0)</f>
        <v>0.4375</v>
      </c>
      <c r="O102" s="12">
        <f>IF(HighlanderAbilities4Scenario4[[#This Row],[takes]]&gt;0,HighlanderAbilities4Scenario4[[#This Row],[wins]]/HighlanderAbilities4Scenario4[[#This Row],[takes]],0)</f>
        <v>0.2857142857142857</v>
      </c>
      <c r="S102" s="18"/>
    </row>
    <row r="103" spans="11:19" x14ac:dyDescent="0.25">
      <c r="K103" s="20" t="s">
        <v>124</v>
      </c>
      <c r="L103" s="2">
        <f>COUNTIF(Scenario4[winner1-ability4],HighlanderAbilities4Scenario4[[#This Row],[ability]])+COUNTIF(Scenario4[loser1-ability4],HighlanderAbilities4Scenario4[[#This Row],[ability]])+COUNTIF(Scenario4[loser2-ability4],HighlanderAbilities4Scenario4[[#This Row],[ability]])+COUNTIF(Scenario4[loser3-ability4],HighlanderAbilities4Scenario4[[#This Row],[ability]])</f>
        <v>6</v>
      </c>
      <c r="M103" s="2">
        <f>COUNTIF(Scenario4[winner1-ability4],HighlanderAbilities4Scenario4[[#This Row],[ability]])</f>
        <v>1</v>
      </c>
      <c r="N103" s="12">
        <f>IF(SUM(HighlanderAbilities4Scenario4[[#This Row],[takes]]) &gt; 0,HighlanderAbilities4Scenario4[[#This Row],[takes]]/SUM(HighlanderAbilities4Scenario4[takes]),0)</f>
        <v>0.1875</v>
      </c>
      <c r="O103" s="12">
        <f>IF(HighlanderAbilities4Scenario4[[#This Row],[takes]]&gt;0,HighlanderAbilities4Scenario4[[#This Row],[wins]]/HighlanderAbilities4Scenario4[[#This Row],[takes]],0)</f>
        <v>0.16666666666666666</v>
      </c>
      <c r="S103" s="18"/>
    </row>
    <row r="104" spans="11:19" ht="15.75" thickBot="1" x14ac:dyDescent="0.3">
      <c r="K104" s="24" t="s">
        <v>125</v>
      </c>
      <c r="L104" s="2">
        <f>COUNTIF(Scenario4[winner1-ability4],HighlanderAbilities4Scenario4[[#This Row],[ability]])+COUNTIF(Scenario4[loser1-ability4],HighlanderAbilities4Scenario4[[#This Row],[ability]])+COUNTIF(Scenario4[loser2-ability4],HighlanderAbilities4Scenario4[[#This Row],[ability]])+COUNTIF(Scenario4[loser3-ability4],HighlanderAbilities4Scenario4[[#This Row],[ability]])</f>
        <v>12</v>
      </c>
      <c r="M104" s="2">
        <f>COUNTIF(Scenario4[winner1-ability4],HighlanderAbilities4Scenario4[[#This Row],[ability]])</f>
        <v>5</v>
      </c>
      <c r="N104" s="26">
        <f>IF(SUM(HighlanderAbilities4Scenario4[[#This Row],[takes]]) &gt; 0,HighlanderAbilities4Scenario4[[#This Row],[takes]]/SUM(HighlanderAbilities4Scenario4[takes]),0)</f>
        <v>0.375</v>
      </c>
      <c r="O104" s="26">
        <f>IF(HighlanderAbilities4Scenario4[[#This Row],[takes]]&gt;0,HighlanderAbilities4Scenario4[[#This Row],[wins]]/HighlanderAbilities4Scenario4[[#This Row],[takes]],0)</f>
        <v>0.41666666666666669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7" t="s">
        <v>220</v>
      </c>
      <c r="L106" s="38"/>
      <c r="M106" s="38"/>
      <c r="N106" s="38"/>
      <c r="O106" s="38"/>
      <c r="P106" s="38"/>
      <c r="Q106" s="38"/>
      <c r="R106" s="38"/>
      <c r="S106" s="39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165</v>
      </c>
      <c r="S107" s="18" t="s">
        <v>164</v>
      </c>
    </row>
    <row r="108" spans="11:19" x14ac:dyDescent="0.25">
      <c r="K108" s="17" t="s">
        <v>68</v>
      </c>
      <c r="L108">
        <f>COUNTIF(Scenario5[winner1-ability1],HighlanderAbilities1Scenario5[[#This Row],[ability]])+COUNTIF(Scenario5[winner2-ability1],HighlanderAbilities1Scenario5[[#This Row],[ability]])+COUNTIF(Scenario5[loser1-ability1],HighlanderAbilities1Scenario5[[#This Row],[ability]])+COUNTIF(Scenario5[loser2-ability1],HighlanderAbilities1Scenario5[[#This Row],[ability]])</f>
        <v>15</v>
      </c>
      <c r="M108">
        <f>COUNTIF(Scenario5[winner1-ability1],HighlanderAbilities1Scenario5[[#This Row],[ability]])+COUNTIF(Scenario5[winner2-ability1],HighlanderAbilities1Scenario5[[#This Row],[ability]])</f>
        <v>7</v>
      </c>
      <c r="N108" s="3">
        <f>IF(SUM(HighlanderAbilities1Scenario5[[#This Row],[takes]]) &gt; 0,HighlanderAbilities1Scenario5[[#This Row],[takes]]/SUM(HighlanderAbilities1Scenario5[takes]),0)</f>
        <v>0.14285714285714285</v>
      </c>
      <c r="O108" s="3">
        <f>IF(HighlanderAbilities1Scenario5[[#This Row],[takes]]&gt;0,HighlanderAbilities1Scenario5[[#This Row],[wins]]/HighlanderAbilities1Scenario5[[#This Row],[takes]],0)</f>
        <v>0.46666666666666667</v>
      </c>
      <c r="Q108">
        <v>1</v>
      </c>
      <c r="R108">
        <f>COUNTIFS(Scenario5[winner1],"highlander",Scenario5[winner1-pw],HighlanderEquipScenario5[[#This Row],[level]])+COUNTIFS(Scenario5[winner2],"highlander",Scenario5[winner2-pw],HighlanderEquipScenario5[[#This Row],[level]])+COUNTIFS(Scenario5[loser1],"highlander",Scenario5[loser1-pw],HighlanderEquipScenario5[[#This Row],[level]])+COUNTIFS(Scenario5[loser2],"highlander",Scenario5[loser2-pw],HighlanderEquipScenario5[[#This Row],[level]])</f>
        <v>16</v>
      </c>
      <c r="S108" s="18">
        <f>COUNTIFS(Scenario5[winner1],"highlander",Scenario5[winner1-cp],HighlanderEquipScenario5[[#This Row],[level]])+COUNTIFS(Scenario5[winner2],"highlander",Scenario5[winner2-cp],HighlanderEquipScenario5[[#This Row],[level]])+COUNTIFS(Scenario5[loser1],"highlander",Scenario5[loser1-cp],HighlanderEquipScenario5[[#This Row],[level]])+COUNTIFS(Scenario5[loser2],"highlander",Scenario5[loser2-cp],HighlanderEquipScenario5[[#This Row],[level]])</f>
        <v>77</v>
      </c>
    </row>
    <row r="109" spans="11:19" x14ac:dyDescent="0.25">
      <c r="K109" s="17" t="s">
        <v>120</v>
      </c>
      <c r="L109">
        <f>COUNTIF(Scenario5[winner1-ability1],HighlanderAbilities1Scenario5[[#This Row],[ability]])+COUNTIF(Scenario5[winner2-ability1],HighlanderAbilities1Scenario5[[#This Row],[ability]])+COUNTIF(Scenario5[loser1-ability1],HighlanderAbilities1Scenario5[[#This Row],[ability]])+COUNTIF(Scenario5[loser2-ability1],HighlanderAbilities1Scenario5[[#This Row],[ability]])</f>
        <v>41</v>
      </c>
      <c r="M109">
        <f>COUNTIF(Scenario5[winner1-ability1],HighlanderAbilities1Scenario5[[#This Row],[ability]])+COUNTIF(Scenario5[winner2-ability1],HighlanderAbilities1Scenario5[[#This Row],[ability]])</f>
        <v>23</v>
      </c>
      <c r="N109" s="3">
        <f>IF(SUM(HighlanderAbilities1Scenario5[[#This Row],[takes]]) &gt; 0,HighlanderAbilities1Scenario5[[#This Row],[takes]]/SUM(HighlanderAbilities1Scenario5[takes]),0)</f>
        <v>0.39047619047619048</v>
      </c>
      <c r="O109" s="3">
        <f>IF(HighlanderAbilities1Scenario5[[#This Row],[takes]]&gt;0,HighlanderAbilities1Scenario5[[#This Row],[wins]]/HighlanderAbilities1Scenario5[[#This Row],[takes]],0)</f>
        <v>0.56097560975609762</v>
      </c>
      <c r="Q109">
        <v>2</v>
      </c>
      <c r="R109">
        <f>COUNTIFS(Scenario5[winner1],"highlander",Scenario5[winner1-pw],HighlanderEquipScenario5[[#This Row],[level]])+COUNTIFS(Scenario5[winner2],"highlander",Scenario5[winner2-pw],HighlanderEquipScenario5[[#This Row],[level]])+COUNTIFS(Scenario5[loser1],"highlander",Scenario5[loser1-pw],HighlanderEquipScenario5[[#This Row],[level]])+COUNTIFS(Scenario5[loser2],"highlander",Scenario5[loser2-pw],HighlanderEquipScenario5[[#This Row],[level]])</f>
        <v>33</v>
      </c>
      <c r="S109" s="18">
        <f>COUNTIFS(Scenario5[winner1],"highlander",Scenario5[winner1-cp],HighlanderEquipScenario5[[#This Row],[level]])+COUNTIFS(Scenario5[winner2],"highlander",Scenario5[winner2-cp],HighlanderEquipScenario5[[#This Row],[level]])+COUNTIFS(Scenario5[loser1],"highlander",Scenario5[loser1-cp],HighlanderEquipScenario5[[#This Row],[level]])+COUNTIFS(Scenario5[loser2],"highlander",Scenario5[loser2-cp],HighlanderEquipScenario5[[#This Row],[level]])</f>
        <v>16</v>
      </c>
    </row>
    <row r="110" spans="11:19" x14ac:dyDescent="0.25">
      <c r="K110" s="17" t="s">
        <v>57</v>
      </c>
      <c r="L110">
        <f>COUNTIF(Scenario5[winner1-ability1],HighlanderAbilities1Scenario5[[#This Row],[ability]])+COUNTIF(Scenario5[winner2-ability1],HighlanderAbilities1Scenario5[[#This Row],[ability]])+COUNTIF(Scenario5[loser1-ability1],HighlanderAbilities1Scenario5[[#This Row],[ability]])+COUNTIF(Scenario5[loser2-ability1],HighlanderAbilities1Scenario5[[#This Row],[ability]])</f>
        <v>49</v>
      </c>
      <c r="M110">
        <f>COUNTIF(Scenario5[winner1-ability1],HighlanderAbilities1Scenario5[[#This Row],[ability]])+COUNTIF(Scenario5[winner2-ability1],HighlanderAbilities1Scenario5[[#This Row],[ability]])</f>
        <v>27</v>
      </c>
      <c r="N110" s="3">
        <f>IF(SUM(HighlanderAbilities1Scenario5[[#This Row],[takes]]) &gt; 0,HighlanderAbilities1Scenario5[[#This Row],[takes]]/SUM(HighlanderAbilities1Scenario5[takes]),0)</f>
        <v>0.46666666666666667</v>
      </c>
      <c r="O110" s="3">
        <f>IF(HighlanderAbilities1Scenario5[[#This Row],[takes]]&gt;0,HighlanderAbilities1Scenario5[[#This Row],[wins]]/HighlanderAbilities1Scenario5[[#This Row],[takes]],0)</f>
        <v>0.55102040816326525</v>
      </c>
      <c r="Q110">
        <v>3</v>
      </c>
      <c r="R110">
        <f>COUNTIFS(Scenario5[winner1],"highlander",Scenario5[winner1-pw],HighlanderEquipScenario5[[#This Row],[level]])+COUNTIFS(Scenario5[winner2],"highlander",Scenario5[winner2-pw],HighlanderEquipScenario5[[#This Row],[level]])+COUNTIFS(Scenario5[loser1],"highlander",Scenario5[loser1-pw],HighlanderEquipScenario5[[#This Row],[level]])+COUNTIFS(Scenario5[loser2],"highlander",Scenario5[loser2-pw],HighlanderEquipScenario5[[#This Row],[level]])</f>
        <v>56</v>
      </c>
      <c r="S110" s="18">
        <f>COUNTIFS(Scenario5[winner1],"highlander",Scenario5[winner1-cp],HighlanderEquipScenario5[[#This Row],[level]])+COUNTIFS(Scenario5[winner2],"highlander",Scenario5[winner2-cp],HighlanderEquipScenario5[[#This Row],[level]])+COUNTIFS(Scenario5[loser1],"highlander",Scenario5[loser1-cp],HighlanderEquipScenario5[[#This Row],[level]])+COUNTIFS(Scenario5[loser2],"highlander",Scenario5[loser2-cp],HighlanderEquipScenario5[[#This Row],[level]])</f>
        <v>12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0" t="s">
        <v>69</v>
      </c>
      <c r="L113" s="2">
        <f>COUNTIF(Scenario5[winner1-ability2],HighlanderAbilities2Scenario5[[#This Row],[ability]])+COUNTIF(Scenario5[winner2-ability2],HighlanderAbilities2Scenario5[[#This Row],[ability]])+COUNTIF(Scenario5[loser1-ability2],HighlanderAbilities2Scenario5[[#This Row],[ability]])+COUNTIF(Scenario5[loser2-ability2],HighlanderAbilities2Scenario5[[#This Row],[ability]])</f>
        <v>19</v>
      </c>
      <c r="M113" s="2">
        <f>COUNTIF(Scenario5[winner1-ability2],HighlanderAbilities2Scenario5[[#This Row],[ability]])+COUNTIF(Scenario5[winner2-ability2],HighlanderAbilities2Scenario5[[#This Row],[ability]])</f>
        <v>12</v>
      </c>
      <c r="N113" s="12">
        <f>IF(SUM(HighlanderAbilities2Scenario5[[#This Row],[takes]]) &gt; 0,HighlanderAbilities2Scenario5[[#This Row],[takes]]/SUM(HighlanderAbilities2Scenario5[takes]),0)</f>
        <v>0.20430107526881722</v>
      </c>
      <c r="O113" s="12">
        <f>IF(HighlanderAbilities2Scenario5[[#This Row],[takes]]&gt;0,HighlanderAbilities2Scenario5[[#This Row],[wins]]/HighlanderAbilities2Scenario5[[#This Row],[takes]],0)</f>
        <v>0.63157894736842102</v>
      </c>
      <c r="S113" s="18"/>
    </row>
    <row r="114" spans="11:19" x14ac:dyDescent="0.25">
      <c r="K114" s="17" t="s">
        <v>121</v>
      </c>
      <c r="L114" s="2">
        <f>COUNTIF(Scenario5[winner1-ability2],HighlanderAbilities2Scenario5[[#This Row],[ability]])+COUNTIF(Scenario5[winner2-ability2],HighlanderAbilities2Scenario5[[#This Row],[ability]])+COUNTIF(Scenario5[loser1-ability2],HighlanderAbilities2Scenario5[[#This Row],[ability]])+COUNTIF(Scenario5[loser2-ability2],HighlanderAbilities2Scenario5[[#This Row],[ability]])</f>
        <v>38</v>
      </c>
      <c r="M114" s="2">
        <f>COUNTIF(Scenario5[winner1-ability2],HighlanderAbilities2Scenario5[[#This Row],[ability]])+COUNTIF(Scenario5[winner2-ability2],HighlanderAbilities2Scenario5[[#This Row],[ability]])</f>
        <v>18</v>
      </c>
      <c r="N114" s="3">
        <f>IF(SUM(HighlanderAbilities2Scenario5[[#This Row],[takes]]) &gt; 0,HighlanderAbilities2Scenario5[[#This Row],[takes]]/SUM(HighlanderAbilities2Scenario5[takes]),0)</f>
        <v>0.40860215053763443</v>
      </c>
      <c r="O114" s="3">
        <f>IF(HighlanderAbilities2Scenario5[[#This Row],[takes]]&gt;0,HighlanderAbilities2Scenario5[[#This Row],[wins]]/HighlanderAbilities2Scenario5[[#This Row],[takes]],0)</f>
        <v>0.47368421052631576</v>
      </c>
      <c r="S114" s="18"/>
    </row>
    <row r="115" spans="11:19" x14ac:dyDescent="0.25">
      <c r="K115" s="21" t="s">
        <v>122</v>
      </c>
      <c r="L115" s="2">
        <f>COUNTIF(Scenario5[winner1-ability2],HighlanderAbilities2Scenario5[[#This Row],[ability]])+COUNTIF(Scenario5[winner2-ability2],HighlanderAbilities2Scenario5[[#This Row],[ability]])+COUNTIF(Scenario5[loser1-ability2],HighlanderAbilities2Scenario5[[#This Row],[ability]])+COUNTIF(Scenario5[loser2-ability2],HighlanderAbilities2Scenario5[[#This Row],[ability]])</f>
        <v>36</v>
      </c>
      <c r="M115" s="2">
        <f>COUNTIF(Scenario5[winner1-ability2],HighlanderAbilities2Scenario5[[#This Row],[ability]])+COUNTIF(Scenario5[winner2-ability2],HighlanderAbilities2Scenario5[[#This Row],[ability]])</f>
        <v>25</v>
      </c>
      <c r="N115" s="13">
        <f>IF(SUM(HighlanderAbilities2Scenario5[[#This Row],[takes]]) &gt; 0,HighlanderAbilities2Scenario5[[#This Row],[takes]]/SUM(HighlanderAbilities2Scenario5[takes]),0)</f>
        <v>0.38709677419354838</v>
      </c>
      <c r="O115" s="13">
        <f>IF(HighlanderAbilities2Scenario5[[#This Row],[takes]]&gt;0,HighlanderAbilities2Scenario5[[#This Row],[wins]]/HighlanderAbilities2Scenario5[[#This Row],[takes]],0)</f>
        <v>0.69444444444444442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22" t="s">
        <v>123</v>
      </c>
      <c r="L118" s="1">
        <f>COUNTIF(Scenario5[winner1-ability3],HighlanderAbilities3Scenario5[[#This Row],[ability]])+COUNTIF(Scenario5[winner2-ability3],HighlanderAbilities3Scenario5[[#This Row],[ability]])+COUNTIF(Scenario5[loser1-ability3],HighlanderAbilities3Scenario5[[#This Row],[ability]])+COUNTIF(Scenario5[loser2-ability3],HighlanderAbilities3Scenario5[[#This Row],[ability]])</f>
        <v>26</v>
      </c>
      <c r="M118" s="1">
        <f>COUNTIF(Scenario5[winner1-ability3],HighlanderAbilities3Scenario5[[#This Row],[ability]])+COUNTIF(Scenario5[winner2-ability3],HighlanderAbilities3Scenario5[[#This Row],[ability]])</f>
        <v>16</v>
      </c>
      <c r="N118" s="14">
        <f>IF(SUM(HighlanderAbilities3Scenario5[[#This Row],[takes]]) &gt; 0,HighlanderAbilities3Scenario5[[#This Row],[takes]]/SUM(HighlanderAbilities3Scenario5[takes]),0)</f>
        <v>0.40625</v>
      </c>
      <c r="O118" s="14">
        <f>IF(HighlanderAbilities3Scenario5[[#This Row],[takes]]&gt;0,HighlanderAbilities3Scenario5[[#This Row],[wins]]/HighlanderAbilities3Scenario5[[#This Row],[takes]],0)</f>
        <v>0.61538461538461542</v>
      </c>
      <c r="S118" s="18"/>
    </row>
    <row r="119" spans="11:19" x14ac:dyDescent="0.25">
      <c r="K119" s="20" t="s">
        <v>87</v>
      </c>
      <c r="L119" s="2">
        <f>COUNTIF(Scenario5[winner1-ability3],HighlanderAbilities3Scenario5[[#This Row],[ability]])+COUNTIF(Scenario5[winner2-ability3],HighlanderAbilities3Scenario5[[#This Row],[ability]])+COUNTIF(Scenario5[loser1-ability3],HighlanderAbilities3Scenario5[[#This Row],[ability]])+COUNTIF(Scenario5[loser2-ability3],HighlanderAbilities3Scenario5[[#This Row],[ability]])</f>
        <v>22</v>
      </c>
      <c r="M119" s="2">
        <f>COUNTIF(Scenario5[winner1-ability3],HighlanderAbilities3Scenario5[[#This Row],[ability]])+COUNTIF(Scenario5[winner2-ability3],HighlanderAbilities3Scenario5[[#This Row],[ability]])</f>
        <v>11</v>
      </c>
      <c r="N119" s="12">
        <f>IF(SUM(HighlanderAbilities3Scenario5[[#This Row],[takes]]) &gt; 0,HighlanderAbilities3Scenario5[[#This Row],[takes]]/SUM(HighlanderAbilities3Scenario5[takes]),0)</f>
        <v>0.34375</v>
      </c>
      <c r="O119" s="12">
        <f>IF(HighlanderAbilities3Scenario5[[#This Row],[takes]]&gt;0,HighlanderAbilities3Scenario5[[#This Row],[wins]]/HighlanderAbilities3Scenario5[[#This Row],[takes]],0)</f>
        <v>0.5</v>
      </c>
      <c r="S119" s="18"/>
    </row>
    <row r="120" spans="11:19" x14ac:dyDescent="0.25">
      <c r="K120" s="23" t="s">
        <v>85</v>
      </c>
      <c r="L120" s="1">
        <f>COUNTIF(Scenario5[winner1-ability3],HighlanderAbilities3Scenario5[[#This Row],[ability]])+COUNTIF(Scenario5[winner2-ability3],HighlanderAbilities3Scenario5[[#This Row],[ability]])+COUNTIF(Scenario5[loser1-ability3],HighlanderAbilities3Scenario5[[#This Row],[ability]])+COUNTIF(Scenario5[loser2-ability3],HighlanderAbilities3Scenario5[[#This Row],[ability]])</f>
        <v>16</v>
      </c>
      <c r="M120" s="1">
        <f>COUNTIF(Scenario5[winner1-ability3],HighlanderAbilities3Scenario5[[#This Row],[ability]])+COUNTIF(Scenario5[winner2-ability3],HighlanderAbilities3Scenario5[[#This Row],[ability]])</f>
        <v>11</v>
      </c>
      <c r="N120" s="15">
        <f>IF(SUM(HighlanderAbilities3Scenario5[[#This Row],[takes]]) &gt; 0,HighlanderAbilities3Scenario5[[#This Row],[takes]]/SUM(HighlanderAbilities3Scenario5[takes]),0)</f>
        <v>0.25</v>
      </c>
      <c r="O120" s="15">
        <f>IF(HighlanderAbilities3Scenario5[[#This Row],[takes]]&gt;0,HighlanderAbilities3Scenario5[[#This Row],[wins]]/HighlanderAbilities3Scenario5[[#This Row],[takes]],0)</f>
        <v>0.6875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0" t="s">
        <v>88</v>
      </c>
      <c r="L123" s="2">
        <f>COUNTIF(Scenario5[winner1-ability4],HighlanderAbilities4Scenario5[[#This Row],[ability]])+COUNTIF(Scenario5[winner2-ability4],HighlanderAbilities4Scenario5[[#This Row],[ability]])+COUNTIF(Scenario5[loser1-ability4],HighlanderAbilities4Scenario5[[#This Row],[ability]])+COUNTIF(Scenario5[loser2-ability4],HighlanderAbilities4Scenario5[[#This Row],[ability]])</f>
        <v>7</v>
      </c>
      <c r="M123" s="2">
        <f>COUNTIF(Scenario5[winner1-ability4],HighlanderAbilities4Scenario5[[#This Row],[ability]])+COUNTIF(Scenario5[winner2-ability4],HighlanderAbilities4Scenario5[[#This Row],[ability]])</f>
        <v>4</v>
      </c>
      <c r="N123" s="12">
        <f>IF(SUM(HighlanderAbilities4Scenario5[[#This Row],[takes]]) &gt; 0,HighlanderAbilities4Scenario5[[#This Row],[takes]]/SUM(HighlanderAbilities4Scenario5[takes]),0)</f>
        <v>0.25</v>
      </c>
      <c r="O123" s="12">
        <f>IF(HighlanderAbilities4Scenario5[[#This Row],[takes]]&gt;0,HighlanderAbilities4Scenario5[[#This Row],[wins]]/HighlanderAbilities4Scenario5[[#This Row],[takes]],0)</f>
        <v>0.5714285714285714</v>
      </c>
      <c r="S123" s="18"/>
    </row>
    <row r="124" spans="11:19" x14ac:dyDescent="0.25">
      <c r="K124" s="20" t="s">
        <v>124</v>
      </c>
      <c r="L124" s="2">
        <f>COUNTIF(Scenario5[winner1-ability4],HighlanderAbilities4Scenario5[[#This Row],[ability]])+COUNTIF(Scenario5[winner2-ability4],HighlanderAbilities4Scenario5[[#This Row],[ability]])+COUNTIF(Scenario5[loser1-ability4],HighlanderAbilities4Scenario5[[#This Row],[ability]])+COUNTIF(Scenario5[loser2-ability4],HighlanderAbilities4Scenario5[[#This Row],[ability]])</f>
        <v>13</v>
      </c>
      <c r="M124" s="2">
        <f>COUNTIF(Scenario5[winner1-ability4],HighlanderAbilities4Scenario5[[#This Row],[ability]])+COUNTIF(Scenario5[winner2-ability4],HighlanderAbilities4Scenario5[[#This Row],[ability]])</f>
        <v>7</v>
      </c>
      <c r="N124" s="12">
        <f>IF(SUM(HighlanderAbilities4Scenario5[[#This Row],[takes]]) &gt; 0,HighlanderAbilities4Scenario5[[#This Row],[takes]]/SUM(HighlanderAbilities4Scenario5[takes]),0)</f>
        <v>0.4642857142857143</v>
      </c>
      <c r="O124" s="12">
        <f>IF(HighlanderAbilities4Scenario5[[#This Row],[takes]]&gt;0,HighlanderAbilities4Scenario5[[#This Row],[wins]]/HighlanderAbilities4Scenario5[[#This Row],[takes]],0)</f>
        <v>0.53846153846153844</v>
      </c>
      <c r="S124" s="18"/>
    </row>
    <row r="125" spans="11:19" ht="15.75" thickBot="1" x14ac:dyDescent="0.3">
      <c r="K125" s="24" t="s">
        <v>125</v>
      </c>
      <c r="L125" s="2">
        <f>COUNTIF(Scenario5[winner1-ability4],HighlanderAbilities4Scenario5[[#This Row],[ability]])+COUNTIF(Scenario5[winner2-ability4],HighlanderAbilities4Scenario5[[#This Row],[ability]])+COUNTIF(Scenario5[loser1-ability4],HighlanderAbilities4Scenario5[[#This Row],[ability]])+COUNTIF(Scenario5[loser2-ability4],HighlanderAbilities4Scenario5[[#This Row],[ability]])</f>
        <v>8</v>
      </c>
      <c r="M125" s="2">
        <f>COUNTIF(Scenario5[winner1-ability4],HighlanderAbilities4Scenario5[[#This Row],[ability]])+COUNTIF(Scenario5[winner2-ability4],HighlanderAbilities4Scenario5[[#This Row],[ability]])</f>
        <v>8</v>
      </c>
      <c r="N125" s="26">
        <f>IF(SUM(HighlanderAbilities4Scenario5[[#This Row],[takes]]) &gt; 0,HighlanderAbilities4Scenario5[[#This Row],[takes]]/SUM(HighlanderAbilities4Scenario5[takes]),0)</f>
        <v>0.2857142857142857</v>
      </c>
      <c r="O125" s="26">
        <f>IF(HighlanderAbilities4Scenario5[[#This Row],[takes]]&gt;0,HighlanderAbilities4Scenario5[[#This Row],[wins]]/HighlanderAbilities4Scenario5[[#This Row],[takes]],0)</f>
        <v>1</v>
      </c>
      <c r="P125" s="27"/>
      <c r="Q125" s="27"/>
      <c r="R125" s="27"/>
      <c r="S125" s="28"/>
    </row>
  </sheetData>
  <mergeCells count="7">
    <mergeCell ref="K106:S106"/>
    <mergeCell ref="K85:S85"/>
    <mergeCell ref="K22:S22"/>
    <mergeCell ref="K43:S43"/>
    <mergeCell ref="A1:I1"/>
    <mergeCell ref="K1:S1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54CD7-D4B8-4C37-8254-E2666DEEF2DE}">
  <dimension ref="A1:V125"/>
  <sheetViews>
    <sheetView workbookViewId="0">
      <selection activeCell="G27" sqref="G27"/>
    </sheetView>
  </sheetViews>
  <sheetFormatPr defaultRowHeight="15" x14ac:dyDescent="0.25"/>
  <cols>
    <col min="1" max="1" width="20.71093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7.28515625" bestFit="1" customWidth="1"/>
    <col min="9" max="9" width="12.85546875" bestFit="1" customWidth="1"/>
    <col min="10" max="10" width="3.85546875" customWidth="1"/>
    <col min="11" max="11" width="20.7109375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3.42578125" customWidth="1"/>
    <col min="17" max="17" width="7.7109375" bestFit="1" customWidth="1"/>
    <col min="18" max="18" width="7.2851562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9"/>
      <c r="K1" s="37" t="s">
        <v>182</v>
      </c>
      <c r="L1" s="38"/>
      <c r="M1" s="38"/>
      <c r="N1" s="38"/>
      <c r="O1" s="38"/>
      <c r="P1" s="38"/>
      <c r="Q1" s="38"/>
      <c r="R1" s="38"/>
      <c r="S1" s="39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166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166</v>
      </c>
      <c r="S2" s="18" t="s">
        <v>164</v>
      </c>
      <c r="U2" t="s">
        <v>195</v>
      </c>
      <c r="V2" s="3">
        <f>H4/SUM(DruidEquip[staff])</f>
        <v>0.27272727272727271</v>
      </c>
    </row>
    <row r="3" spans="1:22" x14ac:dyDescent="0.25">
      <c r="A3" t="s">
        <v>49</v>
      </c>
      <c r="B3">
        <f>L3+L24+L45+L66+L87+L108</f>
        <v>46</v>
      </c>
      <c r="C3">
        <f>M3+M24+M45+M66+M87+M108</f>
        <v>21</v>
      </c>
      <c r="D3" s="3">
        <f>IF(SUM(DruidAbilities1[[#This Row],[takes]]) &gt; 0,DruidAbilities1[[#This Row],[takes]]/SUM(DruidAbilities1[takes]),0)</f>
        <v>0.11948051948051948</v>
      </c>
      <c r="E3" s="3">
        <f>IF(DruidAbilities1[[#This Row],[takes]]&gt;0,DruidAbilities1[[#This Row],[wins]]/DruidAbilities1[[#This Row],[takes]],0)</f>
        <v>0.45652173913043476</v>
      </c>
      <c r="G3">
        <v>1</v>
      </c>
      <c r="H3">
        <f>R3+R24+R45+R66+R87+R108</f>
        <v>131</v>
      </c>
      <c r="I3" s="18">
        <f>S3+S24+S45+S66+S87+S108</f>
        <v>278</v>
      </c>
      <c r="K3" t="s">
        <v>49</v>
      </c>
      <c r="L3">
        <f>COUNTIF(Scenario0[winner1-ability1],DruidAbilities1Scenario0[[#This Row],[ability]])+COUNTIF(Scenario0[winner2-ability1],DruidAbilities1Scenario0[[#This Row],[ability]])+COUNTIF(Scenario0[loser1-ability1],DruidAbilities1Scenario0[[#This Row],[ability]])+COUNTIF(Scenario0[loser2-ability1],DruidAbilities1Scenario0[[#This Row],[ability]])</f>
        <v>25</v>
      </c>
      <c r="M3">
        <f>COUNTIF(Scenario0[winner1-ability1],DruidAbilities1Scenario0[[#This Row],[ability]])+COUNTIF(Scenario0[winner2-ability1],DruidAbilities1Scenario0[[#This Row],[ability]])</f>
        <v>13</v>
      </c>
      <c r="N3" s="3">
        <f>IF(SUM(DruidAbilities1Scenario0[[#This Row],[takes]]) &gt; 0,DruidAbilities1Scenario0[[#This Row],[takes]]/SUM(DruidAbilities1Scenario0[takes]),0)</f>
        <v>0.23809523809523808</v>
      </c>
      <c r="O3" s="3">
        <f>IF(DruidAbilities1Scenario0[[#This Row],[takes]]&gt;0,DruidAbilities1Scenario0[[#This Row],[wins]]/DruidAbilities1Scenario0[[#This Row],[takes]],0)</f>
        <v>0.52</v>
      </c>
      <c r="Q3">
        <v>1</v>
      </c>
      <c r="R3">
        <f>COUNTIFS(Scenario0[winner1],"druid",Scenario0[winner1-pw],DruidEquipScenario0[[#This Row],[level]])+COUNTIFS(Scenario0[winner2],"druid",Scenario0[winner2-pw],DruidEquipScenario0[[#This Row],[level]])+COUNTIFS(Scenario0[loser1],"druid",Scenario0[loser1-pw],DruidEquipScenario0[[#This Row],[level]])+COUNTIFS(Scenario0[loser2],"druid",Scenario0[loser2-pw],DruidEquipScenario0[[#This Row],[level]])</f>
        <v>46</v>
      </c>
      <c r="S3" s="18">
        <f>COUNTIFS(Scenario0[winner1],"druid",Scenario0[winner1-cp],DruidEquipScenario0[[#This Row],[level]])+COUNTIFS(Scenario0[winner2],"druid",Scenario0[winner2-cp],DruidEquipScenario0[[#This Row],[level]])+COUNTIFS(Scenario0[loser1],"druid",Scenario0[loser1-cp],DruidEquipScenario0[[#This Row],[level]])+COUNTIFS(Scenario0[loser2],"druid",Scenario0[loser2-cp],DruidEquipScenario0[[#This Row],[level]])</f>
        <v>93</v>
      </c>
      <c r="U3" t="s">
        <v>196</v>
      </c>
      <c r="V3" s="16">
        <f>H5/SUM(DruidEquip[staff])</f>
        <v>0.38701298701298703</v>
      </c>
    </row>
    <row r="4" spans="1:22" x14ac:dyDescent="0.25">
      <c r="A4" t="s">
        <v>89</v>
      </c>
      <c r="B4">
        <f t="shared" ref="B4:B5" si="0">L4+L25+L46+L67+L88+L109</f>
        <v>257</v>
      </c>
      <c r="C4">
        <f t="shared" ref="C4:C5" si="1">M4+M25+M46+M67+M88+M109</f>
        <v>110</v>
      </c>
      <c r="D4" s="3">
        <f>IF(SUM(DruidAbilities1[[#This Row],[takes]]) &gt; 0,DruidAbilities1[[#This Row],[takes]]/SUM(DruidAbilities1[takes]),0)</f>
        <v>0.66753246753246753</v>
      </c>
      <c r="E4" s="3">
        <f>IF(DruidAbilities1[[#This Row],[takes]]&gt;0,DruidAbilities1[[#This Row],[wins]]/DruidAbilities1[[#This Row],[takes]],0)</f>
        <v>0.42801556420233461</v>
      </c>
      <c r="G4">
        <v>2</v>
      </c>
      <c r="H4">
        <f t="shared" ref="H4:H5" si="2">R4+R25+R46+R67+R88+R109</f>
        <v>105</v>
      </c>
      <c r="I4" s="18">
        <f t="shared" ref="I4:I5" si="3">S4+S25+S46+S67+S88+S109</f>
        <v>51</v>
      </c>
      <c r="K4" t="s">
        <v>89</v>
      </c>
      <c r="L4">
        <f>COUNTIF(Scenario0[winner1-ability1],DruidAbilities1Scenario0[[#This Row],[ability]])+COUNTIF(Scenario0[winner2-ability1],DruidAbilities1Scenario0[[#This Row],[ability]])+COUNTIF(Scenario0[loser1-ability1],DruidAbilities1Scenario0[[#This Row],[ability]])+COUNTIF(Scenario0[loser2-ability1],DruidAbilities1Scenario0[[#This Row],[ability]])</f>
        <v>80</v>
      </c>
      <c r="M4">
        <f>COUNTIF(Scenario0[winner1-ability1],DruidAbilities1Scenario0[[#This Row],[ability]])+COUNTIF(Scenario0[winner2-ability1],DruidAbilities1Scenario0[[#This Row],[ability]])</f>
        <v>31</v>
      </c>
      <c r="N4" s="3">
        <f>IF(SUM(DruidAbilities1Scenario0[[#This Row],[takes]]) &gt; 0,DruidAbilities1Scenario0[[#This Row],[takes]]/SUM(DruidAbilities1Scenario0[takes]),0)</f>
        <v>0.76190476190476186</v>
      </c>
      <c r="O4" s="3">
        <f>IF(DruidAbilities1Scenario0[[#This Row],[takes]]&gt;0,DruidAbilities1Scenario0[[#This Row],[wins]]/DruidAbilities1Scenario0[[#This Row],[takes]],0)</f>
        <v>0.38750000000000001</v>
      </c>
      <c r="Q4">
        <v>2</v>
      </c>
      <c r="R4">
        <f>COUNTIFS(Scenario0[winner1],"druid",Scenario0[winner1-pw],DruidEquipScenario0[[#This Row],[level]])+COUNTIFS(Scenario0[winner2],"druid",Scenario0[winner2-pw],DruidEquipScenario0[[#This Row],[level]])+COUNTIFS(Scenario0[loser1],"druid",Scenario0[loser1-pw],DruidEquipScenario0[[#This Row],[level]])+COUNTIFS(Scenario0[loser2],"druid",Scenario0[loser2-pw],DruidEquipScenario0[[#This Row],[level]])</f>
        <v>34</v>
      </c>
      <c r="S4" s="18">
        <f>COUNTIFS(Scenario0[winner1],"druid",Scenario0[winner1-cp],DruidEquipScenario0[[#This Row],[level]])+COUNTIFS(Scenario0[winner2],"druid",Scenario0[winner2-cp],DruidEquipScenario0[[#This Row],[level]])+COUNTIFS(Scenario0[loser1],"druid",Scenario0[loser1-cp],DruidEquipScenario0[[#This Row],[level]])+COUNTIFS(Scenario0[loser2],"druid",Scenario0[loser2-cp],DruidEquipScenario0[[#This Row],[level]])</f>
        <v>9</v>
      </c>
      <c r="U4" t="s">
        <v>179</v>
      </c>
      <c r="V4" s="3">
        <f>DruidEquip[[#This Row],[chestpiece]]/SUM(DruidEquip[chestpiece])</f>
        <v>0.13246753246753246</v>
      </c>
    </row>
    <row r="5" spans="1:22" x14ac:dyDescent="0.25">
      <c r="A5" t="s">
        <v>126</v>
      </c>
      <c r="B5">
        <f t="shared" si="0"/>
        <v>82</v>
      </c>
      <c r="C5">
        <f t="shared" si="1"/>
        <v>20</v>
      </c>
      <c r="D5" s="3">
        <f>IF(SUM(DruidAbilities1[[#This Row],[takes]]) &gt; 0,DruidAbilities1[[#This Row],[takes]]/SUM(DruidAbilities1[takes]),0)</f>
        <v>0.21298701298701297</v>
      </c>
      <c r="E5" s="3">
        <f>IF(DruidAbilities1[[#This Row],[takes]]&gt;0,DruidAbilities1[[#This Row],[wins]]/DruidAbilities1[[#This Row],[takes]],0)</f>
        <v>0.24390243902439024</v>
      </c>
      <c r="G5">
        <v>3</v>
      </c>
      <c r="H5">
        <f t="shared" si="2"/>
        <v>149</v>
      </c>
      <c r="I5" s="18">
        <f t="shared" si="3"/>
        <v>56</v>
      </c>
      <c r="K5" t="s">
        <v>126</v>
      </c>
      <c r="L5">
        <f>COUNTIF(Scenario0[winner1-ability1],DruidAbilities1Scenario0[[#This Row],[ability]])+COUNTIF(Scenario0[winner2-ability1],DruidAbilities1Scenario0[[#This Row],[ability]])+COUNTIF(Scenario0[loser1-ability1],DruidAbilities1Scenario0[[#This Row],[ability]])+COUNTIF(Scenario0[loser2-ability1],DruidAbilities1Scenario0[[#This Row],[ability]])</f>
        <v>0</v>
      </c>
      <c r="M5">
        <f>COUNTIF(Scenario0[winner1-ability1],DruidAbilities1Scenario0[[#This Row],[ability]])+COUNTIF(Scenario0[winner2-ability1],DruidAbilities1Scenario0[[#This Row],[ability]])</f>
        <v>0</v>
      </c>
      <c r="N5" s="3">
        <f>IF(SUM(DruidAbilities1Scenario0[[#This Row],[takes]]) &gt; 0,DruidAbilities1Scenario0[[#This Row],[takes]]/SUM(DruidAbilities1Scenario0[takes]),0)</f>
        <v>0</v>
      </c>
      <c r="O5" s="3">
        <f>IF(DruidAbilities1Scenario0[[#This Row],[takes]]&gt;0,DruidAbilities1Scenario0[[#This Row],[wins]]/DruidAbilities1Scenario0[[#This Row],[takes]],0)</f>
        <v>0</v>
      </c>
      <c r="Q5">
        <v>3</v>
      </c>
      <c r="R5">
        <f>COUNTIFS(Scenario0[winner1],"druid",Scenario0[winner1-pw],DruidEquipScenario0[[#This Row],[level]])+COUNTIFS(Scenario0[winner2],"druid",Scenario0[winner2-pw],DruidEquipScenario0[[#This Row],[level]])+COUNTIFS(Scenario0[loser1],"druid",Scenario0[loser1-pw],DruidEquipScenario0[[#This Row],[level]])+COUNTIFS(Scenario0[loser2],"druid",Scenario0[loser2-pw],DruidEquipScenario0[[#This Row],[level]])</f>
        <v>25</v>
      </c>
      <c r="S5" s="18">
        <f>COUNTIFS(Scenario0[winner1],"druid",Scenario0[winner1-cp],DruidEquipScenario0[[#This Row],[level]])+COUNTIFS(Scenario0[winner2],"druid",Scenario0[winner2-cp],DruidEquipScenario0[[#This Row],[level]])+COUNTIFS(Scenario0[loser1],"druid",Scenario0[loser1-cp],DruidEquipScenario0[[#This Row],[level]])+COUNTIFS(Scenario0[loser2],"druid",Scenario0[loser2-cp],DruidEquipScenario0[[#This Row],[level]])</f>
        <v>3</v>
      </c>
      <c r="U5" t="s">
        <v>180</v>
      </c>
      <c r="V5" s="16">
        <f>DruidEquip[[#This Row],[chestpiece]]/SUM(DruidEquip[chestpiece])</f>
        <v>0.14545454545454545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SUM(DruidAbilities2[takes])/SUM(DruidAbilities1[takes])</f>
        <v>0.64935064935064934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SUM(DruidAbilities3[takes])/SUM(DruidAbilities1[takes])</f>
        <v>0.48051948051948051</v>
      </c>
    </row>
    <row r="8" spans="1:22" x14ac:dyDescent="0.25">
      <c r="A8" s="2" t="s">
        <v>71</v>
      </c>
      <c r="B8" s="2">
        <f>L8+L29+L50+L71+L92+L113</f>
        <v>85</v>
      </c>
      <c r="C8" s="2">
        <f>M8+M29+M50+M71+M92+M113</f>
        <v>45</v>
      </c>
      <c r="D8" s="12">
        <f>IF(SUM(DruidAbilities2[[#This Row],[takes]]) &gt; 0,DruidAbilities2[[#This Row],[takes]]/SUM(DruidAbilities2[takes]),0)</f>
        <v>0.34</v>
      </c>
      <c r="E8" s="12">
        <f>IF(DruidAbilities2[[#This Row],[takes]]&gt;0,DruidAbilities2[[#This Row],[wins]]/DruidAbilities2[[#This Row],[takes]],0)</f>
        <v>0.52941176470588236</v>
      </c>
      <c r="I8" s="18"/>
      <c r="K8" s="2" t="s">
        <v>71</v>
      </c>
      <c r="L8" s="2">
        <f>COUNTIF(Scenario0[winner1-ability2],DruidAbilities2Scenario0[[#This Row],[ability]])+COUNTIF(Scenario0[winner2-ability2],DruidAbilities2Scenario0[[#This Row],[ability]])+COUNTIF(Scenario0[loser1-ability2],DruidAbilities2Scenario0[[#This Row],[ability]])+COUNTIF(Scenario0[loser2-ability2],DruidAbilities2Scenario0[[#This Row],[ability]])</f>
        <v>10</v>
      </c>
      <c r="M8" s="2">
        <f>COUNTIF(Scenario0[winner1-ability2],DruidAbilities2Scenario0[[#This Row],[ability]])+COUNTIF(Scenario0[winner2-ability2],DruidAbilities2Scenario0[[#This Row],[ability]])</f>
        <v>7</v>
      </c>
      <c r="N8" s="12">
        <f>IF(SUM(DruidAbilities2Scenario0[[#This Row],[takes]]) &gt; 0,DruidAbilities2Scenario0[[#This Row],[takes]]/SUM(DruidAbilities2Scenario0[takes]),0)</f>
        <v>0.2857142857142857</v>
      </c>
      <c r="O8" s="12">
        <f>IF(DruidAbilities2Scenario0[[#This Row],[takes]]&gt;0,DruidAbilities2Scenario0[[#This Row],[wins]]/DruidAbilities2Scenario0[[#This Row],[takes]],0)</f>
        <v>0.7</v>
      </c>
      <c r="S8" s="18"/>
      <c r="U8" t="s">
        <v>178</v>
      </c>
      <c r="V8" s="16">
        <f>SUM(DruidAbilities4[takes])/SUM(DruidAbilities1[takes])</f>
        <v>0.34545454545454546</v>
      </c>
    </row>
    <row r="9" spans="1:22" x14ac:dyDescent="0.25">
      <c r="A9" t="s">
        <v>50</v>
      </c>
      <c r="B9" s="2">
        <f t="shared" ref="B9:B10" si="4">L9+L30+L51+L72+L93+L114</f>
        <v>94</v>
      </c>
      <c r="C9" s="2">
        <f t="shared" ref="C9:C10" si="5">M9+M30+M51+M72+M93+M114</f>
        <v>32</v>
      </c>
      <c r="D9" s="3">
        <f>IF(SUM(DruidAbilities2[[#This Row],[takes]]) &gt; 0,DruidAbilities2[[#This Row],[takes]]/SUM(DruidAbilities2[takes]),0)</f>
        <v>0.376</v>
      </c>
      <c r="E9" s="3">
        <f>IF(DruidAbilities2[[#This Row],[takes]]&gt;0,DruidAbilities2[[#This Row],[wins]]/DruidAbilities2[[#This Row],[takes]],0)</f>
        <v>0.34042553191489361</v>
      </c>
      <c r="I9" s="18"/>
      <c r="K9" t="s">
        <v>50</v>
      </c>
      <c r="L9" s="2">
        <f>COUNTIF(Scenario0[winner1-ability2],DruidAbilities2Scenario0[[#This Row],[ability]])+COUNTIF(Scenario0[winner2-ability2],DruidAbilities2Scenario0[[#This Row],[ability]])+COUNTIF(Scenario0[loser1-ability2],DruidAbilities2Scenario0[[#This Row],[ability]])+COUNTIF(Scenario0[loser2-ability2],DruidAbilities2Scenario0[[#This Row],[ability]])</f>
        <v>19</v>
      </c>
      <c r="M9" s="2">
        <f>COUNTIF(Scenario0[winner1-ability2],DruidAbilities2Scenario0[[#This Row],[ability]])+COUNTIF(Scenario0[winner2-ability2],DruidAbilities2Scenario0[[#This Row],[ability]])</f>
        <v>12</v>
      </c>
      <c r="N9" s="3">
        <f>IF(SUM(DruidAbilities2Scenario0[[#This Row],[takes]]) &gt; 0,DruidAbilities2Scenario0[[#This Row],[takes]]/SUM(DruidAbilities2Scenario0[takes]),0)</f>
        <v>0.54285714285714282</v>
      </c>
      <c r="O9" s="3">
        <f>IF(DruidAbilities2Scenario0[[#This Row],[takes]]&gt;0,DruidAbilities2Scenario0[[#This Row],[wins]]/DruidAbilities2Scenario0[[#This Row],[takes]],0)</f>
        <v>0.63157894736842102</v>
      </c>
      <c r="S9" s="18"/>
      <c r="U9" t="s">
        <v>194</v>
      </c>
      <c r="V9" s="33">
        <f>(SUM(DruidAbilities2[takes])+SUM(DruidAbilities3[takes])+SUM(DruidAbilities4[takes])+SUM(H4:H5)+SUM(I4:I5))/SUM(DruidAbilities1[takes])</f>
        <v>2.412987012987013</v>
      </c>
    </row>
    <row r="10" spans="1:22" x14ac:dyDescent="0.25">
      <c r="A10" s="10" t="s">
        <v>84</v>
      </c>
      <c r="B10" s="2">
        <f t="shared" si="4"/>
        <v>71</v>
      </c>
      <c r="C10" s="2">
        <f t="shared" si="5"/>
        <v>30</v>
      </c>
      <c r="D10" s="13">
        <f>IF(SUM(DruidAbilities2[[#This Row],[takes]]) &gt; 0,DruidAbilities2[[#This Row],[takes]]/SUM(DruidAbilities2[takes]),0)</f>
        <v>0.28399999999999997</v>
      </c>
      <c r="E10" s="13">
        <f>IF(DruidAbilities2[[#This Row],[takes]]&gt;0,DruidAbilities2[[#This Row],[wins]]/DruidAbilities2[[#This Row],[takes]],0)</f>
        <v>0.42253521126760563</v>
      </c>
      <c r="I10" s="18"/>
      <c r="K10" s="10" t="s">
        <v>84</v>
      </c>
      <c r="L10" s="2">
        <f>COUNTIF(Scenario0[winner1-ability2],DruidAbilities2Scenario0[[#This Row],[ability]])+COUNTIF(Scenario0[winner2-ability2],DruidAbilities2Scenario0[[#This Row],[ability]])+COUNTIF(Scenario0[loser1-ability2],DruidAbilities2Scenario0[[#This Row],[ability]])+COUNTIF(Scenario0[loser2-ability2],DruidAbilities2Scenario0[[#This Row],[ability]])</f>
        <v>6</v>
      </c>
      <c r="M10" s="2">
        <f>COUNTIF(Scenario0[winner1-ability2],DruidAbilities2Scenario0[[#This Row],[ability]])+COUNTIF(Scenario0[winner2-ability2],DruidAbilities2Scenario0[[#This Row],[ability]])</f>
        <v>2</v>
      </c>
      <c r="N10" s="13">
        <f>IF(SUM(DruidAbilities2Scenario0[[#This Row],[takes]]) &gt; 0,DruidAbilities2Scenario0[[#This Row],[takes]]/SUM(DruidAbilities2Scenario0[takes]),0)</f>
        <v>0.17142857142857143</v>
      </c>
      <c r="O10" s="13">
        <f>IF(DruidAbilities2Scenario0[[#This Row],[takes]]&gt;0,DruidAbilities2Scenario0[[#This Row],[wins]]/DruidAbilities2Scenario0[[#This Row],[takes]],0)</f>
        <v>0.33333333333333331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51</v>
      </c>
      <c r="B13" s="1">
        <f>L13+L34+L55+L76+L97+L118</f>
        <v>85</v>
      </c>
      <c r="C13" s="1">
        <f>M13+M34+M55+M76+M97+M118</f>
        <v>43</v>
      </c>
      <c r="D13" s="14">
        <f>IF(SUM(DruidAbilities3[[#This Row],[takes]]) &gt; 0,DruidAbilities3[[#This Row],[takes]]/SUM(DruidAbilities3[takes]),0)</f>
        <v>0.45945945945945948</v>
      </c>
      <c r="E13" s="14">
        <f>IF(DruidAbilities3[[#This Row],[takes]]&gt;0,DruidAbilities3[[#This Row],[wins]]/DruidAbilities3[[#This Row],[takes]],0)</f>
        <v>0.50588235294117645</v>
      </c>
      <c r="I13" s="18"/>
      <c r="K13" s="1" t="s">
        <v>51</v>
      </c>
      <c r="L13" s="1">
        <f>COUNTIF(Scenario0[winner1-ability3],DruidAbilities3Scenario0[[#This Row],[ability]])+COUNTIF(Scenario0[winner2-ability3],DruidAbilities3Scenario0[[#This Row],[ability]])+COUNTIF(Scenario0[loser1-ability3],DruidAbilities3Scenario0[[#This Row],[ability]])+COUNTIF(Scenario0[loser2-ability3],DruidAbilities3Scenario0[[#This Row],[ability]])</f>
        <v>13</v>
      </c>
      <c r="M13" s="1">
        <f>COUNTIF(Scenario0[winner1-ability3],DruidAbilities3Scenario0[[#This Row],[ability]])+COUNTIF(Scenario0[winner2-ability3],DruidAbilities3Scenario0[[#This Row],[ability]])</f>
        <v>11</v>
      </c>
      <c r="N13" s="14">
        <f>IF(SUM(DruidAbilities3Scenario0[[#This Row],[takes]]) &gt; 0,DruidAbilities3Scenario0[[#This Row],[takes]]/SUM(DruidAbilities3Scenario0[takes]),0)</f>
        <v>0.61904761904761907</v>
      </c>
      <c r="O13" s="14">
        <f>IF(DruidAbilities3Scenario0[[#This Row],[takes]]&gt;0,DruidAbilities3Scenario0[[#This Row],[wins]]/DruidAbilities3Scenario0[[#This Row],[takes]],0)</f>
        <v>0.84615384615384615</v>
      </c>
      <c r="S13" s="18"/>
    </row>
    <row r="14" spans="1:22" x14ac:dyDescent="0.25">
      <c r="A14" s="2" t="s">
        <v>127</v>
      </c>
      <c r="B14" s="2">
        <f t="shared" ref="B14:B15" si="6">L14+L35+L56+L77+L98+L119</f>
        <v>49</v>
      </c>
      <c r="C14" s="2">
        <f t="shared" ref="C14:C15" si="7">M14+M35+M56+M77+M98+M119</f>
        <v>17</v>
      </c>
      <c r="D14" s="12">
        <f>IF(SUM(DruidAbilities3[[#This Row],[takes]]) &gt; 0,DruidAbilities3[[#This Row],[takes]]/SUM(DruidAbilities3[takes]),0)</f>
        <v>0.26486486486486488</v>
      </c>
      <c r="E14" s="12">
        <f>IF(DruidAbilities3[[#This Row],[takes]]&gt;0,DruidAbilities3[[#This Row],[wins]]/DruidAbilities3[[#This Row],[takes]],0)</f>
        <v>0.34693877551020408</v>
      </c>
      <c r="I14" s="18"/>
      <c r="K14" s="2" t="s">
        <v>127</v>
      </c>
      <c r="L14" s="2">
        <f>COUNTIF(Scenario0[winner1-ability3],DruidAbilities3Scenario0[[#This Row],[ability]])+COUNTIF(Scenario0[winner2-ability3],DruidAbilities3Scenario0[[#This Row],[ability]])+COUNTIF(Scenario0[loser1-ability3],DruidAbilities3Scenario0[[#This Row],[ability]])+COUNTIF(Scenario0[loser2-ability3],DruidAbilities3Scenario0[[#This Row],[ability]])</f>
        <v>4</v>
      </c>
      <c r="M14" s="2">
        <f>COUNTIF(Scenario0[winner1-ability3],DruidAbilities3Scenario0[[#This Row],[ability]])+COUNTIF(Scenario0[winner2-ability3],DruidAbilities3Scenario0[[#This Row],[ability]])</f>
        <v>1</v>
      </c>
      <c r="N14" s="12">
        <f>IF(SUM(DruidAbilities3Scenario0[[#This Row],[takes]]) &gt; 0,DruidAbilities3Scenario0[[#This Row],[takes]]/SUM(DruidAbilities3Scenario0[takes]),0)</f>
        <v>0.19047619047619047</v>
      </c>
      <c r="O14" s="12">
        <f>IF(DruidAbilities3Scenario0[[#This Row],[takes]]&gt;0,DruidAbilities3Scenario0[[#This Row],[wins]]/DruidAbilities3Scenario0[[#This Row],[takes]],0)</f>
        <v>0.25</v>
      </c>
      <c r="S14" s="18"/>
    </row>
    <row r="15" spans="1:22" x14ac:dyDescent="0.25">
      <c r="A15" s="11" t="s">
        <v>90</v>
      </c>
      <c r="B15" s="1">
        <f t="shared" si="6"/>
        <v>51</v>
      </c>
      <c r="C15" s="1">
        <f t="shared" si="7"/>
        <v>24</v>
      </c>
      <c r="D15" s="15">
        <f>IF(SUM(DruidAbilities3[[#This Row],[takes]]) &gt; 0,DruidAbilities3[[#This Row],[takes]]/SUM(DruidAbilities3[takes]),0)</f>
        <v>0.27567567567567569</v>
      </c>
      <c r="E15" s="15">
        <f>IF(DruidAbilities3[[#This Row],[takes]]&gt;0,DruidAbilities3[[#This Row],[wins]]/DruidAbilities3[[#This Row],[takes]],0)</f>
        <v>0.47058823529411764</v>
      </c>
      <c r="I15" s="18"/>
      <c r="K15" s="11" t="s">
        <v>90</v>
      </c>
      <c r="L15" s="1">
        <f>COUNTIF(Scenario0[winner1-ability3],DruidAbilities3Scenario0[[#This Row],[ability]])+COUNTIF(Scenario0[winner2-ability3],DruidAbilities3Scenario0[[#This Row],[ability]])+COUNTIF(Scenario0[loser1-ability3],DruidAbilities3Scenario0[[#This Row],[ability]])+COUNTIF(Scenario0[loser2-ability3],DruidAbilities3Scenario0[[#This Row],[ability]])</f>
        <v>4</v>
      </c>
      <c r="M15" s="1">
        <f>COUNTIF(Scenario0[winner1-ability3],DruidAbilities3Scenario0[[#This Row],[ability]])+COUNTIF(Scenario0[winner2-ability3],DruidAbilities3Scenario0[[#This Row],[ability]])</f>
        <v>3</v>
      </c>
      <c r="N15" s="15">
        <f>IF(SUM(DruidAbilities3Scenario0[[#This Row],[takes]]) &gt; 0,DruidAbilities3Scenario0[[#This Row],[takes]]/SUM(DruidAbilities3Scenario0[takes]),0)</f>
        <v>0.19047619047619047</v>
      </c>
      <c r="O15" s="15">
        <f>IF(DruidAbilities3Scenario0[[#This Row],[takes]]&gt;0,DruidAbilities3Scenario0[[#This Row],[wins]]/DruidAbilities3Scenario0[[#This Row],[takes]],0)</f>
        <v>0.75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128</v>
      </c>
      <c r="B18" s="2">
        <f>L18+L39+L60+L81+L102+L123</f>
        <v>44</v>
      </c>
      <c r="C18" s="2">
        <f>M18+M39+M60+M81+M102+M123</f>
        <v>25</v>
      </c>
      <c r="D18" s="12">
        <f>IF(SUM(DruidAbilities4[[#This Row],[takes]]) &gt; 0,DruidAbilities4[[#This Row],[takes]]/SUM(DruidAbilities4[takes]),0)</f>
        <v>0.33082706766917291</v>
      </c>
      <c r="E18" s="12">
        <f>IF(DruidAbilities4[[#This Row],[takes]]&gt;0,DruidAbilities4[[#This Row],[wins]]/DruidAbilities4[[#This Row],[takes]],0)</f>
        <v>0.56818181818181823</v>
      </c>
      <c r="I18" s="18"/>
      <c r="K18" s="2" t="s">
        <v>128</v>
      </c>
      <c r="L18" s="2">
        <f>COUNTIF(Scenario0[winner1-ability4],DruidAbilities4Scenario0[[#This Row],[ability]])+COUNTIF(Scenario0[winner2-ability4],DruidAbilities4Scenario0[[#This Row],[ability]])+COUNTIF(Scenario0[loser1-ability4],DruidAbilities4Scenario0[[#This Row],[ability]])+COUNTIF(Scenario0[loser2-ability4],DruidAbilities4Scenario0[[#This Row],[ability]])</f>
        <v>6</v>
      </c>
      <c r="M18" s="2">
        <f>COUNTIF(Scenario0[winner1-ability4],DruidAbilities4Scenario0[[#This Row],[ability]])+COUNTIF(Scenario0[winner2-ability4],DruidAbilities4Scenario0[[#This Row],[ability]])</f>
        <v>5</v>
      </c>
      <c r="N18" s="12">
        <f>IF(SUM(DruidAbilities4Scenario0[[#This Row],[takes]]) &gt; 0,DruidAbilities4Scenario0[[#This Row],[takes]]/SUM(DruidAbilities4Scenario0[takes]),0)</f>
        <v>0.6</v>
      </c>
      <c r="O18" s="12">
        <f>IF(DruidAbilities4Scenario0[[#This Row],[takes]]&gt;0,DruidAbilities4Scenario0[[#This Row],[wins]]/DruidAbilities4Scenario0[[#This Row],[takes]],0)</f>
        <v>0.83333333333333337</v>
      </c>
      <c r="S18" s="18"/>
    </row>
    <row r="19" spans="1:20" x14ac:dyDescent="0.25">
      <c r="A19" s="2" t="s">
        <v>52</v>
      </c>
      <c r="B19" s="2">
        <f t="shared" ref="B19:B20" si="8">L19+L40+L61+L82+L103+L124</f>
        <v>49</v>
      </c>
      <c r="C19" s="2">
        <f t="shared" ref="C19:C20" si="9">M19+M40+M61+M82+M103+M124</f>
        <v>16</v>
      </c>
      <c r="D19" s="12">
        <f>IF(SUM(DruidAbilities4[[#This Row],[takes]]) &gt; 0,DruidAbilities4[[#This Row],[takes]]/SUM(DruidAbilities4[takes]),0)</f>
        <v>0.36842105263157893</v>
      </c>
      <c r="E19" s="12">
        <f>IF(DruidAbilities4[[#This Row],[takes]]&gt;0,DruidAbilities4[[#This Row],[wins]]/DruidAbilities4[[#This Row],[takes]],0)</f>
        <v>0.32653061224489793</v>
      </c>
      <c r="I19" s="18"/>
      <c r="K19" s="2" t="s">
        <v>52</v>
      </c>
      <c r="L19" s="2">
        <f>COUNTIF(Scenario0[winner1-ability4],DruidAbilities4Scenario0[[#This Row],[ability]])+COUNTIF(Scenario0[winner2-ability4],DruidAbilities4Scenario0[[#This Row],[ability]])+COUNTIF(Scenario0[loser1-ability4],DruidAbilities4Scenario0[[#This Row],[ability]])+COUNTIF(Scenario0[loser2-ability4],DruidAbilities4Scenario0[[#This Row],[ability]])</f>
        <v>2</v>
      </c>
      <c r="M19" s="2">
        <f>COUNTIF(Scenario0[winner1-ability4],DruidAbilities4Scenario0[[#This Row],[ability]])+COUNTIF(Scenario0[winner2-ability4],DruidAbilities4Scenario0[[#This Row],[ability]])</f>
        <v>2</v>
      </c>
      <c r="N19" s="12">
        <f>IF(SUM(DruidAbilities4Scenario0[[#This Row],[takes]]) &gt; 0,DruidAbilities4Scenario0[[#This Row],[takes]]/SUM(DruidAbilities4Scenario0[takes]),0)</f>
        <v>0.2</v>
      </c>
      <c r="O19" s="12">
        <f>IF(DruidAbilities4Scenario0[[#This Row],[takes]]&gt;0,DruidAbilities4Scenario0[[#This Row],[wins]]/DruidAbilities4Scenario0[[#This Row],[takes]],0)</f>
        <v>1</v>
      </c>
      <c r="S19" s="18"/>
    </row>
    <row r="20" spans="1:20" ht="15.75" thickBot="1" x14ac:dyDescent="0.3">
      <c r="A20" s="10" t="s">
        <v>129</v>
      </c>
      <c r="B20" s="2">
        <f t="shared" si="8"/>
        <v>40</v>
      </c>
      <c r="C20" s="2">
        <f t="shared" si="9"/>
        <v>22</v>
      </c>
      <c r="D20" s="26">
        <f>IF(SUM(DruidAbilities4[[#This Row],[takes]]) &gt; 0,DruidAbilities4[[#This Row],[takes]]/SUM(DruidAbilities4[takes]),0)</f>
        <v>0.3007518796992481</v>
      </c>
      <c r="E20" s="26">
        <f>IF(DruidAbilities4[[#This Row],[takes]]&gt;0,DruidAbilities4[[#This Row],[wins]]/DruidAbilities4[[#This Row],[takes]],0)</f>
        <v>0.55000000000000004</v>
      </c>
      <c r="F20" s="27"/>
      <c r="G20" s="27"/>
      <c r="H20" s="27"/>
      <c r="I20" s="28"/>
      <c r="K20" s="10" t="s">
        <v>129</v>
      </c>
      <c r="L20" s="25">
        <f>COUNTIF(Scenario0[winner1-ability4],DruidAbilities4Scenario0[[#This Row],[ability]])+COUNTIF(Scenario0[winner2-ability4],DruidAbilities4Scenario0[[#This Row],[ability]])+COUNTIF(Scenario0[loser1-ability4],DruidAbilities4Scenario0[[#This Row],[ability]])+COUNTIF(Scenario0[loser2-ability4],DruidAbilities4Scenario0[[#This Row],[ability]])</f>
        <v>2</v>
      </c>
      <c r="M20" s="25">
        <f>COUNTIF(Scenario0[winner1-ability4],DruidAbilities4Scenario0[[#This Row],[ability]])+COUNTIF(Scenario0[winner2-ability4],DruidAbilities4Scenario0[[#This Row],[ability]])</f>
        <v>2</v>
      </c>
      <c r="N20" s="26">
        <f>IF(SUM(DruidAbilities4Scenario0[[#This Row],[takes]]) &gt; 0,DruidAbilities4Scenario0[[#This Row],[takes]]/SUM(DruidAbilities4Scenario0[takes]),0)</f>
        <v>0.2</v>
      </c>
      <c r="O20" s="26">
        <f>IF(DruidAbilities4Scenario0[[#This Row],[takes]]&gt;0,DruidAbilities4Scenario0[[#This Row],[wins]]/DruidAbilities4Scenario0[[#This Row],[takes]],0)</f>
        <v>1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7" t="s">
        <v>183</v>
      </c>
      <c r="L22" s="38"/>
      <c r="M22" s="38"/>
      <c r="N22" s="38"/>
      <c r="O22" s="38"/>
      <c r="P22" s="38"/>
      <c r="Q22" s="38"/>
      <c r="R22" s="38"/>
      <c r="S22" s="39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166</v>
      </c>
      <c r="S23" s="18" t="s">
        <v>164</v>
      </c>
    </row>
    <row r="24" spans="1:20" x14ac:dyDescent="0.25">
      <c r="K24" t="s">
        <v>49</v>
      </c>
      <c r="L24">
        <f>COUNTIF(Scenario1[winner1-ability1],DruidAbilities1Scenario1[[#This Row],[ability]])+COUNTIF(Scenario1[winner2-ability1],DruidAbilities1Scenario1[[#This Row],[ability]])+COUNTIF(Scenario1[loser1-ability1],DruidAbilities1Scenario1[[#This Row],[ability]])+COUNTIF(Scenario1[loser2-ability1],DruidAbilities1Scenario1[[#This Row],[ability]])</f>
        <v>5</v>
      </c>
      <c r="M24">
        <f>COUNTIF(Scenario1[winner1-ability1],DruidAbilities1Scenario1[[#This Row],[ability]])+COUNTIF(Scenario1[winner2-ability1],DruidAbilities1Scenario1[[#This Row],[ability]])</f>
        <v>2</v>
      </c>
      <c r="N24" s="3">
        <f>IF(SUM(DruidAbilities1Scenario1[[#This Row],[takes]]) &gt; 0,DruidAbilities1Scenario1[[#This Row],[takes]]/SUM(DruidAbilities1Scenario1[takes]),0)</f>
        <v>4.7619047619047616E-2</v>
      </c>
      <c r="O24" s="3">
        <f>IF(DruidAbilities1Scenario1[[#This Row],[takes]]&gt;0,DruidAbilities1Scenario1[[#This Row],[wins]]/DruidAbilities1Scenario1[[#This Row],[takes]],0)</f>
        <v>0.4</v>
      </c>
      <c r="Q24">
        <v>1</v>
      </c>
      <c r="R24">
        <f>COUNTIFS(Scenario1[winner1],"druid",Scenario1[winner1-pw],DruidEquipScenario1[[#This Row],[level]])+COUNTIFS(Scenario1[winner2],"druid",Scenario1[winner2-pw],DruidEquipScenario1[[#This Row],[level]])+COUNTIFS(Scenario1[loser1],"druid",Scenario1[loser1-pw],DruidEquipScenario1[[#This Row],[level]])+COUNTIFS(Scenario1[loser2],"druid",Scenario1[loser2-pw],DruidEquipScenario1[[#This Row],[level]])</f>
        <v>15</v>
      </c>
      <c r="S24" s="18">
        <f>COUNTIFS(Scenario1[winner1],"druid",Scenario1[winner1-cp],DruidEquipScenario1[[#This Row],[level]])+COUNTIFS(Scenario1[winner2],"druid",Scenario1[winner2-cp],DruidEquipScenario1[[#This Row],[level]])+COUNTIFS(Scenario1[loser1],"druid",Scenario1[loser1-cp],DruidEquipScenario1[[#This Row],[level]])+COUNTIFS(Scenario1[loser2],"druid",Scenario1[loser2-cp],DruidEquipScenario1[[#This Row],[level]])</f>
        <v>77</v>
      </c>
    </row>
    <row r="25" spans="1:20" x14ac:dyDescent="0.25">
      <c r="K25" t="s">
        <v>89</v>
      </c>
      <c r="L25">
        <f>COUNTIF(Scenario1[winner1-ability1],DruidAbilities1Scenario1[[#This Row],[ability]])+COUNTIF(Scenario1[winner2-ability1],DruidAbilities1Scenario1[[#This Row],[ability]])+COUNTIF(Scenario1[loser1-ability1],DruidAbilities1Scenario1[[#This Row],[ability]])+COUNTIF(Scenario1[loser2-ability1],DruidAbilities1Scenario1[[#This Row],[ability]])</f>
        <v>100</v>
      </c>
      <c r="M25">
        <f>COUNTIF(Scenario1[winner1-ability1],DruidAbilities1Scenario1[[#This Row],[ability]])+COUNTIF(Scenario1[winner2-ability1],DruidAbilities1Scenario1[[#This Row],[ability]])</f>
        <v>48</v>
      </c>
      <c r="N25" s="3">
        <f>IF(SUM(DruidAbilities1Scenario1[[#This Row],[takes]]) &gt; 0,DruidAbilities1Scenario1[[#This Row],[takes]]/SUM(DruidAbilities1Scenario1[takes]),0)</f>
        <v>0.95238095238095233</v>
      </c>
      <c r="O25" s="3">
        <f>IF(DruidAbilities1Scenario1[[#This Row],[takes]]&gt;0,DruidAbilities1Scenario1[[#This Row],[wins]]/DruidAbilities1Scenario1[[#This Row],[takes]],0)</f>
        <v>0.48</v>
      </c>
      <c r="Q25">
        <v>2</v>
      </c>
      <c r="R25">
        <f>COUNTIFS(Scenario1[winner1],"druid",Scenario1[winner1-pw],DruidEquipScenario1[[#This Row],[level]])+COUNTIFS(Scenario1[winner2],"druid",Scenario1[winner2-pw],DruidEquipScenario1[[#This Row],[level]])+COUNTIFS(Scenario1[loser1],"druid",Scenario1[loser1-pw],DruidEquipScenario1[[#This Row],[level]])+COUNTIFS(Scenario1[loser2],"druid",Scenario1[loser2-pw],DruidEquipScenario1[[#This Row],[level]])</f>
        <v>21</v>
      </c>
      <c r="S25" s="18">
        <f>COUNTIFS(Scenario1[winner1],"druid",Scenario1[winner1-cp],DruidEquipScenario1[[#This Row],[level]])+COUNTIFS(Scenario1[winner2],"druid",Scenario1[winner2-cp],DruidEquipScenario1[[#This Row],[level]])+COUNTIFS(Scenario1[loser1],"druid",Scenario1[loser1-cp],DruidEquipScenario1[[#This Row],[level]])+COUNTIFS(Scenario1[loser2],"druid",Scenario1[loser2-cp],DruidEquipScenario1[[#This Row],[level]])</f>
        <v>15</v>
      </c>
    </row>
    <row r="26" spans="1:20" x14ac:dyDescent="0.25">
      <c r="K26" t="s">
        <v>126</v>
      </c>
      <c r="L26">
        <f>COUNTIF(Scenario1[winner1-ability1],DruidAbilities1Scenario1[[#This Row],[ability]])+COUNTIF(Scenario1[winner2-ability1],DruidAbilities1Scenario1[[#This Row],[ability]])+COUNTIF(Scenario1[loser1-ability1],DruidAbilities1Scenario1[[#This Row],[ability]])+COUNTIF(Scenario1[loser2-ability1],DruidAbilities1Scenario1[[#This Row],[ability]])</f>
        <v>0</v>
      </c>
      <c r="M26">
        <f>COUNTIF(Scenario1[winner1-ability1],DruidAbilities1Scenario1[[#This Row],[ability]])+COUNTIF(Scenario1[winner2-ability1],DruidAbilities1Scenario1[[#This Row],[ability]])</f>
        <v>0</v>
      </c>
      <c r="N26" s="3">
        <f>IF(SUM(DruidAbilities1Scenario1[[#This Row],[takes]]) &gt; 0,DruidAbilities1Scenario1[[#This Row],[takes]]/SUM(DruidAbilities1Scenario1[takes]),0)</f>
        <v>0</v>
      </c>
      <c r="O26" s="3">
        <f>IF(DruidAbilities1Scenario1[[#This Row],[takes]]&gt;0,DruidAbilities1Scenario1[[#This Row],[wins]]/DruidAbilities1Scenario1[[#This Row],[takes]],0)</f>
        <v>0</v>
      </c>
      <c r="Q26">
        <v>3</v>
      </c>
      <c r="R26">
        <f>COUNTIFS(Scenario1[winner1],"druid",Scenario1[winner1-pw],DruidEquipScenario1[[#This Row],[level]])+COUNTIFS(Scenario1[winner2],"druid",Scenario1[winner2-pw],DruidEquipScenario1[[#This Row],[level]])+COUNTIFS(Scenario1[loser1],"druid",Scenario1[loser1-pw],DruidEquipScenario1[[#This Row],[level]])+COUNTIFS(Scenario1[loser2],"druid",Scenario1[loser2-pw],DruidEquipScenario1[[#This Row],[level]])</f>
        <v>69</v>
      </c>
      <c r="S26" s="18">
        <f>COUNTIFS(Scenario1[winner1],"druid",Scenario1[winner1-cp],DruidEquipScenario1[[#This Row],[level]])+COUNTIFS(Scenario1[winner2],"druid",Scenario1[winner2-cp],DruidEquipScenario1[[#This Row],[level]])+COUNTIFS(Scenario1[loser1],"druid",Scenario1[loser1-cp],DruidEquipScenario1[[#This Row],[level]])+COUNTIFS(Scenario1[loser2],"druid",Scenario1[loser2-cp],DruidEquipScenario1[[#This Row],[level]])</f>
        <v>13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" t="s">
        <v>71</v>
      </c>
      <c r="L29" s="2">
        <f>COUNTIF(Scenario1[winner1-ability2],DruidAbilities2Scenario1[[#This Row],[ability]])+COUNTIF(Scenario1[winner2-ability2],DruidAbilities2Scenario1[[#This Row],[ability]])+COUNTIF(Scenario1[loser1-ability2],DruidAbilities2Scenario1[[#This Row],[ability]])+COUNTIF(Scenario1[loser2-ability2],DruidAbilities2Scenario1[[#This Row],[ability]])</f>
        <v>13</v>
      </c>
      <c r="M29" s="2">
        <f>COUNTIF(Scenario1[winner1-ability2],DruidAbilities2Scenario1[[#This Row],[ability]])+COUNTIF(Scenario1[winner2-ability2],DruidAbilities2Scenario1[[#This Row],[ability]])</f>
        <v>10</v>
      </c>
      <c r="N29" s="12">
        <f>IF(SUM(DruidAbilities2Scenario1[[#This Row],[takes]]) &gt; 0,DruidAbilities2Scenario1[[#This Row],[takes]]/SUM(DruidAbilities2Scenario1[takes]),0)</f>
        <v>0.24528301886792453</v>
      </c>
      <c r="O29" s="12">
        <f>IF(DruidAbilities2Scenario1[[#This Row],[takes]]&gt;0,DruidAbilities2Scenario1[[#This Row],[wins]]/DruidAbilities2Scenario1[[#This Row],[takes]],0)</f>
        <v>0.76923076923076927</v>
      </c>
      <c r="S29" s="18"/>
    </row>
    <row r="30" spans="1:20" x14ac:dyDescent="0.25">
      <c r="K30" t="s">
        <v>50</v>
      </c>
      <c r="L30" s="2">
        <f>COUNTIF(Scenario1[winner1-ability2],DruidAbilities2Scenario1[[#This Row],[ability]])+COUNTIF(Scenario1[winner2-ability2],DruidAbilities2Scenario1[[#This Row],[ability]])+COUNTIF(Scenario1[loser1-ability2],DruidAbilities2Scenario1[[#This Row],[ability]])+COUNTIF(Scenario1[loser2-ability2],DruidAbilities2Scenario1[[#This Row],[ability]])</f>
        <v>22</v>
      </c>
      <c r="M30" s="2">
        <f>COUNTIF(Scenario1[winner1-ability2],DruidAbilities2Scenario1[[#This Row],[ability]])+COUNTIF(Scenario1[winner2-ability2],DruidAbilities2Scenario1[[#This Row],[ability]])</f>
        <v>7</v>
      </c>
      <c r="N30" s="3">
        <f>IF(SUM(DruidAbilities2Scenario1[[#This Row],[takes]]) &gt; 0,DruidAbilities2Scenario1[[#This Row],[takes]]/SUM(DruidAbilities2Scenario1[takes]),0)</f>
        <v>0.41509433962264153</v>
      </c>
      <c r="O30" s="3">
        <f>IF(DruidAbilities2Scenario1[[#This Row],[takes]]&gt;0,DruidAbilities2Scenario1[[#This Row],[wins]]/DruidAbilities2Scenario1[[#This Row],[takes]],0)</f>
        <v>0.31818181818181818</v>
      </c>
      <c r="S30" s="18"/>
    </row>
    <row r="31" spans="1:20" x14ac:dyDescent="0.25">
      <c r="K31" s="10" t="s">
        <v>84</v>
      </c>
      <c r="L31" s="2">
        <f>COUNTIF(Scenario1[winner1-ability2],DruidAbilities2Scenario1[[#This Row],[ability]])+COUNTIF(Scenario1[winner2-ability2],DruidAbilities2Scenario1[[#This Row],[ability]])+COUNTIF(Scenario1[loser1-ability2],DruidAbilities2Scenario1[[#This Row],[ability]])+COUNTIF(Scenario1[loser2-ability2],DruidAbilities2Scenario1[[#This Row],[ability]])</f>
        <v>18</v>
      </c>
      <c r="M31" s="2">
        <f>COUNTIF(Scenario1[winner1-ability2],DruidAbilities2Scenario1[[#This Row],[ability]])+COUNTIF(Scenario1[winner2-ability2],DruidAbilities2Scenario1[[#This Row],[ability]])</f>
        <v>12</v>
      </c>
      <c r="N31" s="13">
        <f>IF(SUM(DruidAbilities2Scenario1[[#This Row],[takes]]) &gt; 0,DruidAbilities2Scenario1[[#This Row],[takes]]/SUM(DruidAbilities2Scenario1[takes]),0)</f>
        <v>0.33962264150943394</v>
      </c>
      <c r="O31" s="13">
        <f>IF(DruidAbilities2Scenario1[[#This Row],[takes]]&gt;0,DruidAbilities2Scenario1[[#This Row],[wins]]/DruidAbilities2Scenario1[[#This Row],[takes]],0)</f>
        <v>0.66666666666666663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1" t="s">
        <v>51</v>
      </c>
      <c r="L34" s="1">
        <f>COUNTIF(Scenario1[winner1-ability3],DruidAbilities3Scenario1[[#This Row],[ability]])+COUNTIF(Scenario1[winner2-ability3],DruidAbilities3Scenario1[[#This Row],[ability]])+COUNTIF(Scenario1[loser1-ability3],DruidAbilities3Scenario1[[#This Row],[ability]])+COUNTIF(Scenario1[loser2-ability3],DruidAbilities3Scenario1[[#This Row],[ability]])</f>
        <v>9</v>
      </c>
      <c r="M34" s="1">
        <f>COUNTIF(Scenario1[winner1-ability3],DruidAbilities3Scenario1[[#This Row],[ability]])+COUNTIF(Scenario1[winner2-ability3],DruidAbilities3Scenario1[[#This Row],[ability]])</f>
        <v>7</v>
      </c>
      <c r="N34" s="14">
        <f>IF(SUM(DruidAbilities3Scenario1[[#This Row],[takes]]) &gt; 0,DruidAbilities3Scenario1[[#This Row],[takes]]/SUM(DruidAbilities3Scenario1[takes]),0)</f>
        <v>0.28125</v>
      </c>
      <c r="O34" s="14">
        <f>IF(DruidAbilities3Scenario1[[#This Row],[takes]]&gt;0,DruidAbilities3Scenario1[[#This Row],[wins]]/DruidAbilities3Scenario1[[#This Row],[takes]],0)</f>
        <v>0.77777777777777779</v>
      </c>
      <c r="S34" s="18"/>
    </row>
    <row r="35" spans="11:20" x14ac:dyDescent="0.25">
      <c r="K35" s="2" t="s">
        <v>127</v>
      </c>
      <c r="L35" s="2">
        <f>COUNTIF(Scenario1[winner1-ability3],DruidAbilities3Scenario1[[#This Row],[ability]])+COUNTIF(Scenario1[winner2-ability3],DruidAbilities3Scenario1[[#This Row],[ability]])+COUNTIF(Scenario1[loser1-ability3],DruidAbilities3Scenario1[[#This Row],[ability]])+COUNTIF(Scenario1[loser2-ability3],DruidAbilities3Scenario1[[#This Row],[ability]])</f>
        <v>9</v>
      </c>
      <c r="M35" s="2">
        <f>COUNTIF(Scenario1[winner1-ability3],DruidAbilities3Scenario1[[#This Row],[ability]])+COUNTIF(Scenario1[winner2-ability3],DruidAbilities3Scenario1[[#This Row],[ability]])</f>
        <v>7</v>
      </c>
      <c r="N35" s="12">
        <f>IF(SUM(DruidAbilities3Scenario1[[#This Row],[takes]]) &gt; 0,DruidAbilities3Scenario1[[#This Row],[takes]]/SUM(DruidAbilities3Scenario1[takes]),0)</f>
        <v>0.28125</v>
      </c>
      <c r="O35" s="12">
        <f>IF(DruidAbilities3Scenario1[[#This Row],[takes]]&gt;0,DruidAbilities3Scenario1[[#This Row],[wins]]/DruidAbilities3Scenario1[[#This Row],[takes]],0)</f>
        <v>0.77777777777777779</v>
      </c>
      <c r="S35" s="18"/>
    </row>
    <row r="36" spans="11:20" x14ac:dyDescent="0.25">
      <c r="K36" s="11" t="s">
        <v>90</v>
      </c>
      <c r="L36" s="1">
        <f>COUNTIF(Scenario1[winner1-ability3],DruidAbilities3Scenario1[[#This Row],[ability]])+COUNTIF(Scenario1[winner2-ability3],DruidAbilities3Scenario1[[#This Row],[ability]])+COUNTIF(Scenario1[loser1-ability3],DruidAbilities3Scenario1[[#This Row],[ability]])+COUNTIF(Scenario1[loser2-ability3],DruidAbilities3Scenario1[[#This Row],[ability]])</f>
        <v>14</v>
      </c>
      <c r="M36" s="1">
        <f>COUNTIF(Scenario1[winner1-ability3],DruidAbilities3Scenario1[[#This Row],[ability]])+COUNTIF(Scenario1[winner2-ability3],DruidAbilities3Scenario1[[#This Row],[ability]])</f>
        <v>7</v>
      </c>
      <c r="N36" s="15">
        <f>IF(SUM(DruidAbilities3Scenario1[[#This Row],[takes]]) &gt; 0,DruidAbilities3Scenario1[[#This Row],[takes]]/SUM(DruidAbilities3Scenario1[takes]),0)</f>
        <v>0.4375</v>
      </c>
      <c r="O36" s="15">
        <f>IF(DruidAbilities3Scenario1[[#This Row],[takes]]&gt;0,DruidAbilities3Scenario1[[#This Row],[wins]]/DruidAbilities3Scenario1[[#This Row],[takes]],0)</f>
        <v>0.5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" t="s">
        <v>128</v>
      </c>
      <c r="L39" s="2">
        <f>COUNTIF(Scenario1[winner1-ability4],DruidAbilities4Scenario1[[#This Row],[ability]])+COUNTIF(Scenario1[winner2-ability4],DruidAbilities4Scenario1[[#This Row],[ability]])+COUNTIF(Scenario1[loser1-ability4],DruidAbilities4Scenario1[[#This Row],[ability]])+COUNTIF(Scenario1[loser2-ability4],DruidAbilities4Scenario1[[#This Row],[ability]])</f>
        <v>5</v>
      </c>
      <c r="M39" s="2">
        <f>COUNTIF(Scenario1[winner1-ability4],DruidAbilities4Scenario1[[#This Row],[ability]])+COUNTIF(Scenario1[winner2-ability4],DruidAbilities4Scenario1[[#This Row],[ability]])</f>
        <v>5</v>
      </c>
      <c r="N39" s="12">
        <f>IF(SUM(DruidAbilities4Scenario1[[#This Row],[takes]]) &gt; 0,DruidAbilities4Scenario1[[#This Row],[takes]]/SUM(DruidAbilities4Scenario1[takes]),0)</f>
        <v>0.33333333333333331</v>
      </c>
      <c r="O39" s="12">
        <f>IF(DruidAbilities4Scenario1[[#This Row],[takes]]&gt;0,DruidAbilities4Scenario1[[#This Row],[wins]]/DruidAbilities4Scenario1[[#This Row],[takes]],0)</f>
        <v>1</v>
      </c>
      <c r="S39" s="18"/>
    </row>
    <row r="40" spans="11:20" x14ac:dyDescent="0.25">
      <c r="K40" s="2" t="s">
        <v>52</v>
      </c>
      <c r="L40" s="2">
        <f>COUNTIF(Scenario1[winner1-ability4],DruidAbilities4Scenario1[[#This Row],[ability]])+COUNTIF(Scenario1[winner2-ability4],DruidAbilities4Scenario1[[#This Row],[ability]])+COUNTIF(Scenario1[loser1-ability4],DruidAbilities4Scenario1[[#This Row],[ability]])+COUNTIF(Scenario1[loser2-ability4],DruidAbilities4Scenario1[[#This Row],[ability]])</f>
        <v>5</v>
      </c>
      <c r="M40" s="2">
        <f>COUNTIF(Scenario1[winner1-ability4],DruidAbilities4Scenario1[[#This Row],[ability]])+COUNTIF(Scenario1[winner2-ability4],DruidAbilities4Scenario1[[#This Row],[ability]])</f>
        <v>3</v>
      </c>
      <c r="N40" s="12">
        <f>IF(SUM(DruidAbilities4Scenario1[[#This Row],[takes]]) &gt; 0,DruidAbilities4Scenario1[[#This Row],[takes]]/SUM(DruidAbilities4Scenario1[takes]),0)</f>
        <v>0.33333333333333331</v>
      </c>
      <c r="O40" s="12">
        <f>IF(DruidAbilities4Scenario1[[#This Row],[takes]]&gt;0,DruidAbilities4Scenario1[[#This Row],[wins]]/DruidAbilities4Scenario1[[#This Row],[takes]],0)</f>
        <v>0.6</v>
      </c>
      <c r="S40" s="18"/>
    </row>
    <row r="41" spans="11:20" ht="15.75" thickBot="1" x14ac:dyDescent="0.3">
      <c r="K41" s="10" t="s">
        <v>129</v>
      </c>
      <c r="L41" s="25">
        <f>COUNTIF(Scenario1[winner1-ability4],DruidAbilities4Scenario1[[#This Row],[ability]])+COUNTIF(Scenario1[winner2-ability4],DruidAbilities4Scenario1[[#This Row],[ability]])+COUNTIF(Scenario1[loser1-ability4],DruidAbilities4Scenario1[[#This Row],[ability]])+COUNTIF(Scenario1[loser2-ability4],DruidAbilities4Scenario1[[#This Row],[ability]])</f>
        <v>5</v>
      </c>
      <c r="M41" s="25">
        <f>COUNTIF(Scenario1[winner1-ability4],DruidAbilities4Scenario1[[#This Row],[ability]])+COUNTIF(Scenario1[winner2-ability4],DruidAbilities4Scenario1[[#This Row],[ability]])</f>
        <v>4</v>
      </c>
      <c r="N41" s="26">
        <f>IF(SUM(DruidAbilities4Scenario1[[#This Row],[takes]]) &gt; 0,DruidAbilities4Scenario1[[#This Row],[takes]]/SUM(DruidAbilities4Scenario1[takes]),0)</f>
        <v>0.33333333333333331</v>
      </c>
      <c r="O41" s="26">
        <f>IF(DruidAbilities4Scenario1[[#This Row],[takes]]&gt;0,DruidAbilities4Scenario1[[#This Row],[wins]]/DruidAbilities4Scenario1[[#This Row],[takes]],0)</f>
        <v>0.8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7" t="s">
        <v>184</v>
      </c>
      <c r="L43" s="38"/>
      <c r="M43" s="38"/>
      <c r="N43" s="38"/>
      <c r="O43" s="38"/>
      <c r="P43" s="38"/>
      <c r="Q43" s="38"/>
      <c r="R43" s="38"/>
      <c r="S43" s="39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166</v>
      </c>
      <c r="S44" s="18" t="s">
        <v>164</v>
      </c>
    </row>
    <row r="45" spans="11:20" x14ac:dyDescent="0.25">
      <c r="K45" t="s">
        <v>49</v>
      </c>
      <c r="L45">
        <f>COUNTIF(Scenario2[winner1-ability1],DruidAbilities1Scenario2[[#This Row],[ability]])+COUNTIF(Scenario2[loser1-ability1],DruidAbilities1Scenario2[[#This Row],[ability]])</f>
        <v>2</v>
      </c>
      <c r="M45">
        <f>COUNTIF(Scenario2[winner1-ability1],DruidAbilities1Scenario2[[#This Row],[ability]])</f>
        <v>0</v>
      </c>
      <c r="N45" s="3">
        <f>IF(SUM(DruidAbilities1Scenario2[[#This Row],[takes]]) &gt; 0,DruidAbilities1Scenario2[[#This Row],[takes]]/SUM(DruidAbilities1Scenario2[takes]),0)</f>
        <v>0.14285714285714285</v>
      </c>
      <c r="O45" s="3">
        <f>IF(DruidAbilities1Scenario2[[#This Row],[takes]]&gt;0,DruidAbilities1Scenario2[[#This Row],[wins]]/DruidAbilities1Scenario2[[#This Row],[takes]],0)</f>
        <v>0</v>
      </c>
      <c r="Q45">
        <v>1</v>
      </c>
      <c r="R45">
        <f>COUNTIFS(Scenario2[winner1],"druid",Scenario2[winner1-pw],DruidEquipScenario2[[#This Row],[level]])+COUNTIFS(Scenario2[loser1],"druid",Scenario2[loser1-pw],DruidEquipScenario2[[#This Row],[level]])</f>
        <v>2</v>
      </c>
      <c r="S45" s="18">
        <f>COUNTIFS(Scenario2[winner1],"druid",Scenario2[winner1-cp],DruidEquipScenario2[[#This Row],[level]])+COUNTIFS(Scenario2[loser1],"druid",Scenario2[loser1-cp],DruidEquipScenario2[[#This Row],[level]])</f>
        <v>10</v>
      </c>
    </row>
    <row r="46" spans="11:20" x14ac:dyDescent="0.25">
      <c r="K46" t="s">
        <v>89</v>
      </c>
      <c r="L46">
        <f>COUNTIF(Scenario2[winner1-ability1],DruidAbilities1Scenario2[[#This Row],[ability]])+COUNTIF(Scenario2[loser1-ability1],DruidAbilities1Scenario2[[#This Row],[ability]])</f>
        <v>10</v>
      </c>
      <c r="M46">
        <f>COUNTIF(Scenario2[winner1-ability1],DruidAbilities1Scenario2[[#This Row],[ability]])</f>
        <v>5</v>
      </c>
      <c r="N46" s="3">
        <f>IF(SUM(DruidAbilities1Scenario2[[#This Row],[takes]]) &gt; 0,DruidAbilities1Scenario2[[#This Row],[takes]]/SUM(DruidAbilities1Scenario2[takes]),0)</f>
        <v>0.7142857142857143</v>
      </c>
      <c r="O46" s="3">
        <f>IF(DruidAbilities1Scenario2[[#This Row],[takes]]&gt;0,DruidAbilities1Scenario2[[#This Row],[wins]]/DruidAbilities1Scenario2[[#This Row],[takes]],0)</f>
        <v>0.5</v>
      </c>
      <c r="Q46">
        <v>2</v>
      </c>
      <c r="R46">
        <f>COUNTIFS(Scenario2[winner1],"druid",Scenario2[winner1-pw],DruidEquipScenario2[[#This Row],[level]])+COUNTIFS(Scenario2[loser1],"druid",Scenario2[loser1-pw],DruidEquipScenario2[[#This Row],[level]])</f>
        <v>8</v>
      </c>
      <c r="S46" s="18">
        <f>COUNTIFS(Scenario2[winner1],"druid",Scenario2[winner1-cp],DruidEquipScenario2[[#This Row],[level]])+COUNTIFS(Scenario2[loser1],"druid",Scenario2[loser1-cp],DruidEquipScenario2[[#This Row],[level]])</f>
        <v>0</v>
      </c>
    </row>
    <row r="47" spans="11:20" x14ac:dyDescent="0.25">
      <c r="K47" t="s">
        <v>126</v>
      </c>
      <c r="L47">
        <f>COUNTIF(Scenario2[winner1-ability1],DruidAbilities1Scenario2[[#This Row],[ability]])+COUNTIF(Scenario2[loser1-ability1],DruidAbilities1Scenario2[[#This Row],[ability]])</f>
        <v>2</v>
      </c>
      <c r="M47">
        <f>COUNTIF(Scenario2[winner1-ability1],DruidAbilities1Scenario2[[#This Row],[ability]])</f>
        <v>2</v>
      </c>
      <c r="N47" s="3">
        <f>IF(SUM(DruidAbilities1Scenario2[[#This Row],[takes]]) &gt; 0,DruidAbilities1Scenario2[[#This Row],[takes]]/SUM(DruidAbilities1Scenario2[takes]),0)</f>
        <v>0.14285714285714285</v>
      </c>
      <c r="O47" s="3">
        <f>IF(DruidAbilities1Scenario2[[#This Row],[takes]]&gt;0,DruidAbilities1Scenario2[[#This Row],[wins]]/DruidAbilities1Scenario2[[#This Row],[takes]],0)</f>
        <v>1</v>
      </c>
      <c r="Q47">
        <v>3</v>
      </c>
      <c r="R47">
        <f>COUNTIFS(Scenario2[winner1],"druid",Scenario2[winner1-pw],DruidEquipScenario2[[#This Row],[level]])+COUNTIFS(Scenario2[loser1],"druid",Scenario2[loser1-pw],DruidEquipScenario2[[#This Row],[level]])</f>
        <v>4</v>
      </c>
      <c r="S47" s="18">
        <f>COUNTIFS(Scenario2[winner1],"druid",Scenario2[winner1-cp],DruidEquipScenario2[[#This Row],[level]])+COUNTIFS(Scenario2[loser1],"druid",Scenario2[loser1-cp],DruidEquipScenario2[[#This Row],[level]])</f>
        <v>4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" t="s">
        <v>71</v>
      </c>
      <c r="L50" s="2">
        <f>COUNTIF(Scenario2[winner1-ability2],DruidAbilities2Scenario2[[#This Row],[ability]])+COUNTIF(Scenario2[loser1-ability2],DruidAbilities2Scenario2[[#This Row],[ability]])</f>
        <v>8</v>
      </c>
      <c r="M50" s="2">
        <f>COUNTIF(Scenario2[winner1-ability2],DruidAbilities2Scenario2[[#This Row],[ability]])</f>
        <v>6</v>
      </c>
      <c r="N50" s="12">
        <f>IF(SUM(DruidAbilities2Scenario2[[#This Row],[takes]]) &gt; 0,DruidAbilities2Scenario2[[#This Row],[takes]]/SUM(DruidAbilities2Scenario2[takes]),0)</f>
        <v>0.5714285714285714</v>
      </c>
      <c r="O50" s="12">
        <f>IF(DruidAbilities2Scenario2[[#This Row],[takes]]&gt;0,DruidAbilities2Scenario2[[#This Row],[wins]]/DruidAbilities2Scenario2[[#This Row],[takes]],0)</f>
        <v>0.75</v>
      </c>
      <c r="S50" s="18"/>
    </row>
    <row r="51" spans="11:19" x14ac:dyDescent="0.25">
      <c r="K51" t="s">
        <v>50</v>
      </c>
      <c r="L51" s="2">
        <f>COUNTIF(Scenario2[winner1-ability2],DruidAbilities2Scenario2[[#This Row],[ability]])+COUNTIF(Scenario2[loser1-ability2],DruidAbilities2Scenario2[[#This Row],[ability]])</f>
        <v>6</v>
      </c>
      <c r="M51" s="2">
        <f>COUNTIF(Scenario2[winner1-ability2],DruidAbilities2Scenario2[[#This Row],[ability]])</f>
        <v>1</v>
      </c>
      <c r="N51" s="3">
        <f>IF(SUM(DruidAbilities2Scenario2[[#This Row],[takes]]) &gt; 0,DruidAbilities2Scenario2[[#This Row],[takes]]/SUM(DruidAbilities2Scenario2[takes]),0)</f>
        <v>0.42857142857142855</v>
      </c>
      <c r="O51" s="3">
        <f>IF(DruidAbilities2Scenario2[[#This Row],[takes]]&gt;0,DruidAbilities2Scenario2[[#This Row],[wins]]/DruidAbilities2Scenario2[[#This Row],[takes]],0)</f>
        <v>0.16666666666666666</v>
      </c>
      <c r="S51" s="18"/>
    </row>
    <row r="52" spans="11:19" x14ac:dyDescent="0.25">
      <c r="K52" s="10" t="s">
        <v>84</v>
      </c>
      <c r="L52" s="2">
        <f>COUNTIF(Scenario2[winner1-ability2],DruidAbilities2Scenario2[[#This Row],[ability]])+COUNTIF(Scenario2[loser1-ability2],DruidAbilities2Scenario2[[#This Row],[ability]])</f>
        <v>0</v>
      </c>
      <c r="M52" s="2">
        <f>COUNTIF(Scenario2[winner1-ability2],DruidAbilities2Scenario2[[#This Row],[ability]])</f>
        <v>0</v>
      </c>
      <c r="N52" s="13">
        <f>IF(SUM(DruidAbilities2Scenario2[[#This Row],[takes]]) &gt; 0,DruidAbilities2Scenario2[[#This Row],[takes]]/SUM(DruidAbilities2Scenario2[takes]),0)</f>
        <v>0</v>
      </c>
      <c r="O52" s="13">
        <f>IF(DruidAbilities2Scenario2[[#This Row],[takes]]&gt;0,DruidAbilities2Scenario2[[#This Row],[wins]]/DruidAbilities2Scenario2[[#This Row],[takes]],0)</f>
        <v>0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1" t="s">
        <v>51</v>
      </c>
      <c r="L55" s="1">
        <f>COUNTIF(Scenario2[winner1-ability3],DruidAbilities3Scenario2[[#This Row],[ability]])+COUNTIF(Scenario2[loser1-ability3],DruidAbilities3Scenario2[[#This Row],[ability]])</f>
        <v>6</v>
      </c>
      <c r="M55" s="1">
        <f>COUNTIF(Scenario2[winner1-ability3],DruidAbilities3Scenario2[[#This Row],[ability]])</f>
        <v>1</v>
      </c>
      <c r="N55" s="14">
        <f>IF(SUM(DruidAbilities3Scenario2[[#This Row],[takes]]) &gt; 0,DruidAbilities3Scenario2[[#This Row],[takes]]/SUM(DruidAbilities3Scenario2[takes]),0)</f>
        <v>0.66666666666666663</v>
      </c>
      <c r="O55" s="14">
        <f>IF(DruidAbilities3Scenario2[[#This Row],[takes]]&gt;0,DruidAbilities3Scenario2[[#This Row],[wins]]/DruidAbilities3Scenario2[[#This Row],[takes]],0)</f>
        <v>0.16666666666666666</v>
      </c>
      <c r="S55" s="18"/>
    </row>
    <row r="56" spans="11:19" x14ac:dyDescent="0.25">
      <c r="K56" s="2" t="s">
        <v>127</v>
      </c>
      <c r="L56" s="2">
        <f>COUNTIF(Scenario2[winner1-ability3],DruidAbilities3Scenario2[[#This Row],[ability]])+COUNTIF(Scenario2[loser1-ability3],DruidAbilities3Scenario2[[#This Row],[ability]])</f>
        <v>2</v>
      </c>
      <c r="M56" s="2">
        <f>COUNTIF(Scenario2[winner1-ability3],DruidAbilities3Scenario2[[#This Row],[ability]])</f>
        <v>0</v>
      </c>
      <c r="N56" s="12">
        <f>IF(SUM(DruidAbilities3Scenario2[[#This Row],[takes]]) &gt; 0,DruidAbilities3Scenario2[[#This Row],[takes]]/SUM(DruidAbilities3Scenario2[takes]),0)</f>
        <v>0.22222222222222221</v>
      </c>
      <c r="O56" s="12">
        <f>IF(DruidAbilities3Scenario2[[#This Row],[takes]]&gt;0,DruidAbilities3Scenario2[[#This Row],[wins]]/DruidAbilities3Scenario2[[#This Row],[takes]],0)</f>
        <v>0</v>
      </c>
      <c r="S56" s="18"/>
    </row>
    <row r="57" spans="11:19" x14ac:dyDescent="0.25">
      <c r="K57" s="11" t="s">
        <v>90</v>
      </c>
      <c r="L57" s="1">
        <f>COUNTIF(Scenario2[winner1-ability3],DruidAbilities3Scenario2[[#This Row],[ability]])+COUNTIF(Scenario2[loser1-ability3],DruidAbilities3Scenario2[[#This Row],[ability]])</f>
        <v>1</v>
      </c>
      <c r="M57" s="1">
        <f>COUNTIF(Scenario2[winner1-ability3],DruidAbilities3Scenario2[[#This Row],[ability]])</f>
        <v>1</v>
      </c>
      <c r="N57" s="15">
        <f>IF(SUM(DruidAbilities3Scenario2[[#This Row],[takes]]) &gt; 0,DruidAbilities3Scenario2[[#This Row],[takes]]/SUM(DruidAbilities3Scenario2[takes]),0)</f>
        <v>0.1111111111111111</v>
      </c>
      <c r="O57" s="15">
        <f>IF(DruidAbilities3Scenario2[[#This Row],[takes]]&gt;0,DruidAbilities3Scenario2[[#This Row],[wins]]/DruidAbilities3Scenario2[[#This Row],[takes]],0)</f>
        <v>1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" t="s">
        <v>128</v>
      </c>
      <c r="L60" s="2">
        <f>COUNTIF(Scenario2[winner1-ability4],DruidAbilities4Scenario2[[#This Row],[ability]])+COUNTIF(Scenario2[loser1-ability4],DruidAbilities4Scenario2[[#This Row],[ability]])</f>
        <v>2</v>
      </c>
      <c r="M60" s="2">
        <f>COUNTIF(Scenario2[winner1-ability4],DruidAbilities4Scenario2[[#This Row],[ability]])</f>
        <v>2</v>
      </c>
      <c r="N60" s="12">
        <f>IF(SUM(DruidAbilities4Scenario2[[#This Row],[takes]]) &gt; 0,DruidAbilities4Scenario2[[#This Row],[takes]]/SUM(DruidAbilities4Scenario2[takes]),0)</f>
        <v>0.2857142857142857</v>
      </c>
      <c r="O60" s="12">
        <f>IF(DruidAbilities4Scenario2[[#This Row],[takes]]&gt;0,DruidAbilities4Scenario2[[#This Row],[wins]]/DruidAbilities4Scenario2[[#This Row],[takes]],0)</f>
        <v>1</v>
      </c>
      <c r="S60" s="18"/>
    </row>
    <row r="61" spans="11:19" x14ac:dyDescent="0.25">
      <c r="K61" s="2" t="s">
        <v>52</v>
      </c>
      <c r="L61" s="2">
        <f>COUNTIF(Scenario2[winner1-ability4],DruidAbilities4Scenario2[[#This Row],[ability]])+COUNTIF(Scenario2[loser1-ability4],DruidAbilities4Scenario2[[#This Row],[ability]])</f>
        <v>4</v>
      </c>
      <c r="M61" s="2">
        <f>COUNTIF(Scenario2[winner1-ability4],DruidAbilities4Scenario2[[#This Row],[ability]])</f>
        <v>0</v>
      </c>
      <c r="N61" s="12">
        <f>IF(SUM(DruidAbilities4Scenario2[[#This Row],[takes]]) &gt; 0,DruidAbilities4Scenario2[[#This Row],[takes]]/SUM(DruidAbilities4Scenario2[takes]),0)</f>
        <v>0.5714285714285714</v>
      </c>
      <c r="O61" s="12">
        <f>IF(DruidAbilities4Scenario2[[#This Row],[takes]]&gt;0,DruidAbilities4Scenario2[[#This Row],[wins]]/DruidAbilities4Scenario2[[#This Row],[takes]],0)</f>
        <v>0</v>
      </c>
      <c r="S61" s="18"/>
    </row>
    <row r="62" spans="11:19" ht="15.75" thickBot="1" x14ac:dyDescent="0.3">
      <c r="K62" s="10" t="s">
        <v>129</v>
      </c>
      <c r="L62" s="25">
        <f>COUNTIF(Scenario2[winner1-ability4],DruidAbilities4Scenario2[[#This Row],[ability]])+COUNTIF(Scenario2[loser1-ability4],DruidAbilities4Scenario2[[#This Row],[ability]])</f>
        <v>1</v>
      </c>
      <c r="M62" s="25">
        <f>COUNTIF(Scenario2[winner1-ability4],DruidAbilities4Scenario2[[#This Row],[ability]])</f>
        <v>0</v>
      </c>
      <c r="N62" s="26">
        <f>IF(SUM(DruidAbilities4Scenario2[[#This Row],[takes]]) &gt; 0,DruidAbilities4Scenario2[[#This Row],[takes]]/SUM(DruidAbilities4Scenario2[takes]),0)</f>
        <v>0.14285714285714285</v>
      </c>
      <c r="O62" s="26">
        <f>IF(DruidAbilities4Scenario2[[#This Row],[takes]]&gt;0,DruidAbilities4Scenario2[[#This Row],[wins]]/DruidAbilities4Scenario2[[#This Row],[takes]],0)</f>
        <v>0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7" t="s">
        <v>209</v>
      </c>
      <c r="L64" s="38"/>
      <c r="M64" s="38"/>
      <c r="N64" s="38"/>
      <c r="O64" s="38"/>
      <c r="P64" s="38"/>
      <c r="Q64" s="38"/>
      <c r="R64" s="38"/>
      <c r="S64" s="39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166</v>
      </c>
      <c r="S65" s="18" t="s">
        <v>164</v>
      </c>
    </row>
    <row r="66" spans="11:19" x14ac:dyDescent="0.25">
      <c r="K66" t="s">
        <v>49</v>
      </c>
      <c r="L66">
        <f>COUNTIF(Scenario3[winner1-ability1],DruidAbilities1Scenario3[[#This Row],[ability]])+COUNTIF(Scenario3[loser1-ability1],DruidAbilities1Scenario3[[#This Row],[ability]])+COUNTIF(Scenario3[loser2-ability1],DruidAbilities1Scenario3[[#This Row],[ability]])</f>
        <v>2</v>
      </c>
      <c r="M66">
        <f>COUNTIF(Scenario3[winner1-ability1],DruidAbilities1Scenario3[[#This Row],[ability]])</f>
        <v>0</v>
      </c>
      <c r="N66" s="3">
        <f>IF(SUM(DruidAbilities1Scenario3[[#This Row],[takes]]) &gt; 0,DruidAbilities1Scenario3[[#This Row],[takes]]/SUM(DruidAbilities1Scenario3[takes]),0)</f>
        <v>9.5238095238095233E-2</v>
      </c>
      <c r="O66" s="3">
        <f>IF(DruidAbilities1Scenario3[[#This Row],[takes]]&gt;0,DruidAbilities1Scenario3[[#This Row],[wins]]/DruidAbilities1Scenario3[[#This Row],[takes]],0)</f>
        <v>0</v>
      </c>
      <c r="Q66">
        <v>1</v>
      </c>
      <c r="R66">
        <f>COUNTIFS(Scenario3[winner1],"druid",Scenario3[winner1-pw],DruidEquipScenario3[[#This Row],[level]])+COUNTIFS(Scenario3[loser1],"druid",Scenario3[loser1-pw],DruidEquipScenario3[[#This Row],[level]])+COUNTIFS(Scenario3[loser2],"druid",Scenario3[loser2-pw],DruidEquipScenario3[[#This Row],[level]])</f>
        <v>4</v>
      </c>
      <c r="S66" s="18">
        <f>COUNTIFS(Scenario3[winner1],"druid",Scenario3[winner1-cp],DruidEquipScenario3[[#This Row],[level]])+COUNTIFS(Scenario3[loser1],"druid",Scenario3[loser1-cp],DruidEquipScenario3[[#This Row],[level]])+COUNTIFS(Scenario3[loser2],"druid",Scenario3[loser2-cp],DruidEquipScenario3[[#This Row],[level]])</f>
        <v>10</v>
      </c>
    </row>
    <row r="67" spans="11:19" x14ac:dyDescent="0.25">
      <c r="K67" t="s">
        <v>89</v>
      </c>
      <c r="L67">
        <f>COUNTIF(Scenario3[winner1-ability1],DruidAbilities1Scenario3[[#This Row],[ability]])+COUNTIF(Scenario3[loser1-ability1],DruidAbilities1Scenario3[[#This Row],[ability]])+COUNTIF(Scenario3[loser2-ability1],DruidAbilities1Scenario3[[#This Row],[ability]])</f>
        <v>6</v>
      </c>
      <c r="M67">
        <f>COUNTIF(Scenario3[winner1-ability1],DruidAbilities1Scenario3[[#This Row],[ability]])</f>
        <v>2</v>
      </c>
      <c r="N67" s="3">
        <f>IF(SUM(DruidAbilities1Scenario3[[#This Row],[takes]]) &gt; 0,DruidAbilities1Scenario3[[#This Row],[takes]]/SUM(DruidAbilities1Scenario3[takes]),0)</f>
        <v>0.2857142857142857</v>
      </c>
      <c r="O67" s="3">
        <f>IF(DruidAbilities1Scenario3[[#This Row],[takes]]&gt;0,DruidAbilities1Scenario3[[#This Row],[wins]]/DruidAbilities1Scenario3[[#This Row],[takes]],0)</f>
        <v>0.33333333333333331</v>
      </c>
      <c r="Q67">
        <v>2</v>
      </c>
      <c r="R67">
        <f>COUNTIFS(Scenario3[winner1],"druid",Scenario3[winner1-pw],DruidEquipScenario3[[#This Row],[level]])+COUNTIFS(Scenario3[loser1],"druid",Scenario3[loser1-pw],DruidEquipScenario3[[#This Row],[level]])+COUNTIFS(Scenario3[loser2],"druid",Scenario3[loser2-pw],DruidEquipScenario3[[#This Row],[level]])</f>
        <v>3</v>
      </c>
      <c r="S67" s="18">
        <f>COUNTIFS(Scenario3[winner1],"druid",Scenario3[winner1-cp],DruidEquipScenario3[[#This Row],[level]])+COUNTIFS(Scenario3[loser1],"druid",Scenario3[loser1-cp],DruidEquipScenario3[[#This Row],[level]])+COUNTIFS(Scenario3[loser2],"druid",Scenario3[loser2-cp],DruidEquipScenario3[[#This Row],[level]])</f>
        <v>2</v>
      </c>
    </row>
    <row r="68" spans="11:19" x14ac:dyDescent="0.25">
      <c r="K68" t="s">
        <v>126</v>
      </c>
      <c r="L68">
        <f>COUNTIF(Scenario3[winner1-ability1],DruidAbilities1Scenario3[[#This Row],[ability]])+COUNTIF(Scenario3[loser1-ability1],DruidAbilities1Scenario3[[#This Row],[ability]])+COUNTIF(Scenario3[loser2-ability1],DruidAbilities1Scenario3[[#This Row],[ability]])</f>
        <v>13</v>
      </c>
      <c r="M68">
        <f>COUNTIF(Scenario3[winner1-ability1],DruidAbilities1Scenario3[[#This Row],[ability]])</f>
        <v>3</v>
      </c>
      <c r="N68" s="3">
        <f>IF(SUM(DruidAbilities1Scenario3[[#This Row],[takes]]) &gt; 0,DruidAbilities1Scenario3[[#This Row],[takes]]/SUM(DruidAbilities1Scenario3[takes]),0)</f>
        <v>0.61904761904761907</v>
      </c>
      <c r="O68" s="3">
        <f>IF(DruidAbilities1Scenario3[[#This Row],[takes]]&gt;0,DruidAbilities1Scenario3[[#This Row],[wins]]/DruidAbilities1Scenario3[[#This Row],[takes]],0)</f>
        <v>0.23076923076923078</v>
      </c>
      <c r="Q68">
        <v>3</v>
      </c>
      <c r="R68">
        <f>COUNTIFS(Scenario3[winner1],"druid",Scenario3[winner1-pw],DruidEquipScenario3[[#This Row],[level]])+COUNTIFS(Scenario3[loser1],"druid",Scenario3[loser1-pw],DruidEquipScenario3[[#This Row],[level]])+COUNTIFS(Scenario3[loser2],"druid",Scenario3[loser2-pw],DruidEquipScenario3[[#This Row],[level]])</f>
        <v>14</v>
      </c>
      <c r="S68" s="18">
        <f>COUNTIFS(Scenario3[winner1],"druid",Scenario3[winner1-cp],DruidEquipScenario3[[#This Row],[level]])+COUNTIFS(Scenario3[loser1],"druid",Scenario3[loser1-cp],DruidEquipScenario3[[#This Row],[level]])+COUNTIFS(Scenario3[loser2],"druid",Scenario3[loser2-cp],DruidEquipScenario3[[#This Row],[level]])</f>
        <v>9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" t="s">
        <v>71</v>
      </c>
      <c r="L71" s="2">
        <f>COUNTIF(Scenario3[winner1-ability2],DruidAbilities2Scenario3[[#This Row],[ability]])+COUNTIF(Scenario3[loser1-ability2],DruidAbilities2Scenario3[[#This Row],[ability]])+COUNTIF(Scenario3[loser2-ability2],DruidAbilities2Scenario3[[#This Row],[ability]])</f>
        <v>10</v>
      </c>
      <c r="M71" s="2">
        <f>COUNTIF(Scenario3[winner1-ability2],DruidAbilities2Scenario3[[#This Row],[ability]])</f>
        <v>5</v>
      </c>
      <c r="N71" s="12">
        <f>IF(SUM(DruidAbilities2Scenario3[[#This Row],[takes]]) &gt; 0,DruidAbilities2Scenario3[[#This Row],[takes]]/SUM(DruidAbilities2Scenario3[takes]),0)</f>
        <v>0.5</v>
      </c>
      <c r="O71" s="12">
        <f>IF(DruidAbilities2Scenario3[[#This Row],[takes]]&gt;0,DruidAbilities2Scenario3[[#This Row],[wins]]/DruidAbilities2Scenario3[[#This Row],[takes]],0)</f>
        <v>0.5</v>
      </c>
      <c r="S71" s="18"/>
    </row>
    <row r="72" spans="11:19" x14ac:dyDescent="0.25">
      <c r="K72" t="s">
        <v>50</v>
      </c>
      <c r="L72" s="2">
        <f>COUNTIF(Scenario3[winner1-ability2],DruidAbilities2Scenario3[[#This Row],[ability]])+COUNTIF(Scenario3[loser1-ability2],DruidAbilities2Scenario3[[#This Row],[ability]])+COUNTIF(Scenario3[loser2-ability2],DruidAbilities2Scenario3[[#This Row],[ability]])</f>
        <v>7</v>
      </c>
      <c r="M72" s="2">
        <f>COUNTIF(Scenario3[winner1-ability2],DruidAbilities2Scenario3[[#This Row],[ability]])</f>
        <v>0</v>
      </c>
      <c r="N72" s="3">
        <f>IF(SUM(DruidAbilities2Scenario3[[#This Row],[takes]]) &gt; 0,DruidAbilities2Scenario3[[#This Row],[takes]]/SUM(DruidAbilities2Scenario3[takes]),0)</f>
        <v>0.35</v>
      </c>
      <c r="O72" s="3">
        <f>IF(DruidAbilities2Scenario3[[#This Row],[takes]]&gt;0,DruidAbilities2Scenario3[[#This Row],[wins]]/DruidAbilities2Scenario3[[#This Row],[takes]],0)</f>
        <v>0</v>
      </c>
      <c r="S72" s="18"/>
    </row>
    <row r="73" spans="11:19" x14ac:dyDescent="0.25">
      <c r="K73" s="10" t="s">
        <v>84</v>
      </c>
      <c r="L73" s="2">
        <f>COUNTIF(Scenario3[winner1-ability2],DruidAbilities2Scenario3[[#This Row],[ability]])+COUNTIF(Scenario3[loser1-ability2],DruidAbilities2Scenario3[[#This Row],[ability]])+COUNTIF(Scenario3[loser2-ability2],DruidAbilities2Scenario3[[#This Row],[ability]])</f>
        <v>3</v>
      </c>
      <c r="M73" s="2">
        <f>COUNTIF(Scenario3[winner1-ability2],DruidAbilities2Scenario3[[#This Row],[ability]])</f>
        <v>0</v>
      </c>
      <c r="N73" s="13">
        <f>IF(SUM(DruidAbilities2Scenario3[[#This Row],[takes]]) &gt; 0,DruidAbilities2Scenario3[[#This Row],[takes]]/SUM(DruidAbilities2Scenario3[takes]),0)</f>
        <v>0.15</v>
      </c>
      <c r="O73" s="13">
        <f>IF(DruidAbilities2Scenario3[[#This Row],[takes]]&gt;0,DruidAbilities2Scenario3[[#This Row],[wins]]/DruidAbilities2Scenario3[[#This Row],[takes]],0)</f>
        <v>0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1" t="s">
        <v>51</v>
      </c>
      <c r="L76" s="1">
        <f>COUNTIF(Scenario3[winner1-ability3],DruidAbilities3Scenario3[[#This Row],[ability]])+COUNTIF(Scenario3[loser1-ability3],DruidAbilities3Scenario3[[#This Row],[ability]])+COUNTIF(Scenario3[loser2-ability3],DruidAbilities3Scenario3[[#This Row],[ability]])</f>
        <v>12</v>
      </c>
      <c r="M76" s="1">
        <f>COUNTIF(Scenario3[winner1-ability3],DruidAbilities3Scenario3[[#This Row],[ability]])</f>
        <v>3</v>
      </c>
      <c r="N76" s="14">
        <f>IF(SUM(DruidAbilities3Scenario3[[#This Row],[takes]]) &gt; 0,DruidAbilities3Scenario3[[#This Row],[takes]]/SUM(DruidAbilities3Scenario3[takes]),0)</f>
        <v>0.6</v>
      </c>
      <c r="O76" s="14">
        <f>IF(DruidAbilities3Scenario3[[#This Row],[takes]]&gt;0,DruidAbilities3Scenario3[[#This Row],[wins]]/DruidAbilities3Scenario3[[#This Row],[takes]],0)</f>
        <v>0.25</v>
      </c>
      <c r="S76" s="18"/>
    </row>
    <row r="77" spans="11:19" x14ac:dyDescent="0.25">
      <c r="K77" s="2" t="s">
        <v>127</v>
      </c>
      <c r="L77" s="2">
        <f>COUNTIF(Scenario3[winner1-ability3],DruidAbilities3Scenario3[[#This Row],[ability]])+COUNTIF(Scenario3[loser1-ability3],DruidAbilities3Scenario3[[#This Row],[ability]])+COUNTIF(Scenario3[loser2-ability3],DruidAbilities3Scenario3[[#This Row],[ability]])</f>
        <v>4</v>
      </c>
      <c r="M77" s="2">
        <f>COUNTIF(Scenario3[winner1-ability3],DruidAbilities3Scenario3[[#This Row],[ability]])</f>
        <v>1</v>
      </c>
      <c r="N77" s="12">
        <f>IF(SUM(DruidAbilities3Scenario3[[#This Row],[takes]]) &gt; 0,DruidAbilities3Scenario3[[#This Row],[takes]]/SUM(DruidAbilities3Scenario3[takes]),0)</f>
        <v>0.2</v>
      </c>
      <c r="O77" s="12">
        <f>IF(DruidAbilities3Scenario3[[#This Row],[takes]]&gt;0,DruidAbilities3Scenario3[[#This Row],[wins]]/DruidAbilities3Scenario3[[#This Row],[takes]],0)</f>
        <v>0.25</v>
      </c>
      <c r="S77" s="18"/>
    </row>
    <row r="78" spans="11:19" x14ac:dyDescent="0.25">
      <c r="K78" s="11" t="s">
        <v>90</v>
      </c>
      <c r="L78" s="1">
        <f>COUNTIF(Scenario3[winner1-ability3],DruidAbilities3Scenario3[[#This Row],[ability]])+COUNTIF(Scenario3[loser1-ability3],DruidAbilities3Scenario3[[#This Row],[ability]])+COUNTIF(Scenario3[loser2-ability3],DruidAbilities3Scenario3[[#This Row],[ability]])</f>
        <v>4</v>
      </c>
      <c r="M78" s="1">
        <f>COUNTIF(Scenario3[winner1-ability3],DruidAbilities3Scenario3[[#This Row],[ability]])</f>
        <v>1</v>
      </c>
      <c r="N78" s="15">
        <f>IF(SUM(DruidAbilities3Scenario3[[#This Row],[takes]]) &gt; 0,DruidAbilities3Scenario3[[#This Row],[takes]]/SUM(DruidAbilities3Scenario3[takes]),0)</f>
        <v>0.2</v>
      </c>
      <c r="O78" s="15">
        <f>IF(DruidAbilities3Scenario3[[#This Row],[takes]]&gt;0,DruidAbilities3Scenario3[[#This Row],[wins]]/DruidAbilities3Scenario3[[#This Row],[takes]],0)</f>
        <v>0.25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" t="s">
        <v>128</v>
      </c>
      <c r="L81" s="2">
        <f>COUNTIF(Scenario3[winner1-ability4],DruidAbilities4Scenario3[[#This Row],[ability]])+COUNTIF(Scenario3[loser1-ability4],DruidAbilities4Scenario3[[#This Row],[ability]])+COUNTIF(Scenario3[loser2-ability4],DruidAbilities4Scenario3[[#This Row],[ability]])</f>
        <v>6</v>
      </c>
      <c r="M81" s="2">
        <f>COUNTIF(Scenario3[winner1-ability4],DruidAbilities4Scenario3[[#This Row],[ability]])</f>
        <v>2</v>
      </c>
      <c r="N81" s="12">
        <f>IF(SUM(DruidAbilities4Scenario3[[#This Row],[takes]]) &gt; 0,DruidAbilities4Scenario3[[#This Row],[takes]]/SUM(DruidAbilities4Scenario3[takes]),0)</f>
        <v>0.33333333333333331</v>
      </c>
      <c r="O81" s="12">
        <f>IF(DruidAbilities4Scenario3[[#This Row],[takes]]&gt;0,DruidAbilities4Scenario3[[#This Row],[wins]]/DruidAbilities4Scenario3[[#This Row],[takes]],0)</f>
        <v>0.33333333333333331</v>
      </c>
      <c r="S81" s="18"/>
    </row>
    <row r="82" spans="11:19" x14ac:dyDescent="0.25">
      <c r="K82" s="2" t="s">
        <v>52</v>
      </c>
      <c r="L82" s="2">
        <f>COUNTIF(Scenario3[winner1-ability4],DruidAbilities4Scenario3[[#This Row],[ability]])+COUNTIF(Scenario3[loser1-ability4],DruidAbilities4Scenario3[[#This Row],[ability]])+COUNTIF(Scenario3[loser2-ability4],DruidAbilities4Scenario3[[#This Row],[ability]])</f>
        <v>7</v>
      </c>
      <c r="M82" s="2">
        <f>COUNTIF(Scenario3[winner1-ability4],DruidAbilities4Scenario3[[#This Row],[ability]])</f>
        <v>2</v>
      </c>
      <c r="N82" s="12">
        <f>IF(SUM(DruidAbilities4Scenario3[[#This Row],[takes]]) &gt; 0,DruidAbilities4Scenario3[[#This Row],[takes]]/SUM(DruidAbilities4Scenario3[takes]),0)</f>
        <v>0.3888888888888889</v>
      </c>
      <c r="O82" s="12">
        <f>IF(DruidAbilities4Scenario3[[#This Row],[takes]]&gt;0,DruidAbilities4Scenario3[[#This Row],[wins]]/DruidAbilities4Scenario3[[#This Row],[takes]],0)</f>
        <v>0.2857142857142857</v>
      </c>
      <c r="S82" s="18"/>
    </row>
    <row r="83" spans="11:19" ht="15.75" thickBot="1" x14ac:dyDescent="0.3">
      <c r="K83" s="10" t="s">
        <v>129</v>
      </c>
      <c r="L83" s="2">
        <f>COUNTIF(Scenario3[winner1-ability4],DruidAbilities4Scenario3[[#This Row],[ability]])+COUNTIF(Scenario3[loser1-ability4],DruidAbilities4Scenario3[[#This Row],[ability]])+COUNTIF(Scenario3[loser2-ability4],DruidAbilities4Scenario3[[#This Row],[ability]])</f>
        <v>5</v>
      </c>
      <c r="M83" s="2">
        <f>COUNTIF(Scenario3[winner1-ability4],DruidAbilities4Scenario3[[#This Row],[ability]])</f>
        <v>0</v>
      </c>
      <c r="N83" s="26">
        <f>IF(SUM(DruidAbilities4Scenario3[[#This Row],[takes]]) &gt; 0,DruidAbilities4Scenario3[[#This Row],[takes]]/SUM(DruidAbilities4Scenario3[takes]),0)</f>
        <v>0.27777777777777779</v>
      </c>
      <c r="O83" s="26">
        <f>IF(DruidAbilities4Scenario3[[#This Row],[takes]]&gt;0,DruidAbilities4Scenario3[[#This Row],[wins]]/DruidAbilities4Scenario3[[#This Row],[takes]],0)</f>
        <v>0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7" t="s">
        <v>219</v>
      </c>
      <c r="L85" s="38"/>
      <c r="M85" s="38"/>
      <c r="N85" s="38"/>
      <c r="O85" s="38"/>
      <c r="P85" s="38"/>
      <c r="Q85" s="38"/>
      <c r="R85" s="38"/>
      <c r="S85" s="39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166</v>
      </c>
      <c r="S86" s="18" t="s">
        <v>164</v>
      </c>
    </row>
    <row r="87" spans="11:19" x14ac:dyDescent="0.25">
      <c r="K87" t="s">
        <v>49</v>
      </c>
      <c r="L87">
        <f>COUNTIF(Scenario4[winner1-ability1],DruidAbilities1Scenario4[[#This Row],[ability]])+COUNTIF(Scenario4[loser1-ability1],DruidAbilities1Scenario4[[#This Row],[ability]])+COUNTIF(Scenario4[loser2-ability1],DruidAbilities1Scenario4[[#This Row],[ability]])+COUNTIF(Scenario4[loser3-ability1],DruidAbilities1Scenario4[[#This Row],[ability]])</f>
        <v>0</v>
      </c>
      <c r="M87">
        <f>COUNTIF(Scenario4[winner1-ability1],DruidAbilities1Scenario4[[#This Row],[ability]])</f>
        <v>0</v>
      </c>
      <c r="N87" s="3">
        <f>IF(SUM(DruidAbilities1Scenario4[[#This Row],[takes]]) &gt; 0,DruidAbilities1Scenario4[[#This Row],[takes]]/SUM(DruidAbilities1Scenario4[takes]),0)</f>
        <v>0</v>
      </c>
      <c r="O87" s="3">
        <f>IF(DruidAbilities1Scenario4[[#This Row],[takes]]&gt;0,DruidAbilities1Scenario4[[#This Row],[wins]]/DruidAbilities1Scenario4[[#This Row],[takes]],0)</f>
        <v>0</v>
      </c>
      <c r="Q87">
        <v>1</v>
      </c>
      <c r="R87">
        <f>COUNTIFS(Scenario4[winner1],"druid",Scenario4[winner1-pw],DruidEquipScenario4[[#This Row],[level]])+COUNTIFS(Scenario4[loser1],"druid",Scenario4[loser1-pw],DruidEquipScenario4[[#This Row],[level]])+COUNTIFS(Scenario4[loser2],"druid",Scenario4[loser2-pw],DruidEquipScenario4[[#This Row],[level]])+COUNTIFS(Scenario4[loser3],"druid",Scenario4[loser3-pw],DruidEquipScenario4[[#This Row],[level]])</f>
        <v>6</v>
      </c>
      <c r="S87" s="18">
        <f>COUNTIFS(Scenario4[winner1],"druid",Scenario4[winner1-cp],DruidEquipScenario4[[#This Row],[level]])+COUNTIFS(Scenario4[loser1],"druid",Scenario4[loser1-cp],DruidEquipScenario4[[#This Row],[level]])+COUNTIFS(Scenario4[loser2],"druid",Scenario4[loser2-cp],DruidEquipScenario4[[#This Row],[level]])+COUNTIFS(Scenario4[loser3],"druid",Scenario4[loser3-cp],DruidEquipScenario4[[#This Row],[level]])</f>
        <v>6</v>
      </c>
    </row>
    <row r="88" spans="11:19" x14ac:dyDescent="0.25">
      <c r="K88" t="s">
        <v>89</v>
      </c>
      <c r="L88">
        <f>COUNTIF(Scenario4[winner1-ability1],DruidAbilities1Scenario4[[#This Row],[ability]])+COUNTIF(Scenario4[loser1-ability1],DruidAbilities1Scenario4[[#This Row],[ability]])+COUNTIF(Scenario4[loser2-ability1],DruidAbilities1Scenario4[[#This Row],[ability]])+COUNTIF(Scenario4[loser3-ability1],DruidAbilities1Scenario4[[#This Row],[ability]])</f>
        <v>2</v>
      </c>
      <c r="M88">
        <f>COUNTIF(Scenario4[winner1-ability1],DruidAbilities1Scenario4[[#This Row],[ability]])</f>
        <v>0</v>
      </c>
      <c r="N88" s="3">
        <f>IF(SUM(DruidAbilities1Scenario4[[#This Row],[takes]]) &gt; 0,DruidAbilities1Scenario4[[#This Row],[takes]]/SUM(DruidAbilities1Scenario4[takes]),0)</f>
        <v>5.7142857142857141E-2</v>
      </c>
      <c r="O88" s="3">
        <f>IF(DruidAbilities1Scenario4[[#This Row],[takes]]&gt;0,DruidAbilities1Scenario4[[#This Row],[wins]]/DruidAbilities1Scenario4[[#This Row],[takes]],0)</f>
        <v>0</v>
      </c>
      <c r="Q88">
        <v>2</v>
      </c>
      <c r="R88">
        <f>COUNTIFS(Scenario4[winner1],"druid",Scenario4[winner1-pw],DruidEquipScenario4[[#This Row],[level]])+COUNTIFS(Scenario4[loser1],"druid",Scenario4[loser1-pw],DruidEquipScenario4[[#This Row],[level]])+COUNTIFS(Scenario4[loser2],"druid",Scenario4[loser2-pw],DruidEquipScenario4[[#This Row],[level]])+COUNTIFS(Scenario4[loser3],"druid",Scenario4[loser3-pw],DruidEquipScenario4[[#This Row],[level]])</f>
        <v>6</v>
      </c>
      <c r="S88" s="18">
        <f>COUNTIFS(Scenario4[winner1],"druid",Scenario4[winner1-cp],DruidEquipScenario4[[#This Row],[level]])+COUNTIFS(Scenario4[loser1],"druid",Scenario4[loser1-cp],DruidEquipScenario4[[#This Row],[level]])+COUNTIFS(Scenario4[loser2],"druid",Scenario4[loser2-cp],DruidEquipScenario4[[#This Row],[level]])+COUNTIFS(Scenario4[loser3],"druid",Scenario4[loser3-cp],DruidEquipScenario4[[#This Row],[level]])</f>
        <v>8</v>
      </c>
    </row>
    <row r="89" spans="11:19" x14ac:dyDescent="0.25">
      <c r="K89" t="s">
        <v>126</v>
      </c>
      <c r="L89">
        <f>COUNTIF(Scenario4[winner1-ability1],DruidAbilities1Scenario4[[#This Row],[ability]])+COUNTIF(Scenario4[loser1-ability1],DruidAbilities1Scenario4[[#This Row],[ability]])+COUNTIF(Scenario4[loser2-ability1],DruidAbilities1Scenario4[[#This Row],[ability]])+COUNTIF(Scenario4[loser3-ability1],DruidAbilities1Scenario4[[#This Row],[ability]])</f>
        <v>33</v>
      </c>
      <c r="M89">
        <f>COUNTIF(Scenario4[winner1-ability1],DruidAbilities1Scenario4[[#This Row],[ability]])</f>
        <v>6</v>
      </c>
      <c r="N89" s="3">
        <f>IF(SUM(DruidAbilities1Scenario4[[#This Row],[takes]]) &gt; 0,DruidAbilities1Scenario4[[#This Row],[takes]]/SUM(DruidAbilities1Scenario4[takes]),0)</f>
        <v>0.94285714285714284</v>
      </c>
      <c r="O89" s="3">
        <f>IF(DruidAbilities1Scenario4[[#This Row],[takes]]&gt;0,DruidAbilities1Scenario4[[#This Row],[wins]]/DruidAbilities1Scenario4[[#This Row],[takes]],0)</f>
        <v>0.18181818181818182</v>
      </c>
      <c r="Q89">
        <v>3</v>
      </c>
      <c r="R89">
        <f>COUNTIFS(Scenario4[winner1],"druid",Scenario4[winner1-pw],DruidEquipScenario4[[#This Row],[level]])+COUNTIFS(Scenario4[loser1],"druid",Scenario4[loser1-pw],DruidEquipScenario4[[#This Row],[level]])+COUNTIFS(Scenario4[loser2],"druid",Scenario4[loser2-pw],DruidEquipScenario4[[#This Row],[level]])+COUNTIFS(Scenario4[loser3],"druid",Scenario4[loser3-pw],DruidEquipScenario4[[#This Row],[level]])</f>
        <v>23</v>
      </c>
      <c r="S89" s="18">
        <f>COUNTIFS(Scenario4[winner1],"druid",Scenario4[winner1-cp],DruidEquipScenario4[[#This Row],[level]])+COUNTIFS(Scenario4[loser1],"druid",Scenario4[loser1-cp],DruidEquipScenario4[[#This Row],[level]])+COUNTIFS(Scenario4[loser2],"druid",Scenario4[loser2-cp],DruidEquipScenario4[[#This Row],[level]])+COUNTIFS(Scenario4[loser3],"druid",Scenario4[loser3-cp],DruidEquipScenario4[[#This Row],[level]])</f>
        <v>21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" t="s">
        <v>71</v>
      </c>
      <c r="L92" s="2">
        <f>COUNTIF(Scenario4[winner1-ability2],DruidAbilities2Scenario4[[#This Row],[ability]])+COUNTIF(Scenario4[loser1-ability2],DruidAbilities2Scenario4[[#This Row],[ability]])+COUNTIF(Scenario4[loser2-ability2],DruidAbilities2Scenario4[[#This Row],[ability]])+COUNTIF(Scenario4[loser3-ability2],DruidAbilities2Scenario4[[#This Row],[ability]])</f>
        <v>20</v>
      </c>
      <c r="M92" s="2">
        <f>COUNTIF(Scenario4[winner1-ability2],DruidAbilities2Scenario4[[#This Row],[ability]])</f>
        <v>6</v>
      </c>
      <c r="N92" s="12">
        <f>IF(SUM(DruidAbilities2Scenario4[[#This Row],[takes]]) &gt; 0,DruidAbilities2Scenario4[[#This Row],[takes]]/SUM(DruidAbilities2Scenario4[takes]),0)</f>
        <v>0.64516129032258063</v>
      </c>
      <c r="O92" s="12">
        <f>IF(DruidAbilities2Scenario4[[#This Row],[takes]]&gt;0,DruidAbilities2Scenario4[[#This Row],[wins]]/DruidAbilities2Scenario4[[#This Row],[takes]],0)</f>
        <v>0.3</v>
      </c>
      <c r="S92" s="18"/>
    </row>
    <row r="93" spans="11:19" x14ac:dyDescent="0.25">
      <c r="K93" t="s">
        <v>50</v>
      </c>
      <c r="L93" s="2">
        <f>COUNTIF(Scenario4[winner1-ability2],DruidAbilities2Scenario4[[#This Row],[ability]])+COUNTIF(Scenario4[loser1-ability2],DruidAbilities2Scenario4[[#This Row],[ability]])+COUNTIF(Scenario4[loser2-ability2],DruidAbilities2Scenario4[[#This Row],[ability]])+COUNTIF(Scenario4[loser3-ability2],DruidAbilities2Scenario4[[#This Row],[ability]])</f>
        <v>4</v>
      </c>
      <c r="M93" s="2">
        <f>COUNTIF(Scenario4[winner1-ability2],DruidAbilities2Scenario4[[#This Row],[ability]])</f>
        <v>0</v>
      </c>
      <c r="N93" s="3">
        <f>IF(SUM(DruidAbilities2Scenario4[[#This Row],[takes]]) &gt; 0,DruidAbilities2Scenario4[[#This Row],[takes]]/SUM(DruidAbilities2Scenario4[takes]),0)</f>
        <v>0.12903225806451613</v>
      </c>
      <c r="O93" s="3">
        <f>IF(DruidAbilities2Scenario4[[#This Row],[takes]]&gt;0,DruidAbilities2Scenario4[[#This Row],[wins]]/DruidAbilities2Scenario4[[#This Row],[takes]],0)</f>
        <v>0</v>
      </c>
      <c r="S93" s="18"/>
    </row>
    <row r="94" spans="11:19" x14ac:dyDescent="0.25">
      <c r="K94" s="10" t="s">
        <v>84</v>
      </c>
      <c r="L94" s="2">
        <f>COUNTIF(Scenario4[winner1-ability2],DruidAbilities2Scenario4[[#This Row],[ability]])+COUNTIF(Scenario4[loser1-ability2],DruidAbilities2Scenario4[[#This Row],[ability]])+COUNTIF(Scenario4[loser2-ability2],DruidAbilities2Scenario4[[#This Row],[ability]])+COUNTIF(Scenario4[loser3-ability2],DruidAbilities2Scenario4[[#This Row],[ability]])</f>
        <v>7</v>
      </c>
      <c r="M94" s="2">
        <f>COUNTIF(Scenario4[winner1-ability2],DruidAbilities2Scenario4[[#This Row],[ability]])</f>
        <v>0</v>
      </c>
      <c r="N94" s="13">
        <f>IF(SUM(DruidAbilities2Scenario4[[#This Row],[takes]]) &gt; 0,DruidAbilities2Scenario4[[#This Row],[takes]]/SUM(DruidAbilities2Scenario4[takes]),0)</f>
        <v>0.22580645161290322</v>
      </c>
      <c r="O94" s="13">
        <f>IF(DruidAbilities2Scenario4[[#This Row],[takes]]&gt;0,DruidAbilities2Scenario4[[#This Row],[wins]]/DruidAbilities2Scenario4[[#This Row],[takes]],0)</f>
        <v>0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1" t="s">
        <v>51</v>
      </c>
      <c r="L97" s="1">
        <f>COUNTIF(Scenario4[winner1-ability3],DruidAbilities3Scenario4[[#This Row],[ability]])+COUNTIF(Scenario4[loser1-ability3],DruidAbilities3Scenario4[[#This Row],[ability]])+COUNTIF(Scenario4[loser2-ability3],DruidAbilities3Scenario4[[#This Row],[ability]])+COUNTIF(Scenario4[loser3-ability3],DruidAbilities3Scenario4[[#This Row],[ability]])</f>
        <v>16</v>
      </c>
      <c r="M97" s="1">
        <f>COUNTIF(Scenario4[winner1-ability3],DruidAbilities3Scenario4[[#This Row],[ability]])</f>
        <v>2</v>
      </c>
      <c r="N97" s="14">
        <f>IF(SUM(DruidAbilities3Scenario4[[#This Row],[takes]]) &gt; 0,DruidAbilities3Scenario4[[#This Row],[takes]]/SUM(DruidAbilities3Scenario4[takes]),0)</f>
        <v>0.61538461538461542</v>
      </c>
      <c r="O97" s="14">
        <f>IF(DruidAbilities3Scenario4[[#This Row],[takes]]&gt;0,DruidAbilities3Scenario4[[#This Row],[wins]]/DruidAbilities3Scenario4[[#This Row],[takes]],0)</f>
        <v>0.125</v>
      </c>
      <c r="S97" s="18"/>
    </row>
    <row r="98" spans="11:19" x14ac:dyDescent="0.25">
      <c r="K98" s="2" t="s">
        <v>127</v>
      </c>
      <c r="L98" s="2">
        <f>COUNTIF(Scenario4[winner1-ability3],DruidAbilities3Scenario4[[#This Row],[ability]])+COUNTIF(Scenario4[loser1-ability3],DruidAbilities3Scenario4[[#This Row],[ability]])+COUNTIF(Scenario4[loser2-ability3],DruidAbilities3Scenario4[[#This Row],[ability]])+COUNTIF(Scenario4[loser3-ability3],DruidAbilities3Scenario4[[#This Row],[ability]])</f>
        <v>5</v>
      </c>
      <c r="M98" s="2">
        <f>COUNTIF(Scenario4[winner1-ability3],DruidAbilities3Scenario4[[#This Row],[ability]])</f>
        <v>0</v>
      </c>
      <c r="N98" s="12">
        <f>IF(SUM(DruidAbilities3Scenario4[[#This Row],[takes]]) &gt; 0,DruidAbilities3Scenario4[[#This Row],[takes]]/SUM(DruidAbilities3Scenario4[takes]),0)</f>
        <v>0.19230769230769232</v>
      </c>
      <c r="O98" s="12">
        <f>IF(DruidAbilities3Scenario4[[#This Row],[takes]]&gt;0,DruidAbilities3Scenario4[[#This Row],[wins]]/DruidAbilities3Scenario4[[#This Row],[takes]],0)</f>
        <v>0</v>
      </c>
      <c r="S98" s="18"/>
    </row>
    <row r="99" spans="11:19" x14ac:dyDescent="0.25">
      <c r="K99" s="11" t="s">
        <v>90</v>
      </c>
      <c r="L99" s="1">
        <f>COUNTIF(Scenario4[winner1-ability3],DruidAbilities3Scenario4[[#This Row],[ability]])+COUNTIF(Scenario4[loser1-ability3],DruidAbilities3Scenario4[[#This Row],[ability]])+COUNTIF(Scenario4[loser2-ability3],DruidAbilities3Scenario4[[#This Row],[ability]])+COUNTIF(Scenario4[loser3-ability3],DruidAbilities3Scenario4[[#This Row],[ability]])</f>
        <v>5</v>
      </c>
      <c r="M99" s="1">
        <f>COUNTIF(Scenario4[winner1-ability3],DruidAbilities3Scenario4[[#This Row],[ability]])</f>
        <v>4</v>
      </c>
      <c r="N99" s="15">
        <f>IF(SUM(DruidAbilities3Scenario4[[#This Row],[takes]]) &gt; 0,DruidAbilities3Scenario4[[#This Row],[takes]]/SUM(DruidAbilities3Scenario4[takes]),0)</f>
        <v>0.19230769230769232</v>
      </c>
      <c r="O99" s="15">
        <f>IF(DruidAbilities3Scenario4[[#This Row],[takes]]&gt;0,DruidAbilities3Scenario4[[#This Row],[wins]]/DruidAbilities3Scenario4[[#This Row],[takes]],0)</f>
        <v>0.8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" t="s">
        <v>128</v>
      </c>
      <c r="L102" s="2">
        <f>COUNTIF(Scenario4[winner1-ability4],DruidAbilities4Scenario4[[#This Row],[ability]])+COUNTIF(Scenario4[loser1-ability4],DruidAbilities4Scenario4[[#This Row],[ability]])+COUNTIF(Scenario4[loser2-ability4],DruidAbilities4Scenario4[[#This Row],[ability]])+COUNTIF(Scenario4[loser3-ability4],DruidAbilities4Scenario4[[#This Row],[ability]])</f>
        <v>12</v>
      </c>
      <c r="M102" s="2">
        <f>COUNTIF(Scenario4[winner1-ability4],DruidAbilities4Scenario4[[#This Row],[ability]])</f>
        <v>3</v>
      </c>
      <c r="N102" s="12">
        <f>IF(SUM(DruidAbilities4Scenario4[[#This Row],[takes]]) &gt; 0,DruidAbilities4Scenario4[[#This Row],[takes]]/SUM(DruidAbilities4Scenario4[takes]),0)</f>
        <v>0.48</v>
      </c>
      <c r="O102" s="12">
        <f>IF(DruidAbilities4Scenario4[[#This Row],[takes]]&gt;0,DruidAbilities4Scenario4[[#This Row],[wins]]/DruidAbilities4Scenario4[[#This Row],[takes]],0)</f>
        <v>0.25</v>
      </c>
      <c r="S102" s="18"/>
    </row>
    <row r="103" spans="11:19" x14ac:dyDescent="0.25">
      <c r="K103" s="2" t="s">
        <v>52</v>
      </c>
      <c r="L103" s="2">
        <f>COUNTIF(Scenario4[winner1-ability4],DruidAbilities4Scenario4[[#This Row],[ability]])+COUNTIF(Scenario4[loser1-ability4],DruidAbilities4Scenario4[[#This Row],[ability]])+COUNTIF(Scenario4[loser2-ability4],DruidAbilities4Scenario4[[#This Row],[ability]])+COUNTIF(Scenario4[loser3-ability4],DruidAbilities4Scenario4[[#This Row],[ability]])</f>
        <v>12</v>
      </c>
      <c r="M103" s="2">
        <f>COUNTIF(Scenario4[winner1-ability4],DruidAbilities4Scenario4[[#This Row],[ability]])</f>
        <v>3</v>
      </c>
      <c r="N103" s="12">
        <f>IF(SUM(DruidAbilities4Scenario4[[#This Row],[takes]]) &gt; 0,DruidAbilities4Scenario4[[#This Row],[takes]]/SUM(DruidAbilities4Scenario4[takes]),0)</f>
        <v>0.48</v>
      </c>
      <c r="O103" s="12">
        <f>IF(DruidAbilities4Scenario4[[#This Row],[takes]]&gt;0,DruidAbilities4Scenario4[[#This Row],[wins]]/DruidAbilities4Scenario4[[#This Row],[takes]],0)</f>
        <v>0.25</v>
      </c>
      <c r="S103" s="18"/>
    </row>
    <row r="104" spans="11:19" ht="15.75" thickBot="1" x14ac:dyDescent="0.3">
      <c r="K104" s="10" t="s">
        <v>129</v>
      </c>
      <c r="L104" s="2">
        <f>COUNTIF(Scenario4[winner1-ability4],DruidAbilities4Scenario4[[#This Row],[ability]])+COUNTIF(Scenario4[loser1-ability4],DruidAbilities4Scenario4[[#This Row],[ability]])+COUNTIF(Scenario4[loser2-ability4],DruidAbilities4Scenario4[[#This Row],[ability]])+COUNTIF(Scenario4[loser3-ability4],DruidAbilities4Scenario4[[#This Row],[ability]])</f>
        <v>1</v>
      </c>
      <c r="M104" s="2">
        <f>COUNTIF(Scenario4[winner1-ability4],DruidAbilities4Scenario4[[#This Row],[ability]])</f>
        <v>0</v>
      </c>
      <c r="N104" s="26">
        <f>IF(SUM(DruidAbilities4Scenario4[[#This Row],[takes]]) &gt; 0,DruidAbilities4Scenario4[[#This Row],[takes]]/SUM(DruidAbilities4Scenario4[takes]),0)</f>
        <v>0.04</v>
      </c>
      <c r="O104" s="26">
        <f>IF(DruidAbilities4Scenario4[[#This Row],[takes]]&gt;0,DruidAbilities4Scenario4[[#This Row],[wins]]/DruidAbilities4Scenario4[[#This Row],[takes]],0)</f>
        <v>0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7" t="s">
        <v>220</v>
      </c>
      <c r="L106" s="38"/>
      <c r="M106" s="38"/>
      <c r="N106" s="38"/>
      <c r="O106" s="38"/>
      <c r="P106" s="38"/>
      <c r="Q106" s="38"/>
      <c r="R106" s="38"/>
      <c r="S106" s="39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166</v>
      </c>
      <c r="S107" s="18" t="s">
        <v>164</v>
      </c>
    </row>
    <row r="108" spans="11:19" x14ac:dyDescent="0.25">
      <c r="K108" t="s">
        <v>49</v>
      </c>
      <c r="L108">
        <f>COUNTIF(Scenario5[winner1-ability1],DruidAbilities1Scenario5[[#This Row],[ability]])+COUNTIF(Scenario5[winner2-ability1],DruidAbilities1Scenario5[[#This Row],[ability]])+COUNTIF(Scenario5[loser1-ability1],DruidAbilities1Scenario5[[#This Row],[ability]])+COUNTIF(Scenario5[loser2-ability1],DruidAbilities1Scenario5[[#This Row],[ability]])</f>
        <v>12</v>
      </c>
      <c r="M108">
        <f>COUNTIF(Scenario5[winner1-ability1],DruidAbilities1Scenario5[[#This Row],[ability]])+COUNTIF(Scenario5[winner2-ability1],DruidAbilities1Scenario5[[#This Row],[ability]])</f>
        <v>6</v>
      </c>
      <c r="N108" s="3">
        <f>IF(SUM(DruidAbilities1Scenario5[[#This Row],[takes]]) &gt; 0,DruidAbilities1Scenario5[[#This Row],[takes]]/SUM(DruidAbilities1Scenario5[takes]),0)</f>
        <v>0.11428571428571428</v>
      </c>
      <c r="O108" s="3">
        <f>IF(DruidAbilities1Scenario5[[#This Row],[takes]]&gt;0,DruidAbilities1Scenario5[[#This Row],[wins]]/DruidAbilities1Scenario5[[#This Row],[takes]],0)</f>
        <v>0.5</v>
      </c>
      <c r="Q108">
        <v>1</v>
      </c>
      <c r="R108">
        <f>COUNTIFS(Scenario5[winner1],"druid",Scenario5[winner1-pw],DruidEquipScenario5[[#This Row],[level]])+COUNTIFS(Scenario5[winner2],"druid",Scenario5[winner2-pw],DruidEquipScenario5[[#This Row],[level]])+COUNTIFS(Scenario5[loser1],"druid",Scenario5[loser1-pw],DruidEquipScenario5[[#This Row],[level]])+COUNTIFS(Scenario5[loser2],"druid",Scenario5[loser2-pw],DruidEquipScenario5[[#This Row],[level]])</f>
        <v>58</v>
      </c>
      <c r="S108" s="18">
        <f>COUNTIFS(Scenario5[winner1],"druid",Scenario5[winner1-cp],DruidEquipScenario5[[#This Row],[level]])+COUNTIFS(Scenario5[winner2],"druid",Scenario5[winner2-cp],DruidEquipScenario5[[#This Row],[level]])+COUNTIFS(Scenario5[loser1],"druid",Scenario5[loser1-cp],DruidEquipScenario5[[#This Row],[level]])+COUNTIFS(Scenario5[loser2],"druid",Scenario5[loser2-cp],DruidEquipScenario5[[#This Row],[level]])</f>
        <v>82</v>
      </c>
    </row>
    <row r="109" spans="11:19" x14ac:dyDescent="0.25">
      <c r="K109" t="s">
        <v>89</v>
      </c>
      <c r="L109">
        <f>COUNTIF(Scenario5[winner1-ability1],DruidAbilities1Scenario5[[#This Row],[ability]])+COUNTIF(Scenario5[winner2-ability1],DruidAbilities1Scenario5[[#This Row],[ability]])+COUNTIF(Scenario5[loser1-ability1],DruidAbilities1Scenario5[[#This Row],[ability]])+COUNTIF(Scenario5[loser2-ability1],DruidAbilities1Scenario5[[#This Row],[ability]])</f>
        <v>59</v>
      </c>
      <c r="M109">
        <f>COUNTIF(Scenario5[winner1-ability1],DruidAbilities1Scenario5[[#This Row],[ability]])+COUNTIF(Scenario5[winner2-ability1],DruidAbilities1Scenario5[[#This Row],[ability]])</f>
        <v>24</v>
      </c>
      <c r="N109" s="3">
        <f>IF(SUM(DruidAbilities1Scenario5[[#This Row],[takes]]) &gt; 0,DruidAbilities1Scenario5[[#This Row],[takes]]/SUM(DruidAbilities1Scenario5[takes]),0)</f>
        <v>0.56190476190476191</v>
      </c>
      <c r="O109" s="3">
        <f>IF(DruidAbilities1Scenario5[[#This Row],[takes]]&gt;0,DruidAbilities1Scenario5[[#This Row],[wins]]/DruidAbilities1Scenario5[[#This Row],[takes]],0)</f>
        <v>0.40677966101694918</v>
      </c>
      <c r="Q109">
        <v>2</v>
      </c>
      <c r="R109">
        <f>COUNTIFS(Scenario5[winner1],"druid",Scenario5[winner1-pw],DruidEquipScenario5[[#This Row],[level]])+COUNTIFS(Scenario5[winner2],"druid",Scenario5[winner2-pw],DruidEquipScenario5[[#This Row],[level]])+COUNTIFS(Scenario5[loser1],"druid",Scenario5[loser1-pw],DruidEquipScenario5[[#This Row],[level]])+COUNTIFS(Scenario5[loser2],"druid",Scenario5[loser2-pw],DruidEquipScenario5[[#This Row],[level]])</f>
        <v>33</v>
      </c>
      <c r="S109" s="18">
        <f>COUNTIFS(Scenario5[winner1],"druid",Scenario5[winner1-cp],DruidEquipScenario5[[#This Row],[level]])+COUNTIFS(Scenario5[winner2],"druid",Scenario5[winner2-cp],DruidEquipScenario5[[#This Row],[level]])+COUNTIFS(Scenario5[loser1],"druid",Scenario5[loser1-cp],DruidEquipScenario5[[#This Row],[level]])+COUNTIFS(Scenario5[loser2],"druid",Scenario5[loser2-cp],DruidEquipScenario5[[#This Row],[level]])</f>
        <v>17</v>
      </c>
    </row>
    <row r="110" spans="11:19" x14ac:dyDescent="0.25">
      <c r="K110" t="s">
        <v>126</v>
      </c>
      <c r="L110">
        <f>COUNTIF(Scenario5[winner1-ability1],DruidAbilities1Scenario5[[#This Row],[ability]])+COUNTIF(Scenario5[winner2-ability1],DruidAbilities1Scenario5[[#This Row],[ability]])+COUNTIF(Scenario5[loser1-ability1],DruidAbilities1Scenario5[[#This Row],[ability]])+COUNTIF(Scenario5[loser2-ability1],DruidAbilities1Scenario5[[#This Row],[ability]])</f>
        <v>34</v>
      </c>
      <c r="M110">
        <f>COUNTIF(Scenario5[winner1-ability1],DruidAbilities1Scenario5[[#This Row],[ability]])+COUNTIF(Scenario5[winner2-ability1],DruidAbilities1Scenario5[[#This Row],[ability]])</f>
        <v>9</v>
      </c>
      <c r="N110" s="3">
        <f>IF(SUM(DruidAbilities1Scenario5[[#This Row],[takes]]) &gt; 0,DruidAbilities1Scenario5[[#This Row],[takes]]/SUM(DruidAbilities1Scenario5[takes]),0)</f>
        <v>0.32380952380952382</v>
      </c>
      <c r="O110" s="3">
        <f>IF(DruidAbilities1Scenario5[[#This Row],[takes]]&gt;0,DruidAbilities1Scenario5[[#This Row],[wins]]/DruidAbilities1Scenario5[[#This Row],[takes]],0)</f>
        <v>0.26470588235294118</v>
      </c>
      <c r="Q110">
        <v>3</v>
      </c>
      <c r="R110">
        <f>COUNTIFS(Scenario5[winner1],"druid",Scenario5[winner1-pw],DruidEquipScenario5[[#This Row],[level]])+COUNTIFS(Scenario5[winner2],"druid",Scenario5[winner2-pw],DruidEquipScenario5[[#This Row],[level]])+COUNTIFS(Scenario5[loser1],"druid",Scenario5[loser1-pw],DruidEquipScenario5[[#This Row],[level]])+COUNTIFS(Scenario5[loser2],"druid",Scenario5[loser2-pw],DruidEquipScenario5[[#This Row],[level]])</f>
        <v>14</v>
      </c>
      <c r="S110" s="18">
        <f>COUNTIFS(Scenario5[winner1],"druid",Scenario5[winner1-cp],DruidEquipScenario5[[#This Row],[level]])+COUNTIFS(Scenario5[winner2],"druid",Scenario5[winner2-cp],DruidEquipScenario5[[#This Row],[level]])+COUNTIFS(Scenario5[loser1],"druid",Scenario5[loser1-cp],DruidEquipScenario5[[#This Row],[level]])+COUNTIFS(Scenario5[loser2],"druid",Scenario5[loser2-cp],DruidEquipScenario5[[#This Row],[level]])</f>
        <v>6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" t="s">
        <v>71</v>
      </c>
      <c r="L113" s="2">
        <f>COUNTIF(Scenario5[winner1-ability2],DruidAbilities2Scenario5[[#This Row],[ability]])+COUNTIF(Scenario5[winner2-ability2],DruidAbilities2Scenario5[[#This Row],[ability]])+COUNTIF(Scenario5[loser1-ability2],DruidAbilities2Scenario5[[#This Row],[ability]])+COUNTIF(Scenario5[loser2-ability2],DruidAbilities2Scenario5[[#This Row],[ability]])</f>
        <v>24</v>
      </c>
      <c r="M113" s="2">
        <f>COUNTIF(Scenario5[winner1-ability2],DruidAbilities2Scenario5[[#This Row],[ability]])+COUNTIF(Scenario5[winner2-ability2],DruidAbilities2Scenario5[[#This Row],[ability]])</f>
        <v>11</v>
      </c>
      <c r="N113" s="12">
        <f>IF(SUM(DruidAbilities2Scenario5[[#This Row],[takes]]) &gt; 0,DruidAbilities2Scenario5[[#This Row],[takes]]/SUM(DruidAbilities2Scenario5[takes]),0)</f>
        <v>0.24742268041237114</v>
      </c>
      <c r="O113" s="12">
        <f>IF(DruidAbilities2Scenario5[[#This Row],[takes]]&gt;0,DruidAbilities2Scenario5[[#This Row],[wins]]/DruidAbilities2Scenario5[[#This Row],[takes]],0)</f>
        <v>0.45833333333333331</v>
      </c>
      <c r="S113" s="18"/>
    </row>
    <row r="114" spans="11:19" x14ac:dyDescent="0.25">
      <c r="K114" t="s">
        <v>50</v>
      </c>
      <c r="L114" s="2">
        <f>COUNTIF(Scenario5[winner1-ability2],DruidAbilities2Scenario5[[#This Row],[ability]])+COUNTIF(Scenario5[winner2-ability2],DruidAbilities2Scenario5[[#This Row],[ability]])+COUNTIF(Scenario5[loser1-ability2],DruidAbilities2Scenario5[[#This Row],[ability]])+COUNTIF(Scenario5[loser2-ability2],DruidAbilities2Scenario5[[#This Row],[ability]])</f>
        <v>36</v>
      </c>
      <c r="M114" s="2">
        <f>COUNTIF(Scenario5[winner1-ability2],DruidAbilities2Scenario5[[#This Row],[ability]])+COUNTIF(Scenario5[winner2-ability2],DruidAbilities2Scenario5[[#This Row],[ability]])</f>
        <v>12</v>
      </c>
      <c r="N114" s="3">
        <f>IF(SUM(DruidAbilities2Scenario5[[#This Row],[takes]]) &gt; 0,DruidAbilities2Scenario5[[#This Row],[takes]]/SUM(DruidAbilities2Scenario5[takes]),0)</f>
        <v>0.37113402061855671</v>
      </c>
      <c r="O114" s="3">
        <f>IF(DruidAbilities2Scenario5[[#This Row],[takes]]&gt;0,DruidAbilities2Scenario5[[#This Row],[wins]]/DruidAbilities2Scenario5[[#This Row],[takes]],0)</f>
        <v>0.33333333333333331</v>
      </c>
      <c r="S114" s="18"/>
    </row>
    <row r="115" spans="11:19" x14ac:dyDescent="0.25">
      <c r="K115" s="10" t="s">
        <v>84</v>
      </c>
      <c r="L115" s="2">
        <f>COUNTIF(Scenario5[winner1-ability2],DruidAbilities2Scenario5[[#This Row],[ability]])+COUNTIF(Scenario5[winner2-ability2],DruidAbilities2Scenario5[[#This Row],[ability]])+COUNTIF(Scenario5[loser1-ability2],DruidAbilities2Scenario5[[#This Row],[ability]])+COUNTIF(Scenario5[loser2-ability2],DruidAbilities2Scenario5[[#This Row],[ability]])</f>
        <v>37</v>
      </c>
      <c r="M115" s="2">
        <f>COUNTIF(Scenario5[winner1-ability2],DruidAbilities2Scenario5[[#This Row],[ability]])+COUNTIF(Scenario5[winner2-ability2],DruidAbilities2Scenario5[[#This Row],[ability]])</f>
        <v>16</v>
      </c>
      <c r="N115" s="13">
        <f>IF(SUM(DruidAbilities2Scenario5[[#This Row],[takes]]) &gt; 0,DruidAbilities2Scenario5[[#This Row],[takes]]/SUM(DruidAbilities2Scenario5[takes]),0)</f>
        <v>0.38144329896907214</v>
      </c>
      <c r="O115" s="13">
        <f>IF(DruidAbilities2Scenario5[[#This Row],[takes]]&gt;0,DruidAbilities2Scenario5[[#This Row],[wins]]/DruidAbilities2Scenario5[[#This Row],[takes]],0)</f>
        <v>0.43243243243243246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1" t="s">
        <v>51</v>
      </c>
      <c r="L118" s="1">
        <f>COUNTIF(Scenario5[winner1-ability3],DruidAbilities3Scenario5[[#This Row],[ability]])+COUNTIF(Scenario5[winner2-ability3],DruidAbilities3Scenario5[[#This Row],[ability]])+COUNTIF(Scenario5[loser1-ability3],DruidAbilities3Scenario5[[#This Row],[ability]])+COUNTIF(Scenario5[loser2-ability3],DruidAbilities3Scenario5[[#This Row],[ability]])</f>
        <v>29</v>
      </c>
      <c r="M118" s="1">
        <f>COUNTIF(Scenario5[winner1-ability3],DruidAbilities3Scenario5[[#This Row],[ability]])+COUNTIF(Scenario5[winner2-ability3],DruidAbilities3Scenario5[[#This Row],[ability]])</f>
        <v>19</v>
      </c>
      <c r="N118" s="14">
        <f>IF(SUM(DruidAbilities3Scenario5[[#This Row],[takes]]) &gt; 0,DruidAbilities3Scenario5[[#This Row],[takes]]/SUM(DruidAbilities3Scenario5[takes]),0)</f>
        <v>0.37662337662337664</v>
      </c>
      <c r="O118" s="14">
        <f>IF(DruidAbilities3Scenario5[[#This Row],[takes]]&gt;0,DruidAbilities3Scenario5[[#This Row],[wins]]/DruidAbilities3Scenario5[[#This Row],[takes]],0)</f>
        <v>0.65517241379310343</v>
      </c>
      <c r="S118" s="18"/>
    </row>
    <row r="119" spans="11:19" x14ac:dyDescent="0.25">
      <c r="K119" s="2" t="s">
        <v>127</v>
      </c>
      <c r="L119" s="2">
        <f>COUNTIF(Scenario5[winner1-ability3],DruidAbilities3Scenario5[[#This Row],[ability]])+COUNTIF(Scenario5[winner2-ability3],DruidAbilities3Scenario5[[#This Row],[ability]])+COUNTIF(Scenario5[loser1-ability3],DruidAbilities3Scenario5[[#This Row],[ability]])+COUNTIF(Scenario5[loser2-ability3],DruidAbilities3Scenario5[[#This Row],[ability]])</f>
        <v>25</v>
      </c>
      <c r="M119" s="2">
        <f>COUNTIF(Scenario5[winner1-ability3],DruidAbilities3Scenario5[[#This Row],[ability]])+COUNTIF(Scenario5[winner2-ability3],DruidAbilities3Scenario5[[#This Row],[ability]])</f>
        <v>8</v>
      </c>
      <c r="N119" s="12">
        <f>IF(SUM(DruidAbilities3Scenario5[[#This Row],[takes]]) &gt; 0,DruidAbilities3Scenario5[[#This Row],[takes]]/SUM(DruidAbilities3Scenario5[takes]),0)</f>
        <v>0.32467532467532467</v>
      </c>
      <c r="O119" s="12">
        <f>IF(DruidAbilities3Scenario5[[#This Row],[takes]]&gt;0,DruidAbilities3Scenario5[[#This Row],[wins]]/DruidAbilities3Scenario5[[#This Row],[takes]],0)</f>
        <v>0.32</v>
      </c>
      <c r="S119" s="18"/>
    </row>
    <row r="120" spans="11:19" x14ac:dyDescent="0.25">
      <c r="K120" s="11" t="s">
        <v>90</v>
      </c>
      <c r="L120" s="1">
        <f>COUNTIF(Scenario5[winner1-ability3],DruidAbilities3Scenario5[[#This Row],[ability]])+COUNTIF(Scenario5[winner2-ability3],DruidAbilities3Scenario5[[#This Row],[ability]])+COUNTIF(Scenario5[loser1-ability3],DruidAbilities3Scenario5[[#This Row],[ability]])+COUNTIF(Scenario5[loser2-ability3],DruidAbilities3Scenario5[[#This Row],[ability]])</f>
        <v>23</v>
      </c>
      <c r="M120" s="1">
        <f>COUNTIF(Scenario5[winner1-ability3],DruidAbilities3Scenario5[[#This Row],[ability]])+COUNTIF(Scenario5[winner2-ability3],DruidAbilities3Scenario5[[#This Row],[ability]])</f>
        <v>8</v>
      </c>
      <c r="N120" s="15">
        <f>IF(SUM(DruidAbilities3Scenario5[[#This Row],[takes]]) &gt; 0,DruidAbilities3Scenario5[[#This Row],[takes]]/SUM(DruidAbilities3Scenario5[takes]),0)</f>
        <v>0.29870129870129869</v>
      </c>
      <c r="O120" s="15">
        <f>IF(DruidAbilities3Scenario5[[#This Row],[takes]]&gt;0,DruidAbilities3Scenario5[[#This Row],[wins]]/DruidAbilities3Scenario5[[#This Row],[takes]],0)</f>
        <v>0.34782608695652173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" t="s">
        <v>128</v>
      </c>
      <c r="L123" s="2">
        <f>COUNTIF(Scenario5[winner1-ability4],DruidAbilities4Scenario5[[#This Row],[ability]])+COUNTIF(Scenario5[winner2-ability4],DruidAbilities4Scenario5[[#This Row],[ability]])+COUNTIF(Scenario5[loser1-ability4],DruidAbilities4Scenario5[[#This Row],[ability]])+COUNTIF(Scenario5[loser2-ability4],DruidAbilities4Scenario5[[#This Row],[ability]])</f>
        <v>13</v>
      </c>
      <c r="M123" s="2">
        <f>COUNTIF(Scenario5[winner1-ability4],DruidAbilities4Scenario5[[#This Row],[ability]])+COUNTIF(Scenario5[winner2-ability4],DruidAbilities4Scenario5[[#This Row],[ability]])</f>
        <v>8</v>
      </c>
      <c r="N123" s="12">
        <f>IF(SUM(DruidAbilities4Scenario5[[#This Row],[takes]]) &gt; 0,DruidAbilities4Scenario5[[#This Row],[takes]]/SUM(DruidAbilities4Scenario5[takes]),0)</f>
        <v>0.22413793103448276</v>
      </c>
      <c r="O123" s="12">
        <f>IF(DruidAbilities4Scenario5[[#This Row],[takes]]&gt;0,DruidAbilities4Scenario5[[#This Row],[wins]]/DruidAbilities4Scenario5[[#This Row],[takes]],0)</f>
        <v>0.61538461538461542</v>
      </c>
      <c r="S123" s="18"/>
    </row>
    <row r="124" spans="11:19" x14ac:dyDescent="0.25">
      <c r="K124" s="2" t="s">
        <v>52</v>
      </c>
      <c r="L124" s="2">
        <f>COUNTIF(Scenario5[winner1-ability4],DruidAbilities4Scenario5[[#This Row],[ability]])+COUNTIF(Scenario5[winner2-ability4],DruidAbilities4Scenario5[[#This Row],[ability]])+COUNTIF(Scenario5[loser1-ability4],DruidAbilities4Scenario5[[#This Row],[ability]])+COUNTIF(Scenario5[loser2-ability4],DruidAbilities4Scenario5[[#This Row],[ability]])</f>
        <v>19</v>
      </c>
      <c r="M124" s="2">
        <f>COUNTIF(Scenario5[winner1-ability4],DruidAbilities4Scenario5[[#This Row],[ability]])+COUNTIF(Scenario5[winner2-ability4],DruidAbilities4Scenario5[[#This Row],[ability]])</f>
        <v>6</v>
      </c>
      <c r="N124" s="12">
        <f>IF(SUM(DruidAbilities4Scenario5[[#This Row],[takes]]) &gt; 0,DruidAbilities4Scenario5[[#This Row],[takes]]/SUM(DruidAbilities4Scenario5[takes]),0)</f>
        <v>0.32758620689655171</v>
      </c>
      <c r="O124" s="12">
        <f>IF(DruidAbilities4Scenario5[[#This Row],[takes]]&gt;0,DruidAbilities4Scenario5[[#This Row],[wins]]/DruidAbilities4Scenario5[[#This Row],[takes]],0)</f>
        <v>0.31578947368421051</v>
      </c>
      <c r="S124" s="18"/>
    </row>
    <row r="125" spans="11:19" ht="15.75" thickBot="1" x14ac:dyDescent="0.3">
      <c r="K125" s="10" t="s">
        <v>129</v>
      </c>
      <c r="L125" s="2">
        <f>COUNTIF(Scenario5[winner1-ability4],DruidAbilities4Scenario5[[#This Row],[ability]])+COUNTIF(Scenario5[winner2-ability4],DruidAbilities4Scenario5[[#This Row],[ability]])+COUNTIF(Scenario5[loser1-ability4],DruidAbilities4Scenario5[[#This Row],[ability]])+COUNTIF(Scenario5[loser2-ability4],DruidAbilities4Scenario5[[#This Row],[ability]])</f>
        <v>26</v>
      </c>
      <c r="M125" s="2">
        <f>COUNTIF(Scenario5[winner1-ability4],DruidAbilities4Scenario5[[#This Row],[ability]])+COUNTIF(Scenario5[winner2-ability4],DruidAbilities4Scenario5[[#This Row],[ability]])</f>
        <v>16</v>
      </c>
      <c r="N125" s="26">
        <f>IF(SUM(DruidAbilities4Scenario5[[#This Row],[takes]]) &gt; 0,DruidAbilities4Scenario5[[#This Row],[takes]]/SUM(DruidAbilities4Scenario5[takes]),0)</f>
        <v>0.44827586206896552</v>
      </c>
      <c r="O125" s="26">
        <f>IF(DruidAbilities4Scenario5[[#This Row],[takes]]&gt;0,DruidAbilities4Scenario5[[#This Row],[wins]]/DruidAbilities4Scenario5[[#This Row],[takes]],0)</f>
        <v>0.61538461538461542</v>
      </c>
      <c r="P125" s="27"/>
      <c r="Q125" s="27"/>
      <c r="R125" s="27"/>
      <c r="S125" s="28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85F09-8118-42F8-A802-F8367D0245CF}">
  <dimension ref="A1:V125"/>
  <sheetViews>
    <sheetView workbookViewId="0">
      <selection activeCell="B19" sqref="B19"/>
    </sheetView>
  </sheetViews>
  <sheetFormatPr defaultRowHeight="15" x14ac:dyDescent="0.25"/>
  <cols>
    <col min="1" max="1" width="24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8" width="7.7109375" bestFit="1" customWidth="1"/>
    <col min="9" max="9" width="12.85546875" bestFit="1" customWidth="1"/>
    <col min="10" max="10" width="3.85546875" customWidth="1"/>
    <col min="11" max="11" width="24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3.5703125" customWidth="1"/>
    <col min="17" max="18" width="7.710937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9"/>
      <c r="K1" s="37" t="s">
        <v>182</v>
      </c>
      <c r="L1" s="38"/>
      <c r="M1" s="38"/>
      <c r="N1" s="38"/>
      <c r="O1" s="38"/>
      <c r="P1" s="38"/>
      <c r="Q1" s="38"/>
      <c r="R1" s="38"/>
      <c r="S1" s="39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167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167</v>
      </c>
      <c r="S2" s="18" t="s">
        <v>164</v>
      </c>
      <c r="U2" t="s">
        <v>197</v>
      </c>
      <c r="V2" s="3">
        <f>H4/SUM(OracleEquip[book])</f>
        <v>0.29610389610389609</v>
      </c>
    </row>
    <row r="3" spans="1:22" x14ac:dyDescent="0.25">
      <c r="A3" t="s">
        <v>46</v>
      </c>
      <c r="B3">
        <f>L3+L24+L45+L66+L87+L108</f>
        <v>179</v>
      </c>
      <c r="C3">
        <f>M3+M24+M45+M66+M87+M108</f>
        <v>82</v>
      </c>
      <c r="D3" s="3">
        <f>IF(SUM(OracleAbilities1[[#This Row],[takes]]) &gt; 0,OracleAbilities1[[#This Row],[takes]]/SUM(OracleAbilities1[takes]),0)</f>
        <v>0.46493506493506492</v>
      </c>
      <c r="E3" s="3">
        <f>IF(OracleAbilities1[[#This Row],[takes]]&gt;0,OracleAbilities1[[#This Row],[wins]]/OracleAbilities1[[#This Row],[takes]],0)</f>
        <v>0.45810055865921789</v>
      </c>
      <c r="G3">
        <v>1</v>
      </c>
      <c r="H3">
        <f>R3+R24+R45+R66+R87+R108</f>
        <v>215</v>
      </c>
      <c r="I3" s="18">
        <f>S3+S24+S45+S66+S87+S108</f>
        <v>119</v>
      </c>
      <c r="K3" t="s">
        <v>46</v>
      </c>
      <c r="L3">
        <f>COUNTIF(Scenario0[winner1-ability1],OracleAbilities1Scenario0[[#This Row],[ability]])+COUNTIF(Scenario0[winner2-ability1],OracleAbilities1Scenario0[[#This Row],[ability]])+COUNTIF(Scenario0[loser1-ability1],OracleAbilities1Scenario0[[#This Row],[ability]])+COUNTIF(Scenario0[loser2-ability1],OracleAbilities1Scenario0[[#This Row],[ability]])</f>
        <v>98</v>
      </c>
      <c r="M3">
        <f>COUNTIF(Scenario0[winner1-ability1],OracleAbilities1Scenario0[[#This Row],[ability]])+COUNTIF(Scenario0[winner2-ability1],OracleAbilities1Scenario0[[#This Row],[ability]])</f>
        <v>59</v>
      </c>
      <c r="N3" s="3">
        <f>IF(SUM(OracleAbilities1Scenario0[[#This Row],[takes]]) &gt; 0,OracleAbilities1Scenario0[[#This Row],[takes]]/SUM(OracleAbilities1Scenario0[takes]),0)</f>
        <v>0.93333333333333335</v>
      </c>
      <c r="O3" s="3">
        <f>IF(OracleAbilities1Scenario0[[#This Row],[takes]]&gt;0,OracleAbilities1Scenario0[[#This Row],[wins]]/OracleAbilities1Scenario0[[#This Row],[takes]],0)</f>
        <v>0.60204081632653061</v>
      </c>
      <c r="Q3">
        <v>1</v>
      </c>
      <c r="R3">
        <f>COUNTIFS(Scenario0[winner1],"oracle",Scenario0[winner1-pw],OracleEquipScenario0[[#This Row],[level]])+COUNTIFS(Scenario0[winner2],"oracle",Scenario0[winner2-pw],OracleEquipScenario0[[#This Row],[level]])+COUNTIFS(Scenario0[loser1],"oracle",Scenario0[loser1-pw],OracleEquipScenario0[[#This Row],[level]])+COUNTIFS(Scenario0[loser2],"oracle",Scenario0[loser2-pw],OracleEquipScenario0[[#This Row],[level]])</f>
        <v>62</v>
      </c>
      <c r="S3" s="18">
        <f>COUNTIFS(Scenario0[winner1],"oracle",Scenario0[winner1-cp],OracleEquipScenario0[[#This Row],[level]])+COUNTIFS(Scenario0[winner2],"oracle",Scenario0[winner2-cp],OracleEquipScenario0[[#This Row],[level]])+COUNTIFS(Scenario0[loser1],"oracle",Scenario0[loser1-cp],OracleEquipScenario0[[#This Row],[level]])+COUNTIFS(Scenario0[loser2],"oracle",Scenario0[loser2-cp],OracleEquipScenario0[[#This Row],[level]])</f>
        <v>44</v>
      </c>
      <c r="U3" t="s">
        <v>198</v>
      </c>
      <c r="V3" s="16">
        <f>H5/SUM(OracleEquip[book])</f>
        <v>0.14545454545454545</v>
      </c>
    </row>
    <row r="4" spans="1:22" x14ac:dyDescent="0.25">
      <c r="A4" t="s">
        <v>65</v>
      </c>
      <c r="B4">
        <f t="shared" ref="B4:B5" si="0">L4+L25+L46+L67+L88+L109</f>
        <v>113</v>
      </c>
      <c r="C4">
        <f t="shared" ref="C4:C5" si="1">M4+M25+M46+M67+M88+M109</f>
        <v>43</v>
      </c>
      <c r="D4" s="3">
        <f>IF(SUM(OracleAbilities1[[#This Row],[takes]]) &gt; 0,OracleAbilities1[[#This Row],[takes]]/SUM(OracleAbilities1[takes]),0)</f>
        <v>0.29350649350649349</v>
      </c>
      <c r="E4" s="3">
        <f>IF(OracleAbilities1[[#This Row],[takes]]&gt;0,OracleAbilities1[[#This Row],[wins]]/OracleAbilities1[[#This Row],[takes]],0)</f>
        <v>0.38053097345132741</v>
      </c>
      <c r="G4">
        <v>2</v>
      </c>
      <c r="H4">
        <f t="shared" ref="H4:H5" si="2">R4+R25+R46+R67+R88+R109</f>
        <v>114</v>
      </c>
      <c r="I4" s="18">
        <f t="shared" ref="I4:I5" si="3">S4+S25+S46+S67+S88+S109</f>
        <v>129</v>
      </c>
      <c r="K4" t="s">
        <v>65</v>
      </c>
      <c r="L4">
        <f>COUNTIF(Scenario0[winner1-ability1],OracleAbilities1Scenario0[[#This Row],[ability]])+COUNTIF(Scenario0[winner2-ability1],OracleAbilities1Scenario0[[#This Row],[ability]])+COUNTIF(Scenario0[loser1-ability1],OracleAbilities1Scenario0[[#This Row],[ability]])+COUNTIF(Scenario0[loser2-ability1],OracleAbilities1Scenario0[[#This Row],[ability]])</f>
        <v>7</v>
      </c>
      <c r="M4">
        <f>COUNTIF(Scenario0[winner1-ability1],OracleAbilities1Scenario0[[#This Row],[ability]])+COUNTIF(Scenario0[winner2-ability1],OracleAbilities1Scenario0[[#This Row],[ability]])</f>
        <v>3</v>
      </c>
      <c r="N4" s="3">
        <f>IF(SUM(OracleAbilities1Scenario0[[#This Row],[takes]]) &gt; 0,OracleAbilities1Scenario0[[#This Row],[takes]]/SUM(OracleAbilities1Scenario0[takes]),0)</f>
        <v>6.6666666666666666E-2</v>
      </c>
      <c r="O4" s="3">
        <f>IF(OracleAbilities1Scenario0[[#This Row],[takes]]&gt;0,OracleAbilities1Scenario0[[#This Row],[wins]]/OracleAbilities1Scenario0[[#This Row],[takes]],0)</f>
        <v>0.42857142857142855</v>
      </c>
      <c r="Q4">
        <v>2</v>
      </c>
      <c r="R4">
        <f>COUNTIFS(Scenario0[winner1],"oracle",Scenario0[winner1-pw],OracleEquipScenario0[[#This Row],[level]])+COUNTIFS(Scenario0[winner2],"oracle",Scenario0[winner2-pw],OracleEquipScenario0[[#This Row],[level]])+COUNTIFS(Scenario0[loser1],"oracle",Scenario0[loser1-pw],OracleEquipScenario0[[#This Row],[level]])+COUNTIFS(Scenario0[loser2],"oracle",Scenario0[loser2-pw],OracleEquipScenario0[[#This Row],[level]])</f>
        <v>30</v>
      </c>
      <c r="S4" s="18">
        <f>COUNTIFS(Scenario0[winner1],"oracle",Scenario0[winner1-cp],OracleEquipScenario0[[#This Row],[level]])+COUNTIFS(Scenario0[winner2],"oracle",Scenario0[winner2-cp],OracleEquipScenario0[[#This Row],[level]])+COUNTIFS(Scenario0[loser1],"oracle",Scenario0[loser1-cp],OracleEquipScenario0[[#This Row],[level]])+COUNTIFS(Scenario0[loser2],"oracle",Scenario0[loser2-cp],OracleEquipScenario0[[#This Row],[level]])</f>
        <v>38</v>
      </c>
      <c r="U4" t="s">
        <v>179</v>
      </c>
      <c r="V4" s="3">
        <f>OracleEquip[[#This Row],[chestpiece]]/SUM(OracleEquip[chestpiece])</f>
        <v>0.33506493506493507</v>
      </c>
    </row>
    <row r="5" spans="1:22" x14ac:dyDescent="0.25">
      <c r="A5" t="s">
        <v>34</v>
      </c>
      <c r="B5">
        <f t="shared" si="0"/>
        <v>93</v>
      </c>
      <c r="C5">
        <f t="shared" si="1"/>
        <v>27</v>
      </c>
      <c r="D5" s="3">
        <f>IF(SUM(OracleAbilities1[[#This Row],[takes]]) &gt; 0,OracleAbilities1[[#This Row],[takes]]/SUM(OracleAbilities1[takes]),0)</f>
        <v>0.24155844155844156</v>
      </c>
      <c r="E5" s="3">
        <f>IF(OracleAbilities1[[#This Row],[takes]]&gt;0,OracleAbilities1[[#This Row],[wins]]/OracleAbilities1[[#This Row],[takes]],0)</f>
        <v>0.29032258064516131</v>
      </c>
      <c r="G5">
        <v>3</v>
      </c>
      <c r="H5">
        <f t="shared" si="2"/>
        <v>56</v>
      </c>
      <c r="I5" s="18">
        <f t="shared" si="3"/>
        <v>137</v>
      </c>
      <c r="K5" t="s">
        <v>34</v>
      </c>
      <c r="L5">
        <f>COUNTIF(Scenario0[winner1-ability1],OracleAbilities1Scenario0[[#This Row],[ability]])+COUNTIF(Scenario0[winner2-ability1],OracleAbilities1Scenario0[[#This Row],[ability]])+COUNTIF(Scenario0[loser1-ability1],OracleAbilities1Scenario0[[#This Row],[ability]])+COUNTIF(Scenario0[loser2-ability1],OracleAbilities1Scenario0[[#This Row],[ability]])</f>
        <v>0</v>
      </c>
      <c r="M5">
        <f>COUNTIF(Scenario0[winner1-ability1],OracleAbilities1Scenario0[[#This Row],[ability]])+COUNTIF(Scenario0[winner2-ability1],OracleAbilities1Scenario0[[#This Row],[ability]])</f>
        <v>0</v>
      </c>
      <c r="N5" s="3">
        <f>IF(SUM(OracleAbilities1Scenario0[[#This Row],[takes]]) &gt; 0,OracleAbilities1Scenario0[[#This Row],[takes]]/SUM(OracleAbilities1Scenario0[takes]),0)</f>
        <v>0</v>
      </c>
      <c r="O5" s="3">
        <f>IF(OracleAbilities1Scenario0[[#This Row],[takes]]&gt;0,OracleAbilities1Scenario0[[#This Row],[wins]]/OracleAbilities1Scenario0[[#This Row],[takes]],0)</f>
        <v>0</v>
      </c>
      <c r="Q5">
        <v>3</v>
      </c>
      <c r="R5">
        <f>COUNTIFS(Scenario0[winner1],"oracle",Scenario0[winner1-pw],OracleEquipScenario0[[#This Row],[level]])+COUNTIFS(Scenario0[winner2],"oracle",Scenario0[winner2-pw],OracleEquipScenario0[[#This Row],[level]])+COUNTIFS(Scenario0[loser1],"oracle",Scenario0[loser1-pw],OracleEquipScenario0[[#This Row],[level]])+COUNTIFS(Scenario0[loser2],"oracle",Scenario0[loser2-pw],OracleEquipScenario0[[#This Row],[level]])</f>
        <v>13</v>
      </c>
      <c r="S5" s="18">
        <f>COUNTIFS(Scenario0[winner1],"oracle",Scenario0[winner1-cp],OracleEquipScenario0[[#This Row],[level]])+COUNTIFS(Scenario0[winner2],"oracle",Scenario0[winner2-cp],OracleEquipScenario0[[#This Row],[level]])+COUNTIFS(Scenario0[loser1],"oracle",Scenario0[loser1-cp],OracleEquipScenario0[[#This Row],[level]])+COUNTIFS(Scenario0[loser2],"oracle",Scenario0[loser2-cp],OracleEquipScenario0[[#This Row],[level]])</f>
        <v>23</v>
      </c>
      <c r="U5" t="s">
        <v>180</v>
      </c>
      <c r="V5" s="16">
        <f>OracleEquip[[#This Row],[chestpiece]]/SUM(OracleEquip[chestpiece])</f>
        <v>0.35584415584415585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SUM(OracleAbilities2[takes])/SUM(OracleAbilities1[takes])</f>
        <v>0.41558441558441561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SUM(OracleAbilities3[takes])/SUM(OracleAbilities1[takes])</f>
        <v>0.24675324675324675</v>
      </c>
    </row>
    <row r="8" spans="1:22" x14ac:dyDescent="0.25">
      <c r="A8" s="2" t="s">
        <v>66</v>
      </c>
      <c r="B8" s="2">
        <f>L8+L29+L50+L71+L92+L113</f>
        <v>67</v>
      </c>
      <c r="C8" s="2">
        <f>M8+M29+M50+M71+M92+M113</f>
        <v>34</v>
      </c>
      <c r="D8" s="12">
        <f>IF(SUM(OracleAbilities2[[#This Row],[takes]]) &gt; 0,OracleAbilities2[[#This Row],[takes]]/SUM(OracleAbilities2[takes]),0)</f>
        <v>0.41875000000000001</v>
      </c>
      <c r="E8" s="12">
        <f>IF(OracleAbilities2[[#This Row],[takes]]&gt;0,OracleAbilities2[[#This Row],[wins]]/OracleAbilities2[[#This Row],[takes]],0)</f>
        <v>0.5074626865671642</v>
      </c>
      <c r="I8" s="18"/>
      <c r="K8" s="2" t="s">
        <v>66</v>
      </c>
      <c r="L8" s="2">
        <f>COUNTIF(Scenario0[winner1-ability2],OracleAbilities2Scenario0[[#This Row],[ability]])+COUNTIF(Scenario0[winner2-ability2],OracleAbilities2Scenario0[[#This Row],[ability]])+COUNTIF(Scenario0[loser1-ability2],OracleAbilities2Scenario0[[#This Row],[ability]])+COUNTIF(Scenario0[loser2-ability2],OracleAbilities2Scenario0[[#This Row],[ability]])</f>
        <v>11</v>
      </c>
      <c r="M8" s="2">
        <f>COUNTIF(Scenario0[winner1-ability2],OracleAbilities2Scenario0[[#This Row],[ability]])+COUNTIF(Scenario0[winner2-ability2],OracleAbilities2Scenario0[[#This Row],[ability]])</f>
        <v>9</v>
      </c>
      <c r="N8" s="12">
        <f>IF(SUM(OracleAbilities2Scenario0[[#This Row],[takes]]) &gt; 0,OracleAbilities2Scenario0[[#This Row],[takes]]/SUM(OracleAbilities2Scenario0[takes]),0)</f>
        <v>0.5</v>
      </c>
      <c r="O8" s="12">
        <f>IF(OracleAbilities2Scenario0[[#This Row],[takes]]&gt;0,OracleAbilities2Scenario0[[#This Row],[wins]]/OracleAbilities2Scenario0[[#This Row],[takes]],0)</f>
        <v>0.81818181818181823</v>
      </c>
      <c r="S8" s="18"/>
      <c r="U8" t="s">
        <v>178</v>
      </c>
      <c r="V8" s="16">
        <f>SUM(OracleAbilities4[takes])/SUM(OracleAbilities1[takes])</f>
        <v>0.12987012987012986</v>
      </c>
    </row>
    <row r="9" spans="1:22" x14ac:dyDescent="0.25">
      <c r="A9" t="s">
        <v>130</v>
      </c>
      <c r="B9" s="2">
        <f t="shared" ref="B9:B10" si="4">L9+L30+L51+L72+L93+L114</f>
        <v>55</v>
      </c>
      <c r="C9" s="2">
        <f t="shared" ref="C9:C10" si="5">M9+M30+M51+M72+M93+M114</f>
        <v>22</v>
      </c>
      <c r="D9" s="3">
        <f>IF(SUM(OracleAbilities2[[#This Row],[takes]]) &gt; 0,OracleAbilities2[[#This Row],[takes]]/SUM(OracleAbilities2[takes]),0)</f>
        <v>0.34375</v>
      </c>
      <c r="E9" s="3">
        <f>IF(OracleAbilities2[[#This Row],[takes]]&gt;0,OracleAbilities2[[#This Row],[wins]]/OracleAbilities2[[#This Row],[takes]],0)</f>
        <v>0.4</v>
      </c>
      <c r="I9" s="18"/>
      <c r="K9" t="s">
        <v>130</v>
      </c>
      <c r="L9" s="2">
        <f>COUNTIF(Scenario0[winner1-ability2],OracleAbilities2Scenario0[[#This Row],[ability]])+COUNTIF(Scenario0[winner2-ability2],OracleAbilities2Scenario0[[#This Row],[ability]])+COUNTIF(Scenario0[loser1-ability2],OracleAbilities2Scenario0[[#This Row],[ability]])+COUNTIF(Scenario0[loser2-ability2],OracleAbilities2Scenario0[[#This Row],[ability]])</f>
        <v>2</v>
      </c>
      <c r="M9" s="2">
        <f>COUNTIF(Scenario0[winner1-ability2],OracleAbilities2Scenario0[[#This Row],[ability]])+COUNTIF(Scenario0[winner2-ability2],OracleAbilities2Scenario0[[#This Row],[ability]])</f>
        <v>0</v>
      </c>
      <c r="N9" s="3">
        <f>IF(SUM(OracleAbilities2Scenario0[[#This Row],[takes]]) &gt; 0,OracleAbilities2Scenario0[[#This Row],[takes]]/SUM(OracleAbilities2Scenario0[takes]),0)</f>
        <v>9.0909090909090912E-2</v>
      </c>
      <c r="O9" s="3">
        <f>IF(OracleAbilities2Scenario0[[#This Row],[takes]]&gt;0,OracleAbilities2Scenario0[[#This Row],[wins]]/OracleAbilities2Scenario0[[#This Row],[takes]],0)</f>
        <v>0</v>
      </c>
      <c r="S9" s="18"/>
      <c r="U9" t="s">
        <v>194</v>
      </c>
      <c r="V9" s="33">
        <f>(SUM(OracleAbilities2[takes])+SUM(OracleAbilities3[takes])+SUM(OracleAbilities4[takes])+SUM(H4:H5)+SUM(I4:I5))/SUM(OracleAbilities1[takes])</f>
        <v>1.9246753246753248</v>
      </c>
    </row>
    <row r="10" spans="1:22" x14ac:dyDescent="0.25">
      <c r="A10" s="10" t="s">
        <v>35</v>
      </c>
      <c r="B10" s="2">
        <f t="shared" si="4"/>
        <v>38</v>
      </c>
      <c r="C10" s="2">
        <f t="shared" si="5"/>
        <v>20</v>
      </c>
      <c r="D10" s="13">
        <f>IF(SUM(OracleAbilities2[[#This Row],[takes]]) &gt; 0,OracleAbilities2[[#This Row],[takes]]/SUM(OracleAbilities2[takes]),0)</f>
        <v>0.23749999999999999</v>
      </c>
      <c r="E10" s="13">
        <f>IF(OracleAbilities2[[#This Row],[takes]]&gt;0,OracleAbilities2[[#This Row],[wins]]/OracleAbilities2[[#This Row],[takes]],0)</f>
        <v>0.52631578947368418</v>
      </c>
      <c r="I10" s="18"/>
      <c r="K10" s="10" t="s">
        <v>35</v>
      </c>
      <c r="L10" s="2">
        <f>COUNTIF(Scenario0[winner1-ability2],OracleAbilities2Scenario0[[#This Row],[ability]])+COUNTIF(Scenario0[winner2-ability2],OracleAbilities2Scenario0[[#This Row],[ability]])+COUNTIF(Scenario0[loser1-ability2],OracleAbilities2Scenario0[[#This Row],[ability]])+COUNTIF(Scenario0[loser2-ability2],OracleAbilities2Scenario0[[#This Row],[ability]])</f>
        <v>9</v>
      </c>
      <c r="M10" s="2">
        <f>COUNTIF(Scenario0[winner1-ability2],OracleAbilities2Scenario0[[#This Row],[ability]])+COUNTIF(Scenario0[winner2-ability2],OracleAbilities2Scenario0[[#This Row],[ability]])</f>
        <v>7</v>
      </c>
      <c r="N10" s="13">
        <f>IF(SUM(OracleAbilities2Scenario0[[#This Row],[takes]]) &gt; 0,OracleAbilities2Scenario0[[#This Row],[takes]]/SUM(OracleAbilities2Scenario0[takes]),0)</f>
        <v>0.40909090909090912</v>
      </c>
      <c r="O10" s="13">
        <f>IF(OracleAbilities2Scenario0[[#This Row],[takes]]&gt;0,OracleAbilities2Scenario0[[#This Row],[wins]]/OracleAbilities2Scenario0[[#This Row],[takes]],0)</f>
        <v>0.77777777777777779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36</v>
      </c>
      <c r="B13" s="1">
        <f>L13+L34+L55+L76+L97+L118</f>
        <v>35</v>
      </c>
      <c r="C13" s="1">
        <f>M13+M34+M55+M76+M97+M118</f>
        <v>30</v>
      </c>
      <c r="D13" s="14">
        <f>IF(SUM(OracleAbilities3[[#This Row],[takes]]) &gt; 0,OracleAbilities3[[#This Row],[takes]]/SUM(OracleAbilities3[takes]),0)</f>
        <v>0.36842105263157893</v>
      </c>
      <c r="E13" s="14">
        <f>IF(OracleAbilities3[[#This Row],[takes]]&gt;0,OracleAbilities3[[#This Row],[wins]]/OracleAbilities3[[#This Row],[takes]],0)</f>
        <v>0.8571428571428571</v>
      </c>
      <c r="I13" s="18"/>
      <c r="K13" s="1" t="s">
        <v>36</v>
      </c>
      <c r="L13" s="1">
        <f>COUNTIF(Scenario0[winner1-ability3],OracleAbilities3Scenario0[[#This Row],[ability]])+COUNTIF(Scenario0[winner2-ability3],OracleAbilities3Scenario0[[#This Row],[ability]])+COUNTIF(Scenario0[loser1-ability3],OracleAbilities3Scenario0[[#This Row],[ability]])+COUNTIF(Scenario0[loser2-ability3],OracleAbilities3Scenario0[[#This Row],[ability]])</f>
        <v>3</v>
      </c>
      <c r="M13" s="1">
        <f>COUNTIF(Scenario0[winner1-ability3],OracleAbilities3Scenario0[[#This Row],[ability]])+COUNTIF(Scenario0[winner2-ability3],OracleAbilities3Scenario0[[#This Row],[ability]])</f>
        <v>3</v>
      </c>
      <c r="N13" s="14">
        <f>IF(SUM(OracleAbilities3Scenario0[[#This Row],[takes]]) &gt; 0,OracleAbilities3Scenario0[[#This Row],[takes]]/SUM(OracleAbilities3Scenario0[takes]),0)</f>
        <v>0.6</v>
      </c>
      <c r="O13" s="14">
        <f>IF(OracleAbilities3Scenario0[[#This Row],[takes]]&gt;0,OracleAbilities3Scenario0[[#This Row],[wins]]/OracleAbilities3Scenario0[[#This Row],[takes]],0)</f>
        <v>1</v>
      </c>
      <c r="S13" s="18"/>
    </row>
    <row r="14" spans="1:22" x14ac:dyDescent="0.25">
      <c r="A14" s="2" t="s">
        <v>131</v>
      </c>
      <c r="B14" s="2">
        <f t="shared" ref="B14:B15" si="6">L14+L35+L56+L77+L98+L119</f>
        <v>40</v>
      </c>
      <c r="C14" s="2">
        <f t="shared" ref="C14:C15" si="7">M14+M35+M56+M77+M98+M119</f>
        <v>13</v>
      </c>
      <c r="D14" s="12">
        <f>IF(SUM(OracleAbilities3[[#This Row],[takes]]) &gt; 0,OracleAbilities3[[#This Row],[takes]]/SUM(OracleAbilities3[takes]),0)</f>
        <v>0.42105263157894735</v>
      </c>
      <c r="E14" s="12">
        <f>IF(OracleAbilities3[[#This Row],[takes]]&gt;0,OracleAbilities3[[#This Row],[wins]]/OracleAbilities3[[#This Row],[takes]],0)</f>
        <v>0.32500000000000001</v>
      </c>
      <c r="I14" s="18"/>
      <c r="K14" s="2" t="s">
        <v>131</v>
      </c>
      <c r="L14" s="2">
        <f>COUNTIF(Scenario0[winner1-ability3],OracleAbilities3Scenario0[[#This Row],[ability]])+COUNTIF(Scenario0[winner2-ability3],OracleAbilities3Scenario0[[#This Row],[ability]])+COUNTIF(Scenario0[loser1-ability3],OracleAbilities3Scenario0[[#This Row],[ability]])+COUNTIF(Scenario0[loser2-ability3],OracleAbilities3Scenario0[[#This Row],[ability]])</f>
        <v>1</v>
      </c>
      <c r="M14" s="2">
        <f>COUNTIF(Scenario0[winner1-ability3],OracleAbilities3Scenario0[[#This Row],[ability]])+COUNTIF(Scenario0[winner2-ability3],OracleAbilities3Scenario0[[#This Row],[ability]])</f>
        <v>1</v>
      </c>
      <c r="N14" s="12">
        <f>IF(SUM(OracleAbilities3Scenario0[[#This Row],[takes]]) &gt; 0,OracleAbilities3Scenario0[[#This Row],[takes]]/SUM(OracleAbilities3Scenario0[takes]),0)</f>
        <v>0.2</v>
      </c>
      <c r="O14" s="12">
        <f>IF(OracleAbilities3Scenario0[[#This Row],[takes]]&gt;0,OracleAbilities3Scenario0[[#This Row],[wins]]/OracleAbilities3Scenario0[[#This Row],[takes]],0)</f>
        <v>1</v>
      </c>
      <c r="S14" s="18"/>
    </row>
    <row r="15" spans="1:22" x14ac:dyDescent="0.25">
      <c r="A15" s="11" t="s">
        <v>132</v>
      </c>
      <c r="B15" s="1">
        <f t="shared" si="6"/>
        <v>20</v>
      </c>
      <c r="C15" s="1">
        <f t="shared" si="7"/>
        <v>10</v>
      </c>
      <c r="D15" s="15">
        <f>IF(SUM(OracleAbilities3[[#This Row],[takes]]) &gt; 0,OracleAbilities3[[#This Row],[takes]]/SUM(OracleAbilities3[takes]),0)</f>
        <v>0.21052631578947367</v>
      </c>
      <c r="E15" s="15">
        <f>IF(OracleAbilities3[[#This Row],[takes]]&gt;0,OracleAbilities3[[#This Row],[wins]]/OracleAbilities3[[#This Row],[takes]],0)</f>
        <v>0.5</v>
      </c>
      <c r="I15" s="18"/>
      <c r="K15" s="11" t="s">
        <v>132</v>
      </c>
      <c r="L15" s="1">
        <f>COUNTIF(Scenario0[winner1-ability3],OracleAbilities3Scenario0[[#This Row],[ability]])+COUNTIF(Scenario0[winner2-ability3],OracleAbilities3Scenario0[[#This Row],[ability]])+COUNTIF(Scenario0[loser1-ability3],OracleAbilities3Scenario0[[#This Row],[ability]])+COUNTIF(Scenario0[loser2-ability3],OracleAbilities3Scenario0[[#This Row],[ability]])</f>
        <v>1</v>
      </c>
      <c r="M15" s="1">
        <f>COUNTIF(Scenario0[winner1-ability3],OracleAbilities3Scenario0[[#This Row],[ability]])+COUNTIF(Scenario0[winner2-ability3],OracleAbilities3Scenario0[[#This Row],[ability]])</f>
        <v>1</v>
      </c>
      <c r="N15" s="15">
        <f>IF(SUM(OracleAbilities3Scenario0[[#This Row],[takes]]) &gt; 0,OracleAbilities3Scenario0[[#This Row],[takes]]/SUM(OracleAbilities3Scenario0[takes]),0)</f>
        <v>0.2</v>
      </c>
      <c r="O15" s="15">
        <f>IF(OracleAbilities3Scenario0[[#This Row],[takes]]&gt;0,OracleAbilities3Scenario0[[#This Row],[wins]]/OracleAbilities3Scenario0[[#This Row],[takes]],0)</f>
        <v>1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133</v>
      </c>
      <c r="B18" s="2">
        <f>L18+L39+L60+L81+L102+L123</f>
        <v>26</v>
      </c>
      <c r="C18" s="2">
        <f>M18+M39+M60+M81+M102+M123</f>
        <v>12</v>
      </c>
      <c r="D18" s="12">
        <f>IF(SUM(OracleAbilities4[[#This Row],[takes]]) &gt; 0,OracleAbilities4[[#This Row],[takes]]/SUM(OracleAbilities4[takes]),0)</f>
        <v>0.52</v>
      </c>
      <c r="E18" s="12">
        <f>IF(OracleAbilities4[[#This Row],[takes]]&gt;0,OracleAbilities4[[#This Row],[wins]]/OracleAbilities4[[#This Row],[takes]],0)</f>
        <v>0.46153846153846156</v>
      </c>
      <c r="I18" s="18"/>
      <c r="K18" s="2" t="s">
        <v>133</v>
      </c>
      <c r="L18" s="2">
        <f>COUNTIF(Scenario0[winner1-ability4],OracleAbilities4Scenario0[[#This Row],[ability]])+COUNTIF(Scenario0[winner2-ability4],OracleAbilities4Scenario0[[#This Row],[ability]])+COUNTIF(Scenario0[loser1-ability4],OracleAbilities4Scenario0[[#This Row],[ability]])+COUNTIF(Scenario0[loser2-ability4],OracleAbilities4Scenario0[[#This Row],[ability]])</f>
        <v>0</v>
      </c>
      <c r="M18" s="2">
        <f>COUNTIF(Scenario0[winner1-ability4],OracleAbilities4Scenario0[[#This Row],[ability]])+COUNTIF(Scenario0[winner2-ability4],OracleAbilities4Scenario0[[#This Row],[ability]])</f>
        <v>0</v>
      </c>
      <c r="N18" s="12">
        <f>IF(SUM(OracleAbilities4Scenario0[[#This Row],[takes]]) &gt; 0,OracleAbilities4Scenario0[[#This Row],[takes]]/SUM(OracleAbilities4Scenario0[takes]),0)</f>
        <v>0</v>
      </c>
      <c r="O18" s="12">
        <f>IF(OracleAbilities4Scenario0[[#This Row],[takes]]&gt;0,OracleAbilities4Scenario0[[#This Row],[wins]]/OracleAbilities4Scenario0[[#This Row],[takes]],0)</f>
        <v>0</v>
      </c>
      <c r="S18" s="18"/>
    </row>
    <row r="19" spans="1:20" x14ac:dyDescent="0.25">
      <c r="A19" s="2" t="s">
        <v>37</v>
      </c>
      <c r="B19" s="2">
        <f t="shared" ref="B19:B20" si="8">L19+L40+L61+L82+L103+L124</f>
        <v>4</v>
      </c>
      <c r="C19" s="2">
        <f t="shared" ref="C19:C20" si="9">M19+M40+M61+M82+M103+M124</f>
        <v>1</v>
      </c>
      <c r="D19" s="12">
        <f>IF(SUM(OracleAbilities4[[#This Row],[takes]]) &gt; 0,OracleAbilities4[[#This Row],[takes]]/SUM(OracleAbilities4[takes]),0)</f>
        <v>0.08</v>
      </c>
      <c r="E19" s="12">
        <f>IF(OracleAbilities4[[#This Row],[takes]]&gt;0,OracleAbilities4[[#This Row],[wins]]/OracleAbilities4[[#This Row],[takes]],0)</f>
        <v>0.25</v>
      </c>
      <c r="I19" s="18"/>
      <c r="K19" s="2" t="s">
        <v>37</v>
      </c>
      <c r="L19" s="2">
        <f>COUNTIF(Scenario0[winner1-ability4],OracleAbilities4Scenario0[[#This Row],[ability]])+COUNTIF(Scenario0[winner2-ability4],OracleAbilities4Scenario0[[#This Row],[ability]])+COUNTIF(Scenario0[loser1-ability4],OracleAbilities4Scenario0[[#This Row],[ability]])+COUNTIF(Scenario0[loser2-ability4],OracleAbilities4Scenario0[[#This Row],[ability]])</f>
        <v>1</v>
      </c>
      <c r="M19" s="2">
        <f>COUNTIF(Scenario0[winner1-ability4],OracleAbilities4Scenario0[[#This Row],[ability]])+COUNTIF(Scenario0[winner2-ability4],OracleAbilities4Scenario0[[#This Row],[ability]])</f>
        <v>1</v>
      </c>
      <c r="N19" s="12">
        <f>IF(SUM(OracleAbilities4Scenario0[[#This Row],[takes]]) &gt; 0,OracleAbilities4Scenario0[[#This Row],[takes]]/SUM(OracleAbilities4Scenario0[takes]),0)</f>
        <v>1</v>
      </c>
      <c r="O19" s="12">
        <f>IF(OracleAbilities4Scenario0[[#This Row],[takes]]&gt;0,OracleAbilities4Scenario0[[#This Row],[wins]]/OracleAbilities4Scenario0[[#This Row],[takes]],0)</f>
        <v>1</v>
      </c>
      <c r="S19" s="18"/>
    </row>
    <row r="20" spans="1:20" ht="15.75" thickBot="1" x14ac:dyDescent="0.3">
      <c r="A20" s="10" t="s">
        <v>134</v>
      </c>
      <c r="B20" s="2">
        <f t="shared" si="8"/>
        <v>20</v>
      </c>
      <c r="C20" s="2">
        <f t="shared" si="9"/>
        <v>14</v>
      </c>
      <c r="D20" s="26">
        <f>IF(SUM(OracleAbilities4[[#This Row],[takes]]) &gt; 0,OracleAbilities4[[#This Row],[takes]]/SUM(OracleAbilities4[takes]),0)</f>
        <v>0.4</v>
      </c>
      <c r="E20" s="26">
        <f>IF(OracleAbilities4[[#This Row],[takes]]&gt;0,OracleAbilities4[[#This Row],[wins]]/OracleAbilities4[[#This Row],[takes]],0)</f>
        <v>0.7</v>
      </c>
      <c r="F20" s="27"/>
      <c r="G20" s="27"/>
      <c r="H20" s="27"/>
      <c r="I20" s="28"/>
      <c r="K20" s="10" t="s">
        <v>134</v>
      </c>
      <c r="L20" s="25">
        <f>COUNTIF(Scenario0[winner1-ability4],OracleAbilities4Scenario0[[#This Row],[ability]])+COUNTIF(Scenario0[winner2-ability4],OracleAbilities4Scenario0[[#This Row],[ability]])+COUNTIF(Scenario0[loser1-ability4],OracleAbilities4Scenario0[[#This Row],[ability]])+COUNTIF(Scenario0[loser2-ability4],OracleAbilities4Scenario0[[#This Row],[ability]])</f>
        <v>0</v>
      </c>
      <c r="M20" s="25">
        <f>COUNTIF(Scenario0[winner1-ability4],OracleAbilities4Scenario0[[#This Row],[ability]])+COUNTIF(Scenario0[winner2-ability4],OracleAbilities4Scenario0[[#This Row],[ability]])</f>
        <v>0</v>
      </c>
      <c r="N20" s="26">
        <f>IF(SUM(OracleAbilities4Scenario0[[#This Row],[takes]]) &gt; 0,OracleAbilities4Scenario0[[#This Row],[takes]]/SUM(OracleAbilities4Scenario0[takes]),0)</f>
        <v>0</v>
      </c>
      <c r="O20" s="26">
        <f>IF(OracleAbilities4Scenario0[[#This Row],[takes]]&gt;0,OracleAbilities4Scenario0[[#This Row],[wins]]/OracleAbilities4Scenario0[[#This Row],[takes]],0)</f>
        <v>0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7" t="s">
        <v>183</v>
      </c>
      <c r="L22" s="38"/>
      <c r="M22" s="38"/>
      <c r="N22" s="38"/>
      <c r="O22" s="38"/>
      <c r="P22" s="38"/>
      <c r="Q22" s="38"/>
      <c r="R22" s="38"/>
      <c r="S22" s="39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167</v>
      </c>
      <c r="S23" s="18" t="s">
        <v>164</v>
      </c>
    </row>
    <row r="24" spans="1:20" x14ac:dyDescent="0.25">
      <c r="K24" t="s">
        <v>46</v>
      </c>
      <c r="L24">
        <f>COUNTIF(Scenario1[winner1-ability1],OracleAbilities1Scenario1[[#This Row],[ability]])+COUNTIF(Scenario1[winner2-ability1],OracleAbilities1Scenario1[[#This Row],[ability]])+COUNTIF(Scenario1[loser1-ability1],OracleAbilities1Scenario1[[#This Row],[ability]])+COUNTIF(Scenario1[loser2-ability1],OracleAbilities1Scenario1[[#This Row],[ability]])</f>
        <v>46</v>
      </c>
      <c r="M24">
        <f>COUNTIF(Scenario1[winner1-ability1],OracleAbilities1Scenario1[[#This Row],[ability]])+COUNTIF(Scenario1[winner2-ability1],OracleAbilities1Scenario1[[#This Row],[ability]])</f>
        <v>15</v>
      </c>
      <c r="N24" s="3">
        <f>IF(SUM(OracleAbilities1Scenario1[[#This Row],[takes]]) &gt; 0,OracleAbilities1Scenario1[[#This Row],[takes]]/SUM(OracleAbilities1Scenario1[takes]),0)</f>
        <v>0.43809523809523809</v>
      </c>
      <c r="O24" s="3">
        <f>IF(OracleAbilities1Scenario1[[#This Row],[takes]]&gt;0,OracleAbilities1Scenario1[[#This Row],[wins]]/OracleAbilities1Scenario1[[#This Row],[takes]],0)</f>
        <v>0.32608695652173914</v>
      </c>
      <c r="Q24">
        <v>1</v>
      </c>
      <c r="R24">
        <f>COUNTIFS(Scenario1[winner1],"oracle",Scenario1[winner1-pw],OracleEquipScenario1[[#This Row],[level]])+COUNTIFS(Scenario1[winner2],"oracle",Scenario1[winner2-pw],OracleEquipScenario1[[#This Row],[level]])+COUNTIFS(Scenario1[loser1],"oracle",Scenario1[loser1-pw],OracleEquipScenario1[[#This Row],[level]])+COUNTIFS(Scenario1[loser2],"oracle",Scenario1[loser2-pw],OracleEquipScenario1[[#This Row],[level]])</f>
        <v>53</v>
      </c>
      <c r="S24" s="18">
        <f>COUNTIFS(Scenario1[winner1],"oracle",Scenario1[winner1-cp],OracleEquipScenario1[[#This Row],[level]])+COUNTIFS(Scenario1[winner2],"oracle",Scenario1[winner2-cp],OracleEquipScenario1[[#This Row],[level]])+COUNTIFS(Scenario1[loser1],"oracle",Scenario1[loser1-cp],OracleEquipScenario1[[#This Row],[level]])+COUNTIFS(Scenario1[loser2],"oracle",Scenario1[loser2-cp],OracleEquipScenario1[[#This Row],[level]])</f>
        <v>16</v>
      </c>
    </row>
    <row r="25" spans="1:20" x14ac:dyDescent="0.25">
      <c r="K25" t="s">
        <v>65</v>
      </c>
      <c r="L25">
        <f>COUNTIF(Scenario1[winner1-ability1],OracleAbilities1Scenario1[[#This Row],[ability]])+COUNTIF(Scenario1[winner2-ability1],OracleAbilities1Scenario1[[#This Row],[ability]])+COUNTIF(Scenario1[loser1-ability1],OracleAbilities1Scenario1[[#This Row],[ability]])+COUNTIF(Scenario1[loser2-ability1],OracleAbilities1Scenario1[[#This Row],[ability]])</f>
        <v>59</v>
      </c>
      <c r="M25">
        <f>COUNTIF(Scenario1[winner1-ability1],OracleAbilities1Scenario1[[#This Row],[ability]])+COUNTIF(Scenario1[winner2-ability1],OracleAbilities1Scenario1[[#This Row],[ability]])</f>
        <v>25</v>
      </c>
      <c r="N25" s="3">
        <f>IF(SUM(OracleAbilities1Scenario1[[#This Row],[takes]]) &gt; 0,OracleAbilities1Scenario1[[#This Row],[takes]]/SUM(OracleAbilities1Scenario1[takes]),0)</f>
        <v>0.56190476190476191</v>
      </c>
      <c r="O25" s="3">
        <f>IF(OracleAbilities1Scenario1[[#This Row],[takes]]&gt;0,OracleAbilities1Scenario1[[#This Row],[wins]]/OracleAbilities1Scenario1[[#This Row],[takes]],0)</f>
        <v>0.42372881355932202</v>
      </c>
      <c r="Q25">
        <v>2</v>
      </c>
      <c r="R25">
        <f>COUNTIFS(Scenario1[winner1],"oracle",Scenario1[winner1-pw],OracleEquipScenario1[[#This Row],[level]])+COUNTIFS(Scenario1[winner2],"oracle",Scenario1[winner2-pw],OracleEquipScenario1[[#This Row],[level]])+COUNTIFS(Scenario1[loser1],"oracle",Scenario1[loser1-pw],OracleEquipScenario1[[#This Row],[level]])+COUNTIFS(Scenario1[loser2],"oracle",Scenario1[loser2-pw],OracleEquipScenario1[[#This Row],[level]])</f>
        <v>38</v>
      </c>
      <c r="S25" s="18">
        <f>COUNTIFS(Scenario1[winner1],"oracle",Scenario1[winner1-cp],OracleEquipScenario1[[#This Row],[level]])+COUNTIFS(Scenario1[winner2],"oracle",Scenario1[winner2-cp],OracleEquipScenario1[[#This Row],[level]])+COUNTIFS(Scenario1[loser1],"oracle",Scenario1[loser1-cp],OracleEquipScenario1[[#This Row],[level]])+COUNTIFS(Scenario1[loser2],"oracle",Scenario1[loser2-cp],OracleEquipScenario1[[#This Row],[level]])</f>
        <v>34</v>
      </c>
    </row>
    <row r="26" spans="1:20" x14ac:dyDescent="0.25">
      <c r="K26" t="s">
        <v>34</v>
      </c>
      <c r="L26">
        <f>COUNTIF(Scenario1[winner1-ability1],OracleAbilities1Scenario1[[#This Row],[ability]])+COUNTIF(Scenario1[winner2-ability1],OracleAbilities1Scenario1[[#This Row],[ability]])+COUNTIF(Scenario1[loser1-ability1],OracleAbilities1Scenario1[[#This Row],[ability]])+COUNTIF(Scenario1[loser2-ability1],OracleAbilities1Scenario1[[#This Row],[ability]])</f>
        <v>0</v>
      </c>
      <c r="M26">
        <f>COUNTIF(Scenario1[winner1-ability1],OracleAbilities1Scenario1[[#This Row],[ability]])+COUNTIF(Scenario1[winner2-ability1],OracleAbilities1Scenario1[[#This Row],[ability]])</f>
        <v>0</v>
      </c>
      <c r="N26" s="3">
        <f>IF(SUM(OracleAbilities1Scenario1[[#This Row],[takes]]) &gt; 0,OracleAbilities1Scenario1[[#This Row],[takes]]/SUM(OracleAbilities1Scenario1[takes]),0)</f>
        <v>0</v>
      </c>
      <c r="O26" s="3">
        <f>IF(OracleAbilities1Scenario1[[#This Row],[takes]]&gt;0,OracleAbilities1Scenario1[[#This Row],[wins]]/OracleAbilities1Scenario1[[#This Row],[takes]],0)</f>
        <v>0</v>
      </c>
      <c r="Q26">
        <v>3</v>
      </c>
      <c r="R26">
        <f>COUNTIFS(Scenario1[winner1],"oracle",Scenario1[winner1-pw],OracleEquipScenario1[[#This Row],[level]])+COUNTIFS(Scenario1[winner2],"oracle",Scenario1[winner2-pw],OracleEquipScenario1[[#This Row],[level]])+COUNTIFS(Scenario1[loser1],"oracle",Scenario1[loser1-pw],OracleEquipScenario1[[#This Row],[level]])+COUNTIFS(Scenario1[loser2],"oracle",Scenario1[loser2-pw],OracleEquipScenario1[[#This Row],[level]])</f>
        <v>14</v>
      </c>
      <c r="S26" s="18">
        <f>COUNTIFS(Scenario1[winner1],"oracle",Scenario1[winner1-cp],OracleEquipScenario1[[#This Row],[level]])+COUNTIFS(Scenario1[winner2],"oracle",Scenario1[winner2-cp],OracleEquipScenario1[[#This Row],[level]])+COUNTIFS(Scenario1[loser1],"oracle",Scenario1[loser1-cp],OracleEquipScenario1[[#This Row],[level]])+COUNTIFS(Scenario1[loser2],"oracle",Scenario1[loser2-cp],OracleEquipScenario1[[#This Row],[level]])</f>
        <v>55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" t="s">
        <v>66</v>
      </c>
      <c r="L29" s="2">
        <f>COUNTIF(Scenario1[winner1-ability2],OracleAbilities2Scenario1[[#This Row],[ability]])+COUNTIF(Scenario1[winner2-ability2],OracleAbilities2Scenario1[[#This Row],[ability]])+COUNTIF(Scenario1[loser1-ability2],OracleAbilities2Scenario1[[#This Row],[ability]])+COUNTIF(Scenario1[loser2-ability2],OracleAbilities2Scenario1[[#This Row],[ability]])</f>
        <v>15</v>
      </c>
      <c r="M29" s="2">
        <f>COUNTIF(Scenario1[winner1-ability2],OracleAbilities2Scenario1[[#This Row],[ability]])+COUNTIF(Scenario1[winner2-ability2],OracleAbilities2Scenario1[[#This Row],[ability]])</f>
        <v>10</v>
      </c>
      <c r="N29" s="12">
        <f>IF(SUM(OracleAbilities2Scenario1[[#This Row],[takes]]) &gt; 0,OracleAbilities2Scenario1[[#This Row],[takes]]/SUM(OracleAbilities2Scenario1[takes]),0)</f>
        <v>0.40540540540540543</v>
      </c>
      <c r="O29" s="12">
        <f>IF(OracleAbilities2Scenario1[[#This Row],[takes]]&gt;0,OracleAbilities2Scenario1[[#This Row],[wins]]/OracleAbilities2Scenario1[[#This Row],[takes]],0)</f>
        <v>0.66666666666666663</v>
      </c>
      <c r="S29" s="18"/>
    </row>
    <row r="30" spans="1:20" x14ac:dyDescent="0.25">
      <c r="K30" t="s">
        <v>130</v>
      </c>
      <c r="L30" s="2">
        <f>COUNTIF(Scenario1[winner1-ability2],OracleAbilities2Scenario1[[#This Row],[ability]])+COUNTIF(Scenario1[winner2-ability2],OracleAbilities2Scenario1[[#This Row],[ability]])+COUNTIF(Scenario1[loser1-ability2],OracleAbilities2Scenario1[[#This Row],[ability]])+COUNTIF(Scenario1[loser2-ability2],OracleAbilities2Scenario1[[#This Row],[ability]])</f>
        <v>3</v>
      </c>
      <c r="M30" s="2">
        <f>COUNTIF(Scenario1[winner1-ability2],OracleAbilities2Scenario1[[#This Row],[ability]])+COUNTIF(Scenario1[winner2-ability2],OracleAbilities2Scenario1[[#This Row],[ability]])</f>
        <v>2</v>
      </c>
      <c r="N30" s="3">
        <f>IF(SUM(OracleAbilities2Scenario1[[#This Row],[takes]]) &gt; 0,OracleAbilities2Scenario1[[#This Row],[takes]]/SUM(OracleAbilities2Scenario1[takes]),0)</f>
        <v>8.1081081081081086E-2</v>
      </c>
      <c r="O30" s="3">
        <f>IF(OracleAbilities2Scenario1[[#This Row],[takes]]&gt;0,OracleAbilities2Scenario1[[#This Row],[wins]]/OracleAbilities2Scenario1[[#This Row],[takes]],0)</f>
        <v>0.66666666666666663</v>
      </c>
      <c r="S30" s="18"/>
    </row>
    <row r="31" spans="1:20" x14ac:dyDescent="0.25">
      <c r="K31" s="10" t="s">
        <v>35</v>
      </c>
      <c r="L31" s="2">
        <f>COUNTIF(Scenario1[winner1-ability2],OracleAbilities2Scenario1[[#This Row],[ability]])+COUNTIF(Scenario1[winner2-ability2],OracleAbilities2Scenario1[[#This Row],[ability]])+COUNTIF(Scenario1[loser1-ability2],OracleAbilities2Scenario1[[#This Row],[ability]])+COUNTIF(Scenario1[loser2-ability2],OracleAbilities2Scenario1[[#This Row],[ability]])</f>
        <v>19</v>
      </c>
      <c r="M31" s="2">
        <f>COUNTIF(Scenario1[winner1-ability2],OracleAbilities2Scenario1[[#This Row],[ability]])+COUNTIF(Scenario1[winner2-ability2],OracleAbilities2Scenario1[[#This Row],[ability]])</f>
        <v>8</v>
      </c>
      <c r="N31" s="13">
        <f>IF(SUM(OracleAbilities2Scenario1[[#This Row],[takes]]) &gt; 0,OracleAbilities2Scenario1[[#This Row],[takes]]/SUM(OracleAbilities2Scenario1[takes]),0)</f>
        <v>0.51351351351351349</v>
      </c>
      <c r="O31" s="13">
        <f>IF(OracleAbilities2Scenario1[[#This Row],[takes]]&gt;0,OracleAbilities2Scenario1[[#This Row],[wins]]/OracleAbilities2Scenario1[[#This Row],[takes]],0)</f>
        <v>0.42105263157894735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1" t="s">
        <v>36</v>
      </c>
      <c r="L34" s="1">
        <f>COUNTIF(Scenario1[winner1-ability3],OracleAbilities3Scenario1[[#This Row],[ability]])+COUNTIF(Scenario1[winner2-ability3],OracleAbilities3Scenario1[[#This Row],[ability]])+COUNTIF(Scenario1[loser1-ability3],OracleAbilities3Scenario1[[#This Row],[ability]])+COUNTIF(Scenario1[loser2-ability3],OracleAbilities3Scenario1[[#This Row],[ability]])</f>
        <v>9</v>
      </c>
      <c r="M34" s="1">
        <f>COUNTIF(Scenario1[winner1-ability3],OracleAbilities3Scenario1[[#This Row],[ability]])+COUNTIF(Scenario1[winner2-ability3],OracleAbilities3Scenario1[[#This Row],[ability]])</f>
        <v>8</v>
      </c>
      <c r="N34" s="14">
        <f>IF(SUM(OracleAbilities3Scenario1[[#This Row],[takes]]) &gt; 0,OracleAbilities3Scenario1[[#This Row],[takes]]/SUM(OracleAbilities3Scenario1[takes]),0)</f>
        <v>0.47368421052631576</v>
      </c>
      <c r="O34" s="14">
        <f>IF(OracleAbilities3Scenario1[[#This Row],[takes]]&gt;0,OracleAbilities3Scenario1[[#This Row],[wins]]/OracleAbilities3Scenario1[[#This Row],[takes]],0)</f>
        <v>0.88888888888888884</v>
      </c>
      <c r="S34" s="18"/>
    </row>
    <row r="35" spans="11:20" x14ac:dyDescent="0.25">
      <c r="K35" s="2" t="s">
        <v>131</v>
      </c>
      <c r="L35" s="2">
        <f>COUNTIF(Scenario1[winner1-ability3],OracleAbilities3Scenario1[[#This Row],[ability]])+COUNTIF(Scenario1[winner2-ability3],OracleAbilities3Scenario1[[#This Row],[ability]])+COUNTIF(Scenario1[loser1-ability3],OracleAbilities3Scenario1[[#This Row],[ability]])+COUNTIF(Scenario1[loser2-ability3],OracleAbilities3Scenario1[[#This Row],[ability]])</f>
        <v>10</v>
      </c>
      <c r="M35" s="2">
        <f>COUNTIF(Scenario1[winner1-ability3],OracleAbilities3Scenario1[[#This Row],[ability]])+COUNTIF(Scenario1[winner2-ability3],OracleAbilities3Scenario1[[#This Row],[ability]])</f>
        <v>7</v>
      </c>
      <c r="N35" s="12">
        <f>IF(SUM(OracleAbilities3Scenario1[[#This Row],[takes]]) &gt; 0,OracleAbilities3Scenario1[[#This Row],[takes]]/SUM(OracleAbilities3Scenario1[takes]),0)</f>
        <v>0.52631578947368418</v>
      </c>
      <c r="O35" s="12">
        <f>IF(OracleAbilities3Scenario1[[#This Row],[takes]]&gt;0,OracleAbilities3Scenario1[[#This Row],[wins]]/OracleAbilities3Scenario1[[#This Row],[takes]],0)</f>
        <v>0.7</v>
      </c>
      <c r="S35" s="18"/>
    </row>
    <row r="36" spans="11:20" x14ac:dyDescent="0.25">
      <c r="K36" s="11" t="s">
        <v>132</v>
      </c>
      <c r="L36" s="1">
        <f>COUNTIF(Scenario1[winner1-ability3],OracleAbilities3Scenario1[[#This Row],[ability]])+COUNTIF(Scenario1[winner2-ability3],OracleAbilities3Scenario1[[#This Row],[ability]])+COUNTIF(Scenario1[loser1-ability3],OracleAbilities3Scenario1[[#This Row],[ability]])+COUNTIF(Scenario1[loser2-ability3],OracleAbilities3Scenario1[[#This Row],[ability]])</f>
        <v>0</v>
      </c>
      <c r="M36" s="1">
        <f>COUNTIF(Scenario1[winner1-ability3],OracleAbilities3Scenario1[[#This Row],[ability]])+COUNTIF(Scenario1[winner2-ability3],OracleAbilities3Scenario1[[#This Row],[ability]])</f>
        <v>0</v>
      </c>
      <c r="N36" s="15">
        <f>IF(SUM(OracleAbilities3Scenario1[[#This Row],[takes]]) &gt; 0,OracleAbilities3Scenario1[[#This Row],[takes]]/SUM(OracleAbilities3Scenario1[takes]),0)</f>
        <v>0</v>
      </c>
      <c r="O36" s="15">
        <f>IF(OracleAbilities3Scenario1[[#This Row],[takes]]&gt;0,OracleAbilities3Scenario1[[#This Row],[wins]]/OracleAbilities3Scenario1[[#This Row],[takes]],0)</f>
        <v>0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" t="s">
        <v>133</v>
      </c>
      <c r="L39" s="2">
        <f>COUNTIF(Scenario1[winner1-ability4],OracleAbilities4Scenario1[[#This Row],[ability]])+COUNTIF(Scenario1[winner2-ability4],OracleAbilities4Scenario1[[#This Row],[ability]])+COUNTIF(Scenario1[loser1-ability4],OracleAbilities4Scenario1[[#This Row],[ability]])+COUNTIF(Scenario1[loser2-ability4],OracleAbilities4Scenario1[[#This Row],[ability]])</f>
        <v>2</v>
      </c>
      <c r="M39" s="2">
        <f>COUNTIF(Scenario1[winner1-ability4],OracleAbilities4Scenario1[[#This Row],[ability]])+COUNTIF(Scenario1[winner2-ability4],OracleAbilities4Scenario1[[#This Row],[ability]])</f>
        <v>2</v>
      </c>
      <c r="N39" s="12">
        <f>IF(SUM(OracleAbilities4Scenario1[[#This Row],[takes]]) &gt; 0,OracleAbilities4Scenario1[[#This Row],[takes]]/SUM(OracleAbilities4Scenario1[takes]),0)</f>
        <v>0.4</v>
      </c>
      <c r="O39" s="12">
        <f>IF(OracleAbilities4Scenario1[[#This Row],[takes]]&gt;0,OracleAbilities4Scenario1[[#This Row],[wins]]/OracleAbilities4Scenario1[[#This Row],[takes]],0)</f>
        <v>1</v>
      </c>
      <c r="S39" s="18"/>
    </row>
    <row r="40" spans="11:20" x14ac:dyDescent="0.25">
      <c r="K40" s="2" t="s">
        <v>37</v>
      </c>
      <c r="L40" s="2">
        <f>COUNTIF(Scenario1[winner1-ability4],OracleAbilities4Scenario1[[#This Row],[ability]])+COUNTIF(Scenario1[winner2-ability4],OracleAbilities4Scenario1[[#This Row],[ability]])+COUNTIF(Scenario1[loser1-ability4],OracleAbilities4Scenario1[[#This Row],[ability]])+COUNTIF(Scenario1[loser2-ability4],OracleAbilities4Scenario1[[#This Row],[ability]])</f>
        <v>0</v>
      </c>
      <c r="M40" s="2">
        <f>COUNTIF(Scenario1[winner1-ability4],OracleAbilities4Scenario1[[#This Row],[ability]])+COUNTIF(Scenario1[winner2-ability4],OracleAbilities4Scenario1[[#This Row],[ability]])</f>
        <v>0</v>
      </c>
      <c r="N40" s="12">
        <f>IF(SUM(OracleAbilities4Scenario1[[#This Row],[takes]]) &gt; 0,OracleAbilities4Scenario1[[#This Row],[takes]]/SUM(OracleAbilities4Scenario1[takes]),0)</f>
        <v>0</v>
      </c>
      <c r="O40" s="12">
        <f>IF(OracleAbilities4Scenario1[[#This Row],[takes]]&gt;0,OracleAbilities4Scenario1[[#This Row],[wins]]/OracleAbilities4Scenario1[[#This Row],[takes]],0)</f>
        <v>0</v>
      </c>
      <c r="S40" s="18"/>
    </row>
    <row r="41" spans="11:20" ht="15.75" thickBot="1" x14ac:dyDescent="0.3">
      <c r="K41" s="10" t="s">
        <v>134</v>
      </c>
      <c r="L41" s="25">
        <f>COUNTIF(Scenario1[winner1-ability4],OracleAbilities4Scenario1[[#This Row],[ability]])+COUNTIF(Scenario1[winner2-ability4],OracleAbilities4Scenario1[[#This Row],[ability]])+COUNTIF(Scenario1[loser1-ability4],OracleAbilities4Scenario1[[#This Row],[ability]])+COUNTIF(Scenario1[loser2-ability4],OracleAbilities4Scenario1[[#This Row],[ability]])</f>
        <v>3</v>
      </c>
      <c r="M41" s="25">
        <f>COUNTIF(Scenario1[winner1-ability4],OracleAbilities4Scenario1[[#This Row],[ability]])+COUNTIF(Scenario1[winner2-ability4],OracleAbilities4Scenario1[[#This Row],[ability]])</f>
        <v>2</v>
      </c>
      <c r="N41" s="26">
        <f>IF(SUM(OracleAbilities4Scenario1[[#This Row],[takes]]) &gt; 0,OracleAbilities4Scenario1[[#This Row],[takes]]/SUM(OracleAbilities4Scenario1[takes]),0)</f>
        <v>0.6</v>
      </c>
      <c r="O41" s="26">
        <f>IF(OracleAbilities4Scenario1[[#This Row],[takes]]&gt;0,OracleAbilities4Scenario1[[#This Row],[wins]]/OracleAbilities4Scenario1[[#This Row],[takes]],0)</f>
        <v>0.66666666666666663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7" t="s">
        <v>184</v>
      </c>
      <c r="L43" s="38"/>
      <c r="M43" s="38"/>
      <c r="N43" s="38"/>
      <c r="O43" s="38"/>
      <c r="P43" s="38"/>
      <c r="Q43" s="38"/>
      <c r="R43" s="38"/>
      <c r="S43" s="39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167</v>
      </c>
      <c r="S44" s="18" t="s">
        <v>164</v>
      </c>
    </row>
    <row r="45" spans="11:20" x14ac:dyDescent="0.25">
      <c r="K45" t="s">
        <v>46</v>
      </c>
      <c r="L45">
        <f>COUNTIF(Scenario2[winner1-ability1],OracleAbilities1Scenario2[[#This Row],[ability]])+COUNTIF(Scenario2[loser1-ability1],OracleAbilities1Scenario2[[#This Row],[ability]])</f>
        <v>2</v>
      </c>
      <c r="M45">
        <f>COUNTIF(Scenario2[winner1-ability1],OracleAbilities1Scenario2[[#This Row],[ability]])</f>
        <v>1</v>
      </c>
      <c r="N45" s="3">
        <f>IF(SUM(OracleAbilities1Scenario2[[#This Row],[takes]]) &gt; 0,OracleAbilities1Scenario2[[#This Row],[takes]]/SUM(OracleAbilities1Scenario2[takes]),0)</f>
        <v>0.14285714285714285</v>
      </c>
      <c r="O45" s="3">
        <f>IF(OracleAbilities1Scenario2[[#This Row],[takes]]&gt;0,OracleAbilities1Scenario2[[#This Row],[wins]]/OracleAbilities1Scenario2[[#This Row],[takes]],0)</f>
        <v>0.5</v>
      </c>
      <c r="Q45">
        <v>1</v>
      </c>
      <c r="R45">
        <f>COUNTIFS(Scenario2[winner1],"oracle",Scenario2[winner1-pw],OracleEquipScenario2[[#This Row],[level]])+COUNTIFS(Scenario2[loser1],"oracle",Scenario2[loser1-pw],OracleEquipScenario2[[#This Row],[level]])</f>
        <v>10</v>
      </c>
      <c r="S45" s="18">
        <f>COUNTIFS(Scenario2[winner1],"oracle",Scenario2[winner1-cp],OracleEquipScenario2[[#This Row],[level]])+COUNTIFS(Scenario2[loser1],"oracle",Scenario2[loser1-cp],OracleEquipScenario2[[#This Row],[level]])</f>
        <v>4</v>
      </c>
    </row>
    <row r="46" spans="11:20" x14ac:dyDescent="0.25">
      <c r="K46" t="s">
        <v>65</v>
      </c>
      <c r="L46">
        <f>COUNTIF(Scenario2[winner1-ability1],OracleAbilities1Scenario2[[#This Row],[ability]])+COUNTIF(Scenario2[loser1-ability1],OracleAbilities1Scenario2[[#This Row],[ability]])</f>
        <v>4</v>
      </c>
      <c r="M46">
        <f>COUNTIF(Scenario2[winner1-ability1],OracleAbilities1Scenario2[[#This Row],[ability]])</f>
        <v>2</v>
      </c>
      <c r="N46" s="3">
        <f>IF(SUM(OracleAbilities1Scenario2[[#This Row],[takes]]) &gt; 0,OracleAbilities1Scenario2[[#This Row],[takes]]/SUM(OracleAbilities1Scenario2[takes]),0)</f>
        <v>0.2857142857142857</v>
      </c>
      <c r="O46" s="3">
        <f>IF(OracleAbilities1Scenario2[[#This Row],[takes]]&gt;0,OracleAbilities1Scenario2[[#This Row],[wins]]/OracleAbilities1Scenario2[[#This Row],[takes]],0)</f>
        <v>0.5</v>
      </c>
      <c r="Q46">
        <v>2</v>
      </c>
      <c r="R46">
        <f>COUNTIFS(Scenario2[winner1],"oracle",Scenario2[winner1-pw],OracleEquipScenario2[[#This Row],[level]])+COUNTIFS(Scenario2[loser1],"oracle",Scenario2[loser1-pw],OracleEquipScenario2[[#This Row],[level]])</f>
        <v>4</v>
      </c>
      <c r="S46" s="18">
        <f>COUNTIFS(Scenario2[winner1],"oracle",Scenario2[winner1-cp],OracleEquipScenario2[[#This Row],[level]])+COUNTIFS(Scenario2[loser1],"oracle",Scenario2[loser1-cp],OracleEquipScenario2[[#This Row],[level]])</f>
        <v>6</v>
      </c>
    </row>
    <row r="47" spans="11:20" x14ac:dyDescent="0.25">
      <c r="K47" t="s">
        <v>34</v>
      </c>
      <c r="L47">
        <f>COUNTIF(Scenario2[winner1-ability1],OracleAbilities1Scenario2[[#This Row],[ability]])+COUNTIF(Scenario2[loser1-ability1],OracleAbilities1Scenario2[[#This Row],[ability]])</f>
        <v>8</v>
      </c>
      <c r="M47">
        <f>COUNTIF(Scenario2[winner1-ability1],OracleAbilities1Scenario2[[#This Row],[ability]])</f>
        <v>2</v>
      </c>
      <c r="N47" s="3">
        <f>IF(SUM(OracleAbilities1Scenario2[[#This Row],[takes]]) &gt; 0,OracleAbilities1Scenario2[[#This Row],[takes]]/SUM(OracleAbilities1Scenario2[takes]),0)</f>
        <v>0.5714285714285714</v>
      </c>
      <c r="O47" s="3">
        <f>IF(OracleAbilities1Scenario2[[#This Row],[takes]]&gt;0,OracleAbilities1Scenario2[[#This Row],[wins]]/OracleAbilities1Scenario2[[#This Row],[takes]],0)</f>
        <v>0.25</v>
      </c>
      <c r="Q47">
        <v>3</v>
      </c>
      <c r="R47">
        <f>COUNTIFS(Scenario2[winner1],"oracle",Scenario2[winner1-pw],OracleEquipScenario2[[#This Row],[level]])+COUNTIFS(Scenario2[loser1],"oracle",Scenario2[loser1-pw],OracleEquipScenario2[[#This Row],[level]])</f>
        <v>0</v>
      </c>
      <c r="S47" s="18">
        <f>COUNTIFS(Scenario2[winner1],"oracle",Scenario2[winner1-cp],OracleEquipScenario2[[#This Row],[level]])+COUNTIFS(Scenario2[loser1],"oracle",Scenario2[loser1-cp],OracleEquipScenario2[[#This Row],[level]])</f>
        <v>4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" t="s">
        <v>66</v>
      </c>
      <c r="L50" s="2">
        <f>COUNTIF(Scenario2[winner1-ability2],OracleAbilities2Scenario2[[#This Row],[ability]])+COUNTIF(Scenario2[loser1-ability2],OracleAbilities2Scenario2[[#This Row],[ability]])</f>
        <v>3</v>
      </c>
      <c r="M50" s="2">
        <f>COUNTIF(Scenario2[winner1-ability2],OracleAbilities2Scenario2[[#This Row],[ability]])</f>
        <v>2</v>
      </c>
      <c r="N50" s="12">
        <f>IF(SUM(OracleAbilities2Scenario2[[#This Row],[takes]]) &gt; 0,OracleAbilities2Scenario2[[#This Row],[takes]]/SUM(OracleAbilities2Scenario2[takes]),0)</f>
        <v>0.375</v>
      </c>
      <c r="O50" s="12">
        <f>IF(OracleAbilities2Scenario2[[#This Row],[takes]]&gt;0,OracleAbilities2Scenario2[[#This Row],[wins]]/OracleAbilities2Scenario2[[#This Row],[takes]],0)</f>
        <v>0.66666666666666663</v>
      </c>
      <c r="S50" s="18"/>
    </row>
    <row r="51" spans="11:19" x14ac:dyDescent="0.25">
      <c r="K51" t="s">
        <v>130</v>
      </c>
      <c r="L51" s="2">
        <f>COUNTIF(Scenario2[winner1-ability2],OracleAbilities2Scenario2[[#This Row],[ability]])+COUNTIF(Scenario2[loser1-ability2],OracleAbilities2Scenario2[[#This Row],[ability]])</f>
        <v>2</v>
      </c>
      <c r="M51" s="2">
        <f>COUNTIF(Scenario2[winner1-ability2],OracleAbilities2Scenario2[[#This Row],[ability]])</f>
        <v>1</v>
      </c>
      <c r="N51" s="3">
        <f>IF(SUM(OracleAbilities2Scenario2[[#This Row],[takes]]) &gt; 0,OracleAbilities2Scenario2[[#This Row],[takes]]/SUM(OracleAbilities2Scenario2[takes]),0)</f>
        <v>0.25</v>
      </c>
      <c r="O51" s="3">
        <f>IF(OracleAbilities2Scenario2[[#This Row],[takes]]&gt;0,OracleAbilities2Scenario2[[#This Row],[wins]]/OracleAbilities2Scenario2[[#This Row],[takes]],0)</f>
        <v>0.5</v>
      </c>
      <c r="S51" s="18"/>
    </row>
    <row r="52" spans="11:19" x14ac:dyDescent="0.25">
      <c r="K52" s="10" t="s">
        <v>35</v>
      </c>
      <c r="L52" s="2">
        <f>COUNTIF(Scenario2[winner1-ability2],OracleAbilities2Scenario2[[#This Row],[ability]])+COUNTIF(Scenario2[loser1-ability2],OracleAbilities2Scenario2[[#This Row],[ability]])</f>
        <v>3</v>
      </c>
      <c r="M52" s="2">
        <f>COUNTIF(Scenario2[winner1-ability2],OracleAbilities2Scenario2[[#This Row],[ability]])</f>
        <v>2</v>
      </c>
      <c r="N52" s="13">
        <f>IF(SUM(OracleAbilities2Scenario2[[#This Row],[takes]]) &gt; 0,OracleAbilities2Scenario2[[#This Row],[takes]]/SUM(OracleAbilities2Scenario2[takes]),0)</f>
        <v>0.375</v>
      </c>
      <c r="O52" s="13">
        <f>IF(OracleAbilities2Scenario2[[#This Row],[takes]]&gt;0,OracleAbilities2Scenario2[[#This Row],[wins]]/OracleAbilities2Scenario2[[#This Row],[takes]],0)</f>
        <v>0.66666666666666663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1" t="s">
        <v>36</v>
      </c>
      <c r="L55" s="1">
        <f>COUNTIF(Scenario2[winner1-ability3],OracleAbilities3Scenario2[[#This Row],[ability]])+COUNTIF(Scenario2[loser1-ability3],OracleAbilities3Scenario2[[#This Row],[ability]])</f>
        <v>2</v>
      </c>
      <c r="M55" s="1">
        <f>COUNTIF(Scenario2[winner1-ability3],OracleAbilities3Scenario2[[#This Row],[ability]])</f>
        <v>2</v>
      </c>
      <c r="N55" s="14">
        <f>IF(SUM(OracleAbilities3Scenario2[[#This Row],[takes]]) &gt; 0,OracleAbilities3Scenario2[[#This Row],[takes]]/SUM(OracleAbilities3Scenario2[takes]),0)</f>
        <v>0.5</v>
      </c>
      <c r="O55" s="14">
        <f>IF(OracleAbilities3Scenario2[[#This Row],[takes]]&gt;0,OracleAbilities3Scenario2[[#This Row],[wins]]/OracleAbilities3Scenario2[[#This Row],[takes]],0)</f>
        <v>1</v>
      </c>
      <c r="S55" s="18"/>
    </row>
    <row r="56" spans="11:19" x14ac:dyDescent="0.25">
      <c r="K56" s="2" t="s">
        <v>131</v>
      </c>
      <c r="L56" s="2">
        <f>COUNTIF(Scenario2[winner1-ability3],OracleAbilities3Scenario2[[#This Row],[ability]])+COUNTIF(Scenario2[loser1-ability3],OracleAbilities3Scenario2[[#This Row],[ability]])</f>
        <v>2</v>
      </c>
      <c r="M56" s="2">
        <f>COUNTIF(Scenario2[winner1-ability3],OracleAbilities3Scenario2[[#This Row],[ability]])</f>
        <v>1</v>
      </c>
      <c r="N56" s="12">
        <f>IF(SUM(OracleAbilities3Scenario2[[#This Row],[takes]]) &gt; 0,OracleAbilities3Scenario2[[#This Row],[takes]]/SUM(OracleAbilities3Scenario2[takes]),0)</f>
        <v>0.5</v>
      </c>
      <c r="O56" s="12">
        <f>IF(OracleAbilities3Scenario2[[#This Row],[takes]]&gt;0,OracleAbilities3Scenario2[[#This Row],[wins]]/OracleAbilities3Scenario2[[#This Row],[takes]],0)</f>
        <v>0.5</v>
      </c>
      <c r="S56" s="18"/>
    </row>
    <row r="57" spans="11:19" x14ac:dyDescent="0.25">
      <c r="K57" s="11" t="s">
        <v>132</v>
      </c>
      <c r="L57" s="1">
        <f>COUNTIF(Scenario2[winner1-ability3],OracleAbilities3Scenario2[[#This Row],[ability]])+COUNTIF(Scenario2[loser1-ability3],OracleAbilities3Scenario2[[#This Row],[ability]])</f>
        <v>0</v>
      </c>
      <c r="M57" s="1">
        <f>COUNTIF(Scenario2[winner1-ability3],OracleAbilities3Scenario2[[#This Row],[ability]])</f>
        <v>0</v>
      </c>
      <c r="N57" s="15">
        <f>IF(SUM(OracleAbilities3Scenario2[[#This Row],[takes]]) &gt; 0,OracleAbilities3Scenario2[[#This Row],[takes]]/SUM(OracleAbilities3Scenario2[takes]),0)</f>
        <v>0</v>
      </c>
      <c r="O57" s="15">
        <f>IF(OracleAbilities3Scenario2[[#This Row],[takes]]&gt;0,OracleAbilities3Scenario2[[#This Row],[wins]]/OracleAbilities3Scenario2[[#This Row],[takes]],0)</f>
        <v>0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" t="s">
        <v>133</v>
      </c>
      <c r="L60" s="2">
        <f>COUNTIF(Scenario2[winner1-ability4],OracleAbilities4Scenario2[[#This Row],[ability]])+COUNTIF(Scenario2[loser1-ability4],OracleAbilities4Scenario2[[#This Row],[ability]])</f>
        <v>0</v>
      </c>
      <c r="M60" s="2">
        <f>COUNTIF(Scenario2[winner1-ability4],OracleAbilities4Scenario2[[#This Row],[ability]])</f>
        <v>0</v>
      </c>
      <c r="N60" s="12">
        <f>IF(SUM(OracleAbilities4Scenario2[[#This Row],[takes]]) &gt; 0,OracleAbilities4Scenario2[[#This Row],[takes]]/SUM(OracleAbilities4Scenario2[takes]),0)</f>
        <v>0</v>
      </c>
      <c r="O60" s="12">
        <f>IF(OracleAbilities4Scenario2[[#This Row],[takes]]&gt;0,OracleAbilities4Scenario2[[#This Row],[wins]]/OracleAbilities4Scenario2[[#This Row],[takes]],0)</f>
        <v>0</v>
      </c>
      <c r="S60" s="18"/>
    </row>
    <row r="61" spans="11:19" x14ac:dyDescent="0.25">
      <c r="K61" s="2" t="s">
        <v>37</v>
      </c>
      <c r="L61" s="2">
        <f>COUNTIF(Scenario2[winner1-ability4],OracleAbilities4Scenario2[[#This Row],[ability]])+COUNTIF(Scenario2[loser1-ability4],OracleAbilities4Scenario2[[#This Row],[ability]])</f>
        <v>0</v>
      </c>
      <c r="M61" s="2">
        <f>COUNTIF(Scenario2[winner1-ability4],OracleAbilities4Scenario2[[#This Row],[ability]])</f>
        <v>0</v>
      </c>
      <c r="N61" s="12">
        <f>IF(SUM(OracleAbilities4Scenario2[[#This Row],[takes]]) &gt; 0,OracleAbilities4Scenario2[[#This Row],[takes]]/SUM(OracleAbilities4Scenario2[takes]),0)</f>
        <v>0</v>
      </c>
      <c r="O61" s="12">
        <f>IF(OracleAbilities4Scenario2[[#This Row],[takes]]&gt;0,OracleAbilities4Scenario2[[#This Row],[wins]]/OracleAbilities4Scenario2[[#This Row],[takes]],0)</f>
        <v>0</v>
      </c>
      <c r="S61" s="18"/>
    </row>
    <row r="62" spans="11:19" ht="15.75" thickBot="1" x14ac:dyDescent="0.3">
      <c r="K62" s="10" t="s">
        <v>134</v>
      </c>
      <c r="L62" s="25">
        <f>COUNTIF(Scenario2[winner1-ability4],OracleAbilities4Scenario2[[#This Row],[ability]])+COUNTIF(Scenario2[loser1-ability4],OracleAbilities4Scenario2[[#This Row],[ability]])</f>
        <v>1</v>
      </c>
      <c r="M62" s="25">
        <f>COUNTIF(Scenario2[winner1-ability4],OracleAbilities4Scenario2[[#This Row],[ability]])</f>
        <v>1</v>
      </c>
      <c r="N62" s="26">
        <f>IF(SUM(OracleAbilities4Scenario2[[#This Row],[takes]]) &gt; 0,OracleAbilities4Scenario2[[#This Row],[takes]]/SUM(OracleAbilities4Scenario2[takes]),0)</f>
        <v>1</v>
      </c>
      <c r="O62" s="26">
        <f>IF(OracleAbilities4Scenario2[[#This Row],[takes]]&gt;0,OracleAbilities4Scenario2[[#This Row],[wins]]/OracleAbilities4Scenario2[[#This Row],[takes]],0)</f>
        <v>1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7" t="s">
        <v>209</v>
      </c>
      <c r="L64" s="38"/>
      <c r="M64" s="38"/>
      <c r="N64" s="38"/>
      <c r="O64" s="38"/>
      <c r="P64" s="38"/>
      <c r="Q64" s="38"/>
      <c r="R64" s="38"/>
      <c r="S64" s="39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167</v>
      </c>
      <c r="S65" s="18" t="s">
        <v>164</v>
      </c>
    </row>
    <row r="66" spans="11:19" x14ac:dyDescent="0.25">
      <c r="K66" t="s">
        <v>46</v>
      </c>
      <c r="L66">
        <f>COUNTIF(Scenario3[winner1-ability1],OracleAbilities1Scenario3[[#This Row],[ability]])+COUNTIF(Scenario3[loser1-ability1],OracleAbilities1Scenario3[[#This Row],[ability]])+COUNTIF(Scenario3[loser2-ability1],OracleAbilities1Scenario3[[#This Row],[ability]])</f>
        <v>1</v>
      </c>
      <c r="M66">
        <f>COUNTIF(Scenario3[winner1-ability1],OracleAbilities1Scenario3[[#This Row],[ability]])</f>
        <v>0</v>
      </c>
      <c r="N66" s="3">
        <f>IF(SUM(OracleAbilities1Scenario3[[#This Row],[takes]]) &gt; 0,OracleAbilities1Scenario3[[#This Row],[takes]]/SUM(OracleAbilities1Scenario3[takes]),0)</f>
        <v>4.7619047619047616E-2</v>
      </c>
      <c r="O66" s="3">
        <f>IF(OracleAbilities1Scenario3[[#This Row],[takes]]&gt;0,OracleAbilities1Scenario3[[#This Row],[wins]]/OracleAbilities1Scenario3[[#This Row],[takes]],0)</f>
        <v>0</v>
      </c>
      <c r="Q66">
        <v>1</v>
      </c>
      <c r="R66">
        <f>COUNTIFS(Scenario3[winner1],"oracle",Scenario3[winner1-pw],OracleEquipScenario3[[#This Row],[level]])+COUNTIFS(Scenario3[loser1],"oracle",Scenario3[loser1-pw],OracleEquipScenario3[[#This Row],[level]])+COUNTIFS(Scenario3[loser2],"oracle",Scenario3[loser2-pw],OracleEquipScenario3[[#This Row],[level]])</f>
        <v>8</v>
      </c>
      <c r="S66" s="18">
        <f>COUNTIFS(Scenario3[winner1],"oracle",Scenario3[winner1-cp],OracleEquipScenario3[[#This Row],[level]])+COUNTIFS(Scenario3[loser1],"oracle",Scenario3[loser1-cp],OracleEquipScenario3[[#This Row],[level]])+COUNTIFS(Scenario3[loser2],"oracle",Scenario3[loser2-cp],OracleEquipScenario3[[#This Row],[level]])</f>
        <v>2</v>
      </c>
    </row>
    <row r="67" spans="11:19" x14ac:dyDescent="0.25">
      <c r="K67" t="s">
        <v>65</v>
      </c>
      <c r="L67">
        <f>COUNTIF(Scenario3[winner1-ability1],OracleAbilities1Scenario3[[#This Row],[ability]])+COUNTIF(Scenario3[loser1-ability1],OracleAbilities1Scenario3[[#This Row],[ability]])+COUNTIF(Scenario3[loser2-ability1],OracleAbilities1Scenario3[[#This Row],[ability]])</f>
        <v>5</v>
      </c>
      <c r="M67">
        <f>COUNTIF(Scenario3[winner1-ability1],OracleAbilities1Scenario3[[#This Row],[ability]])</f>
        <v>2</v>
      </c>
      <c r="N67" s="3">
        <f>IF(SUM(OracleAbilities1Scenario3[[#This Row],[takes]]) &gt; 0,OracleAbilities1Scenario3[[#This Row],[takes]]/SUM(OracleAbilities1Scenario3[takes]),0)</f>
        <v>0.23809523809523808</v>
      </c>
      <c r="O67" s="3">
        <f>IF(OracleAbilities1Scenario3[[#This Row],[takes]]&gt;0,OracleAbilities1Scenario3[[#This Row],[wins]]/OracleAbilities1Scenario3[[#This Row],[takes]],0)</f>
        <v>0.4</v>
      </c>
      <c r="Q67">
        <v>2</v>
      </c>
      <c r="R67">
        <f>COUNTIFS(Scenario3[winner1],"oracle",Scenario3[winner1-pw],OracleEquipScenario3[[#This Row],[level]])+COUNTIFS(Scenario3[loser1],"oracle",Scenario3[loser1-pw],OracleEquipScenario3[[#This Row],[level]])+COUNTIFS(Scenario3[loser2],"oracle",Scenario3[loser2-pw],OracleEquipScenario3[[#This Row],[level]])</f>
        <v>4</v>
      </c>
      <c r="S67" s="18">
        <f>COUNTIFS(Scenario3[winner1],"oracle",Scenario3[winner1-cp],OracleEquipScenario3[[#This Row],[level]])+COUNTIFS(Scenario3[loser1],"oracle",Scenario3[loser1-cp],OracleEquipScenario3[[#This Row],[level]])+COUNTIFS(Scenario3[loser2],"oracle",Scenario3[loser2-cp],OracleEquipScenario3[[#This Row],[level]])</f>
        <v>9</v>
      </c>
    </row>
    <row r="68" spans="11:19" x14ac:dyDescent="0.25">
      <c r="K68" t="s">
        <v>34</v>
      </c>
      <c r="L68">
        <f>COUNTIF(Scenario3[winner1-ability1],OracleAbilities1Scenario3[[#This Row],[ability]])+COUNTIF(Scenario3[loser1-ability1],OracleAbilities1Scenario3[[#This Row],[ability]])+COUNTIF(Scenario3[loser2-ability1],OracleAbilities1Scenario3[[#This Row],[ability]])</f>
        <v>15</v>
      </c>
      <c r="M68">
        <f>COUNTIF(Scenario3[winner1-ability1],OracleAbilities1Scenario3[[#This Row],[ability]])</f>
        <v>5</v>
      </c>
      <c r="N68" s="3">
        <f>IF(SUM(OracleAbilities1Scenario3[[#This Row],[takes]]) &gt; 0,OracleAbilities1Scenario3[[#This Row],[takes]]/SUM(OracleAbilities1Scenario3[takes]),0)</f>
        <v>0.7142857142857143</v>
      </c>
      <c r="O68" s="3">
        <f>IF(OracleAbilities1Scenario3[[#This Row],[takes]]&gt;0,OracleAbilities1Scenario3[[#This Row],[wins]]/OracleAbilities1Scenario3[[#This Row],[takes]],0)</f>
        <v>0.33333333333333331</v>
      </c>
      <c r="Q68">
        <v>3</v>
      </c>
      <c r="R68">
        <f>COUNTIFS(Scenario3[winner1],"oracle",Scenario3[winner1-pw],OracleEquipScenario3[[#This Row],[level]])+COUNTIFS(Scenario3[loser1],"oracle",Scenario3[loser1-pw],OracleEquipScenario3[[#This Row],[level]])+COUNTIFS(Scenario3[loser2],"oracle",Scenario3[loser2-pw],OracleEquipScenario3[[#This Row],[level]])</f>
        <v>9</v>
      </c>
      <c r="S68" s="18">
        <f>COUNTIFS(Scenario3[winner1],"oracle",Scenario3[winner1-cp],OracleEquipScenario3[[#This Row],[level]])+COUNTIFS(Scenario3[loser1],"oracle",Scenario3[loser1-cp],OracleEquipScenario3[[#This Row],[level]])+COUNTIFS(Scenario3[loser2],"oracle",Scenario3[loser2-cp],OracleEquipScenario3[[#This Row],[level]])</f>
        <v>10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" t="s">
        <v>66</v>
      </c>
      <c r="L71" s="2">
        <f>COUNTIF(Scenario3[winner1-ability2],OracleAbilities2Scenario3[[#This Row],[ability]])+COUNTIF(Scenario3[loser1-ability2],OracleAbilities2Scenario3[[#This Row],[ability]])+COUNTIF(Scenario3[loser2-ability2],OracleAbilities2Scenario3[[#This Row],[ability]])</f>
        <v>8</v>
      </c>
      <c r="M71" s="2">
        <f>COUNTIF(Scenario3[winner1-ability2],OracleAbilities2Scenario3[[#This Row],[ability]])</f>
        <v>2</v>
      </c>
      <c r="N71" s="12">
        <f>IF(SUM(OracleAbilities2Scenario3[[#This Row],[takes]]) &gt; 0,OracleAbilities2Scenario3[[#This Row],[takes]]/SUM(OracleAbilities2Scenario3[takes]),0)</f>
        <v>0.47058823529411764</v>
      </c>
      <c r="O71" s="12">
        <f>IF(OracleAbilities2Scenario3[[#This Row],[takes]]&gt;0,OracleAbilities2Scenario3[[#This Row],[wins]]/OracleAbilities2Scenario3[[#This Row],[takes]],0)</f>
        <v>0.25</v>
      </c>
      <c r="S71" s="18"/>
    </row>
    <row r="72" spans="11:19" x14ac:dyDescent="0.25">
      <c r="K72" t="s">
        <v>130</v>
      </c>
      <c r="L72" s="2">
        <f>COUNTIF(Scenario3[winner1-ability2],OracleAbilities2Scenario3[[#This Row],[ability]])+COUNTIF(Scenario3[loser1-ability2],OracleAbilities2Scenario3[[#This Row],[ability]])+COUNTIF(Scenario3[loser2-ability2],OracleAbilities2Scenario3[[#This Row],[ability]])</f>
        <v>8</v>
      </c>
      <c r="M72" s="2">
        <f>COUNTIF(Scenario3[winner1-ability2],OracleAbilities2Scenario3[[#This Row],[ability]])</f>
        <v>5</v>
      </c>
      <c r="N72" s="3">
        <f>IF(SUM(OracleAbilities2Scenario3[[#This Row],[takes]]) &gt; 0,OracleAbilities2Scenario3[[#This Row],[takes]]/SUM(OracleAbilities2Scenario3[takes]),0)</f>
        <v>0.47058823529411764</v>
      </c>
      <c r="O72" s="3">
        <f>IF(OracleAbilities2Scenario3[[#This Row],[takes]]&gt;0,OracleAbilities2Scenario3[[#This Row],[wins]]/OracleAbilities2Scenario3[[#This Row],[takes]],0)</f>
        <v>0.625</v>
      </c>
      <c r="S72" s="18"/>
    </row>
    <row r="73" spans="11:19" x14ac:dyDescent="0.25">
      <c r="K73" s="10" t="s">
        <v>35</v>
      </c>
      <c r="L73" s="2">
        <f>COUNTIF(Scenario3[winner1-ability2],OracleAbilities2Scenario3[[#This Row],[ability]])+COUNTIF(Scenario3[loser1-ability2],OracleAbilities2Scenario3[[#This Row],[ability]])+COUNTIF(Scenario3[loser2-ability2],OracleAbilities2Scenario3[[#This Row],[ability]])</f>
        <v>1</v>
      </c>
      <c r="M73" s="2">
        <f>COUNTIF(Scenario3[winner1-ability2],OracleAbilities2Scenario3[[#This Row],[ability]])</f>
        <v>0</v>
      </c>
      <c r="N73" s="13">
        <f>IF(SUM(OracleAbilities2Scenario3[[#This Row],[takes]]) &gt; 0,OracleAbilities2Scenario3[[#This Row],[takes]]/SUM(OracleAbilities2Scenario3[takes]),0)</f>
        <v>5.8823529411764705E-2</v>
      </c>
      <c r="O73" s="13">
        <f>IF(OracleAbilities2Scenario3[[#This Row],[takes]]&gt;0,OracleAbilities2Scenario3[[#This Row],[wins]]/OracleAbilities2Scenario3[[#This Row],[takes]],0)</f>
        <v>0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1" t="s">
        <v>36</v>
      </c>
      <c r="L76" s="1">
        <f>COUNTIF(Scenario3[winner1-ability3],OracleAbilities3Scenario3[[#This Row],[ability]])+COUNTIF(Scenario3[loser1-ability3],OracleAbilities3Scenario3[[#This Row],[ability]])+COUNTIF(Scenario3[loser2-ability3],OracleAbilities3Scenario3[[#This Row],[ability]])</f>
        <v>6</v>
      </c>
      <c r="M76" s="1">
        <f>COUNTIF(Scenario3[winner1-ability3],OracleAbilities3Scenario3[[#This Row],[ability]])</f>
        <v>5</v>
      </c>
      <c r="N76" s="14">
        <f>IF(SUM(OracleAbilities3Scenario3[[#This Row],[takes]]) &gt; 0,OracleAbilities3Scenario3[[#This Row],[takes]]/SUM(OracleAbilities3Scenario3[takes]),0)</f>
        <v>0.4</v>
      </c>
      <c r="O76" s="14">
        <f>IF(OracleAbilities3Scenario3[[#This Row],[takes]]&gt;0,OracleAbilities3Scenario3[[#This Row],[wins]]/OracleAbilities3Scenario3[[#This Row],[takes]],0)</f>
        <v>0.83333333333333337</v>
      </c>
      <c r="S76" s="18"/>
    </row>
    <row r="77" spans="11:19" x14ac:dyDescent="0.25">
      <c r="K77" s="2" t="s">
        <v>131</v>
      </c>
      <c r="L77" s="2">
        <f>COUNTIF(Scenario3[winner1-ability3],OracleAbilities3Scenario3[[#This Row],[ability]])+COUNTIF(Scenario3[loser1-ability3],OracleAbilities3Scenario3[[#This Row],[ability]])+COUNTIF(Scenario3[loser2-ability3],OracleAbilities3Scenario3[[#This Row],[ability]])</f>
        <v>6</v>
      </c>
      <c r="M77" s="2">
        <f>COUNTIF(Scenario3[winner1-ability3],OracleAbilities3Scenario3[[#This Row],[ability]])</f>
        <v>0</v>
      </c>
      <c r="N77" s="12">
        <f>IF(SUM(OracleAbilities3Scenario3[[#This Row],[takes]]) &gt; 0,OracleAbilities3Scenario3[[#This Row],[takes]]/SUM(OracleAbilities3Scenario3[takes]),0)</f>
        <v>0.4</v>
      </c>
      <c r="O77" s="12">
        <f>IF(OracleAbilities3Scenario3[[#This Row],[takes]]&gt;0,OracleAbilities3Scenario3[[#This Row],[wins]]/OracleAbilities3Scenario3[[#This Row],[takes]],0)</f>
        <v>0</v>
      </c>
      <c r="S77" s="18"/>
    </row>
    <row r="78" spans="11:19" x14ac:dyDescent="0.25">
      <c r="K78" s="11" t="s">
        <v>132</v>
      </c>
      <c r="L78" s="1">
        <f>COUNTIF(Scenario3[winner1-ability3],OracleAbilities3Scenario3[[#This Row],[ability]])+COUNTIF(Scenario3[loser1-ability3],OracleAbilities3Scenario3[[#This Row],[ability]])+COUNTIF(Scenario3[loser2-ability3],OracleAbilities3Scenario3[[#This Row],[ability]])</f>
        <v>3</v>
      </c>
      <c r="M78" s="1">
        <f>COUNTIF(Scenario3[winner1-ability3],OracleAbilities3Scenario3[[#This Row],[ability]])</f>
        <v>2</v>
      </c>
      <c r="N78" s="15">
        <f>IF(SUM(OracleAbilities3Scenario3[[#This Row],[takes]]) &gt; 0,OracleAbilities3Scenario3[[#This Row],[takes]]/SUM(OracleAbilities3Scenario3[takes]),0)</f>
        <v>0.2</v>
      </c>
      <c r="O78" s="15">
        <f>IF(OracleAbilities3Scenario3[[#This Row],[takes]]&gt;0,OracleAbilities3Scenario3[[#This Row],[wins]]/OracleAbilities3Scenario3[[#This Row],[takes]],0)</f>
        <v>0.66666666666666663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" t="s">
        <v>133</v>
      </c>
      <c r="L81" s="2">
        <f>COUNTIF(Scenario3[winner1-ability4],OracleAbilities4Scenario3[[#This Row],[ability]])+COUNTIF(Scenario3[loser1-ability4],OracleAbilities4Scenario3[[#This Row],[ability]])+COUNTIF(Scenario3[loser2-ability4],OracleAbilities4Scenario3[[#This Row],[ability]])</f>
        <v>4</v>
      </c>
      <c r="M81" s="2">
        <f>COUNTIF(Scenario3[winner1-ability4],OracleAbilities4Scenario3[[#This Row],[ability]])</f>
        <v>2</v>
      </c>
      <c r="N81" s="12">
        <f>IF(SUM(OracleAbilities4Scenario3[[#This Row],[takes]]) &gt; 0,OracleAbilities4Scenario3[[#This Row],[takes]]/SUM(OracleAbilities4Scenario3[takes]),0)</f>
        <v>0.4</v>
      </c>
      <c r="O81" s="12">
        <f>IF(OracleAbilities4Scenario3[[#This Row],[takes]]&gt;0,OracleAbilities4Scenario3[[#This Row],[wins]]/OracleAbilities4Scenario3[[#This Row],[takes]],0)</f>
        <v>0.5</v>
      </c>
      <c r="S81" s="18"/>
    </row>
    <row r="82" spans="11:19" x14ac:dyDescent="0.25">
      <c r="K82" s="2" t="s">
        <v>37</v>
      </c>
      <c r="L82" s="2">
        <f>COUNTIF(Scenario3[winner1-ability4],OracleAbilities4Scenario3[[#This Row],[ability]])+COUNTIF(Scenario3[loser1-ability4],OracleAbilities4Scenario3[[#This Row],[ability]])+COUNTIF(Scenario3[loser2-ability4],OracleAbilities4Scenario3[[#This Row],[ability]])</f>
        <v>0</v>
      </c>
      <c r="M82" s="2">
        <f>COUNTIF(Scenario3[winner1-ability4],OracleAbilities4Scenario3[[#This Row],[ability]])</f>
        <v>0</v>
      </c>
      <c r="N82" s="12">
        <f>IF(SUM(OracleAbilities4Scenario3[[#This Row],[takes]]) &gt; 0,OracleAbilities4Scenario3[[#This Row],[takes]]/SUM(OracleAbilities4Scenario3[takes]),0)</f>
        <v>0</v>
      </c>
      <c r="O82" s="12">
        <f>IF(OracleAbilities4Scenario3[[#This Row],[takes]]&gt;0,OracleAbilities4Scenario3[[#This Row],[wins]]/OracleAbilities4Scenario3[[#This Row],[takes]],0)</f>
        <v>0</v>
      </c>
      <c r="S82" s="18"/>
    </row>
    <row r="83" spans="11:19" ht="15.75" thickBot="1" x14ac:dyDescent="0.3">
      <c r="K83" s="10" t="s">
        <v>134</v>
      </c>
      <c r="L83" s="2">
        <f>COUNTIF(Scenario3[winner1-ability4],OracleAbilities4Scenario3[[#This Row],[ability]])+COUNTIF(Scenario3[loser1-ability4],OracleAbilities4Scenario3[[#This Row],[ability]])+COUNTIF(Scenario3[loser2-ability4],OracleAbilities4Scenario3[[#This Row],[ability]])</f>
        <v>6</v>
      </c>
      <c r="M83" s="2">
        <f>COUNTIF(Scenario3[winner1-ability4],OracleAbilities4Scenario3[[#This Row],[ability]])</f>
        <v>5</v>
      </c>
      <c r="N83" s="26">
        <f>IF(SUM(OracleAbilities4Scenario3[[#This Row],[takes]]) &gt; 0,OracleAbilities4Scenario3[[#This Row],[takes]]/SUM(OracleAbilities4Scenario3[takes]),0)</f>
        <v>0.6</v>
      </c>
      <c r="O83" s="26">
        <f>IF(OracleAbilities4Scenario3[[#This Row],[takes]]&gt;0,OracleAbilities4Scenario3[[#This Row],[wins]]/OracleAbilities4Scenario3[[#This Row],[takes]],0)</f>
        <v>0.83333333333333337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7" t="s">
        <v>219</v>
      </c>
      <c r="L85" s="38"/>
      <c r="M85" s="38"/>
      <c r="N85" s="38"/>
      <c r="O85" s="38"/>
      <c r="P85" s="38"/>
      <c r="Q85" s="38"/>
      <c r="R85" s="38"/>
      <c r="S85" s="39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167</v>
      </c>
      <c r="S86" s="18" t="s">
        <v>164</v>
      </c>
    </row>
    <row r="87" spans="11:19" x14ac:dyDescent="0.25">
      <c r="K87" t="s">
        <v>46</v>
      </c>
      <c r="L87">
        <f>COUNTIF(Scenario4[winner1-ability1],OracleAbilities1Scenario4[[#This Row],[ability]])+COUNTIF(Scenario4[loser1-ability1],OracleAbilities1Scenario4[[#This Row],[ability]])+COUNTIF(Scenario4[loser2-ability1],OracleAbilities1Scenario4[[#This Row],[ability]])+COUNTIF(Scenario4[loser3-ability1],OracleAbilities1Scenario4[[#This Row],[ability]])</f>
        <v>1</v>
      </c>
      <c r="M87">
        <f>COUNTIF(Scenario4[winner1-ability1],OracleAbilities1Scenario4[[#This Row],[ability]])</f>
        <v>0</v>
      </c>
      <c r="N87" s="3">
        <f>IF(SUM(OracleAbilities1Scenario4[[#This Row],[takes]]) &gt; 0,OracleAbilities1Scenario4[[#This Row],[takes]]/SUM(OracleAbilities1Scenario4[takes]),0)</f>
        <v>2.8571428571428571E-2</v>
      </c>
      <c r="O87" s="3">
        <f>IF(OracleAbilities1Scenario4[[#This Row],[takes]]&gt;0,OracleAbilities1Scenario4[[#This Row],[wins]]/OracleAbilities1Scenario4[[#This Row],[takes]],0)</f>
        <v>0</v>
      </c>
      <c r="Q87">
        <v>1</v>
      </c>
      <c r="R87">
        <f>COUNTIFS(Scenario4[winner1],"oracle",Scenario4[winner1-pw],OracleEquipScenario3245[[#This Row],[level]])+COUNTIFS(Scenario4[loser1],"oracle",Scenario4[loser1-pw],OracleEquipScenario3245[[#This Row],[level]])+COUNTIFS(Scenario4[loser2],"oracle",Scenario4[loser2-pw],OracleEquipScenario3245[[#This Row],[level]])+COUNTIFS(Scenario4[loser3],"oracle",Scenario4[loser3-pw],OracleEquipScenario3245[[#This Row],[level]])</f>
        <v>10</v>
      </c>
      <c r="S87" s="18">
        <f>COUNTIFS(Scenario4[winner1],"oracle",Scenario4[winner1-cp],OracleEquipScenario3245[[#This Row],[level]])+COUNTIFS(Scenario4[loser1],"oracle",Scenario4[loser1-cp],OracleEquipScenario3245[[#This Row],[level]])+COUNTIFS(Scenario4[loser2],"oracle",Scenario4[loser2-cp],OracleEquipScenario3245[[#This Row],[level]])+COUNTIFS(Scenario4[loser3],"oracle",Scenario4[loser3-cp],OracleEquipScenario3245[[#This Row],[level]])</f>
        <v>1</v>
      </c>
    </row>
    <row r="88" spans="11:19" x14ac:dyDescent="0.25">
      <c r="K88" t="s">
        <v>65</v>
      </c>
      <c r="L88">
        <f>COUNTIF(Scenario4[winner1-ability1],OracleAbilities1Scenario4[[#This Row],[ability]])+COUNTIF(Scenario4[loser1-ability1],OracleAbilities1Scenario4[[#This Row],[ability]])+COUNTIF(Scenario4[loser2-ability1],OracleAbilities1Scenario4[[#This Row],[ability]])+COUNTIF(Scenario4[loser3-ability1],OracleAbilities1Scenario4[[#This Row],[ability]])</f>
        <v>5</v>
      </c>
      <c r="M88">
        <f>COUNTIF(Scenario4[winner1-ability1],OracleAbilities1Scenario4[[#This Row],[ability]])</f>
        <v>1</v>
      </c>
      <c r="N88" s="3">
        <f>IF(SUM(OracleAbilities1Scenario4[[#This Row],[takes]]) &gt; 0,OracleAbilities1Scenario4[[#This Row],[takes]]/SUM(OracleAbilities1Scenario4[takes]),0)</f>
        <v>0.14285714285714285</v>
      </c>
      <c r="O88" s="3">
        <f>IF(OracleAbilities1Scenario4[[#This Row],[takes]]&gt;0,OracleAbilities1Scenario4[[#This Row],[wins]]/OracleAbilities1Scenario4[[#This Row],[takes]],0)</f>
        <v>0.2</v>
      </c>
      <c r="Q88">
        <v>2</v>
      </c>
      <c r="R88">
        <f>COUNTIFS(Scenario4[winner1],"oracle",Scenario4[winner1-pw],OracleEquipScenario3245[[#This Row],[level]])+COUNTIFS(Scenario4[loser1],"oracle",Scenario4[loser1-pw],OracleEquipScenario3245[[#This Row],[level]])+COUNTIFS(Scenario4[loser2],"oracle",Scenario4[loser2-pw],OracleEquipScenario3245[[#This Row],[level]])+COUNTIFS(Scenario4[loser3],"oracle",Scenario4[loser3-pw],OracleEquipScenario3245[[#This Row],[level]])</f>
        <v>10</v>
      </c>
      <c r="S88" s="18">
        <f>COUNTIFS(Scenario4[winner1],"oracle",Scenario4[winner1-cp],OracleEquipScenario3245[[#This Row],[level]])+COUNTIFS(Scenario4[loser1],"oracle",Scenario4[loser1-cp],OracleEquipScenario3245[[#This Row],[level]])+COUNTIFS(Scenario4[loser2],"oracle",Scenario4[loser2-cp],OracleEquipScenario3245[[#This Row],[level]])+COUNTIFS(Scenario4[loser3],"oracle",Scenario4[loser3-cp],OracleEquipScenario3245[[#This Row],[level]])</f>
        <v>6</v>
      </c>
    </row>
    <row r="89" spans="11:19" x14ac:dyDescent="0.25">
      <c r="K89" t="s">
        <v>34</v>
      </c>
      <c r="L89">
        <f>COUNTIF(Scenario4[winner1-ability1],OracleAbilities1Scenario4[[#This Row],[ability]])+COUNTIF(Scenario4[loser1-ability1],OracleAbilities1Scenario4[[#This Row],[ability]])+COUNTIF(Scenario4[loser2-ability1],OracleAbilities1Scenario4[[#This Row],[ability]])+COUNTIF(Scenario4[loser3-ability1],OracleAbilities1Scenario4[[#This Row],[ability]])</f>
        <v>29</v>
      </c>
      <c r="M89">
        <f>COUNTIF(Scenario4[winner1-ability1],OracleAbilities1Scenario4[[#This Row],[ability]])</f>
        <v>5</v>
      </c>
      <c r="N89" s="3">
        <f>IF(SUM(OracleAbilities1Scenario4[[#This Row],[takes]]) &gt; 0,OracleAbilities1Scenario4[[#This Row],[takes]]/SUM(OracleAbilities1Scenario4[takes]),0)</f>
        <v>0.82857142857142863</v>
      </c>
      <c r="O89" s="3">
        <f>IF(OracleAbilities1Scenario4[[#This Row],[takes]]&gt;0,OracleAbilities1Scenario4[[#This Row],[wins]]/OracleAbilities1Scenario4[[#This Row],[takes]],0)</f>
        <v>0.17241379310344829</v>
      </c>
      <c r="Q89">
        <v>3</v>
      </c>
      <c r="R89">
        <f>COUNTIFS(Scenario4[winner1],"oracle",Scenario4[winner1-pw],OracleEquipScenario3245[[#This Row],[level]])+COUNTIFS(Scenario4[loser1],"oracle",Scenario4[loser1-pw],OracleEquipScenario3245[[#This Row],[level]])+COUNTIFS(Scenario4[loser2],"oracle",Scenario4[loser2-pw],OracleEquipScenario3245[[#This Row],[level]])+COUNTIFS(Scenario4[loser3],"oracle",Scenario4[loser3-pw],OracleEquipScenario3245[[#This Row],[level]])</f>
        <v>15</v>
      </c>
      <c r="S89" s="18">
        <f>COUNTIFS(Scenario4[winner1],"oracle",Scenario4[winner1-cp],OracleEquipScenario3245[[#This Row],[level]])+COUNTIFS(Scenario4[loser1],"oracle",Scenario4[loser1-cp],OracleEquipScenario3245[[#This Row],[level]])+COUNTIFS(Scenario4[loser2],"oracle",Scenario4[loser2-cp],OracleEquipScenario3245[[#This Row],[level]])+COUNTIFS(Scenario4[loser3],"oracle",Scenario4[loser3-cp],OracleEquipScenario3245[[#This Row],[level]])</f>
        <v>28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" t="s">
        <v>66</v>
      </c>
      <c r="L92" s="2">
        <f>COUNTIF(Scenario4[winner1-ability2],OracleAbilities2Scenario4[[#This Row],[ability]])+COUNTIF(Scenario4[loser1-ability2],OracleAbilities2Scenario4[[#This Row],[ability]])+COUNTIF(Scenario4[loser2-ability2],OracleAbilities2Scenario4[[#This Row],[ability]])+COUNTIF(Scenario4[loser3-ability2],OracleAbilities2Scenario4[[#This Row],[ability]])</f>
        <v>7</v>
      </c>
      <c r="M92" s="2">
        <f>COUNTIF(Scenario4[winner1-ability2],OracleAbilities2Scenario4[[#This Row],[ability]])</f>
        <v>1</v>
      </c>
      <c r="N92" s="12">
        <f>IF(SUM(OracleAbilities2Scenario4[[#This Row],[takes]]) &gt; 0,OracleAbilities2Scenario4[[#This Row],[takes]]/SUM(OracleAbilities2Scenario4[takes]),0)</f>
        <v>0.23333333333333334</v>
      </c>
      <c r="O92" s="12">
        <f>IF(OracleAbilities2Scenario4[[#This Row],[takes]]&gt;0,OracleAbilities2Scenario4[[#This Row],[wins]]/OracleAbilities2Scenario4[[#This Row],[takes]],0)</f>
        <v>0.14285714285714285</v>
      </c>
      <c r="S92" s="18"/>
    </row>
    <row r="93" spans="11:19" x14ac:dyDescent="0.25">
      <c r="K93" t="s">
        <v>130</v>
      </c>
      <c r="L93" s="2">
        <f>COUNTIF(Scenario4[winner1-ability2],OracleAbilities2Scenario4[[#This Row],[ability]])+COUNTIF(Scenario4[loser1-ability2],OracleAbilities2Scenario4[[#This Row],[ability]])+COUNTIF(Scenario4[loser2-ability2],OracleAbilities2Scenario4[[#This Row],[ability]])+COUNTIF(Scenario4[loser3-ability2],OracleAbilities2Scenario4[[#This Row],[ability]])</f>
        <v>23</v>
      </c>
      <c r="M93" s="2">
        <f>COUNTIF(Scenario4[winner1-ability2],OracleAbilities2Scenario4[[#This Row],[ability]])</f>
        <v>5</v>
      </c>
      <c r="N93" s="3">
        <f>IF(SUM(OracleAbilities2Scenario4[[#This Row],[takes]]) &gt; 0,OracleAbilities2Scenario4[[#This Row],[takes]]/SUM(OracleAbilities2Scenario4[takes]),0)</f>
        <v>0.76666666666666672</v>
      </c>
      <c r="O93" s="3">
        <f>IF(OracleAbilities2Scenario4[[#This Row],[takes]]&gt;0,OracleAbilities2Scenario4[[#This Row],[wins]]/OracleAbilities2Scenario4[[#This Row],[takes]],0)</f>
        <v>0.21739130434782608</v>
      </c>
      <c r="S93" s="18"/>
    </row>
    <row r="94" spans="11:19" x14ac:dyDescent="0.25">
      <c r="K94" s="10" t="s">
        <v>35</v>
      </c>
      <c r="L94" s="2">
        <f>COUNTIF(Scenario4[winner1-ability2],OracleAbilities2Scenario4[[#This Row],[ability]])+COUNTIF(Scenario4[loser1-ability2],OracleAbilities2Scenario4[[#This Row],[ability]])+COUNTIF(Scenario4[loser2-ability2],OracleAbilities2Scenario4[[#This Row],[ability]])+COUNTIF(Scenario4[loser3-ability2],OracleAbilities2Scenario4[[#This Row],[ability]])</f>
        <v>0</v>
      </c>
      <c r="M94" s="2">
        <f>COUNTIF(Scenario4[winner1-ability2],OracleAbilities2Scenario4[[#This Row],[ability]])</f>
        <v>0</v>
      </c>
      <c r="N94" s="13">
        <f>IF(SUM(OracleAbilities2Scenario4[[#This Row],[takes]]) &gt; 0,OracleAbilities2Scenario4[[#This Row],[takes]]/SUM(OracleAbilities2Scenario4[takes]),0)</f>
        <v>0</v>
      </c>
      <c r="O94" s="13">
        <f>IF(OracleAbilities2Scenario4[[#This Row],[takes]]&gt;0,OracleAbilities2Scenario4[[#This Row],[wins]]/OracleAbilities2Scenario4[[#This Row],[takes]],0)</f>
        <v>0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1" t="s">
        <v>36</v>
      </c>
      <c r="L97" s="1">
        <f>COUNTIF(Scenario4[winner1-ability3],OracleAbilities3Scenario4[[#This Row],[ability]])+COUNTIF(Scenario4[loser1-ability3],OracleAbilities3Scenario4[[#This Row],[ability]])+COUNTIF(Scenario4[loser2-ability3],OracleAbilities3Scenario4[[#This Row],[ability]])+COUNTIF(Scenario4[loser3-ability3],OracleAbilities3Scenario4[[#This Row],[ability]])</f>
        <v>5</v>
      </c>
      <c r="M97" s="1">
        <f>COUNTIF(Scenario4[winner1-ability3],OracleAbilities3Scenario4[[#This Row],[ability]])</f>
        <v>3</v>
      </c>
      <c r="N97" s="14">
        <f>IF(SUM(OracleAbilities3Scenario4[[#This Row],[takes]]) &gt; 0,OracleAbilities3Scenario4[[#This Row],[takes]]/SUM(OracleAbilities3Scenario4[takes]),0)</f>
        <v>0.17241379310344829</v>
      </c>
      <c r="O97" s="14">
        <f>IF(OracleAbilities3Scenario4[[#This Row],[takes]]&gt;0,OracleAbilities3Scenario4[[#This Row],[wins]]/OracleAbilities3Scenario4[[#This Row],[takes]],0)</f>
        <v>0.6</v>
      </c>
      <c r="S97" s="18"/>
    </row>
    <row r="98" spans="11:19" x14ac:dyDescent="0.25">
      <c r="K98" s="2" t="s">
        <v>131</v>
      </c>
      <c r="L98" s="2">
        <f>COUNTIF(Scenario4[winner1-ability3],OracleAbilities3Scenario4[[#This Row],[ability]])+COUNTIF(Scenario4[loser1-ability3],OracleAbilities3Scenario4[[#This Row],[ability]])+COUNTIF(Scenario4[loser2-ability3],OracleAbilities3Scenario4[[#This Row],[ability]])+COUNTIF(Scenario4[loser3-ability3],OracleAbilities3Scenario4[[#This Row],[ability]])</f>
        <v>13</v>
      </c>
      <c r="M98" s="2">
        <f>COUNTIF(Scenario4[winner1-ability3],OracleAbilities3Scenario4[[#This Row],[ability]])</f>
        <v>1</v>
      </c>
      <c r="N98" s="12">
        <f>IF(SUM(OracleAbilities3Scenario4[[#This Row],[takes]]) &gt; 0,OracleAbilities3Scenario4[[#This Row],[takes]]/SUM(OracleAbilities3Scenario4[takes]),0)</f>
        <v>0.44827586206896552</v>
      </c>
      <c r="O98" s="12">
        <f>IF(OracleAbilities3Scenario4[[#This Row],[takes]]&gt;0,OracleAbilities3Scenario4[[#This Row],[wins]]/OracleAbilities3Scenario4[[#This Row],[takes]],0)</f>
        <v>7.6923076923076927E-2</v>
      </c>
      <c r="S98" s="18"/>
    </row>
    <row r="99" spans="11:19" x14ac:dyDescent="0.25">
      <c r="K99" s="11" t="s">
        <v>132</v>
      </c>
      <c r="L99" s="1">
        <f>COUNTIF(Scenario4[winner1-ability3],OracleAbilities3Scenario4[[#This Row],[ability]])+COUNTIF(Scenario4[loser1-ability3],OracleAbilities3Scenario4[[#This Row],[ability]])+COUNTIF(Scenario4[loser2-ability3],OracleAbilities3Scenario4[[#This Row],[ability]])+COUNTIF(Scenario4[loser3-ability3],OracleAbilities3Scenario4[[#This Row],[ability]])</f>
        <v>11</v>
      </c>
      <c r="M99" s="1">
        <f>COUNTIF(Scenario4[winner1-ability3],OracleAbilities3Scenario4[[#This Row],[ability]])</f>
        <v>2</v>
      </c>
      <c r="N99" s="15">
        <f>IF(SUM(OracleAbilities3Scenario4[[#This Row],[takes]]) &gt; 0,OracleAbilities3Scenario4[[#This Row],[takes]]/SUM(OracleAbilities3Scenario4[takes]),0)</f>
        <v>0.37931034482758619</v>
      </c>
      <c r="O99" s="15">
        <f>IF(OracleAbilities3Scenario4[[#This Row],[takes]]&gt;0,OracleAbilities3Scenario4[[#This Row],[wins]]/OracleAbilities3Scenario4[[#This Row],[takes]],0)</f>
        <v>0.18181818181818182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" t="s">
        <v>133</v>
      </c>
      <c r="L102" s="2">
        <f>COUNTIF(Scenario4[winner1-ability4],OracleAbilities4Scenario4[[#This Row],[ability]])+COUNTIF(Scenario4[loser1-ability4],OracleAbilities4Scenario4[[#This Row],[ability]])+COUNTIF(Scenario4[loser2-ability4],OracleAbilities4Scenario4[[#This Row],[ability]])+COUNTIF(Scenario4[loser3-ability4],OracleAbilities4Scenario4[[#This Row],[ability]])</f>
        <v>16</v>
      </c>
      <c r="M102" s="2">
        <f>COUNTIF(Scenario4[winner1-ability4],OracleAbilities4Scenario4[[#This Row],[ability]])</f>
        <v>4</v>
      </c>
      <c r="N102" s="12">
        <f>IF(SUM(OracleAbilities4Scenario4[[#This Row],[takes]]) &gt; 0,OracleAbilities4Scenario4[[#This Row],[takes]]/SUM(OracleAbilities4Scenario4[takes]),0)</f>
        <v>0.72727272727272729</v>
      </c>
      <c r="O102" s="12">
        <f>IF(OracleAbilities4Scenario4[[#This Row],[takes]]&gt;0,OracleAbilities4Scenario4[[#This Row],[wins]]/OracleAbilities4Scenario4[[#This Row],[takes]],0)</f>
        <v>0.25</v>
      </c>
      <c r="S102" s="18"/>
    </row>
    <row r="103" spans="11:19" x14ac:dyDescent="0.25">
      <c r="K103" s="2" t="s">
        <v>37</v>
      </c>
      <c r="L103" s="2">
        <f>COUNTIF(Scenario4[winner1-ability4],OracleAbilities4Scenario4[[#This Row],[ability]])+COUNTIF(Scenario4[loser1-ability4],OracleAbilities4Scenario4[[#This Row],[ability]])+COUNTIF(Scenario4[loser2-ability4],OracleAbilities4Scenario4[[#This Row],[ability]])+COUNTIF(Scenario4[loser3-ability4],OracleAbilities4Scenario4[[#This Row],[ability]])</f>
        <v>2</v>
      </c>
      <c r="M103" s="2">
        <f>COUNTIF(Scenario4[winner1-ability4],OracleAbilities4Scenario4[[#This Row],[ability]])</f>
        <v>0</v>
      </c>
      <c r="N103" s="12">
        <f>IF(SUM(OracleAbilities4Scenario4[[#This Row],[takes]]) &gt; 0,OracleAbilities4Scenario4[[#This Row],[takes]]/SUM(OracleAbilities4Scenario4[takes]),0)</f>
        <v>9.0909090909090912E-2</v>
      </c>
      <c r="O103" s="12">
        <f>IF(OracleAbilities4Scenario4[[#This Row],[takes]]&gt;0,OracleAbilities4Scenario4[[#This Row],[wins]]/OracleAbilities4Scenario4[[#This Row],[takes]],0)</f>
        <v>0</v>
      </c>
      <c r="S103" s="18"/>
    </row>
    <row r="104" spans="11:19" ht="15.75" thickBot="1" x14ac:dyDescent="0.3">
      <c r="K104" s="10" t="s">
        <v>134</v>
      </c>
      <c r="L104" s="2">
        <f>COUNTIF(Scenario4[winner1-ability4],OracleAbilities4Scenario4[[#This Row],[ability]])+COUNTIF(Scenario4[loser1-ability4],OracleAbilities4Scenario4[[#This Row],[ability]])+COUNTIF(Scenario4[loser2-ability4],OracleAbilities4Scenario4[[#This Row],[ability]])+COUNTIF(Scenario4[loser3-ability4],OracleAbilities4Scenario4[[#This Row],[ability]])</f>
        <v>4</v>
      </c>
      <c r="M104" s="2">
        <f>COUNTIF(Scenario4[winner1-ability4],OracleAbilities4Scenario4[[#This Row],[ability]])</f>
        <v>1</v>
      </c>
      <c r="N104" s="26">
        <f>IF(SUM(OracleAbilities4Scenario4[[#This Row],[takes]]) &gt; 0,OracleAbilities4Scenario4[[#This Row],[takes]]/SUM(OracleAbilities4Scenario4[takes]),0)</f>
        <v>0.18181818181818182</v>
      </c>
      <c r="O104" s="26">
        <f>IF(OracleAbilities4Scenario4[[#This Row],[takes]]&gt;0,OracleAbilities4Scenario4[[#This Row],[wins]]/OracleAbilities4Scenario4[[#This Row],[takes]],0)</f>
        <v>0.25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7" t="s">
        <v>220</v>
      </c>
      <c r="L106" s="38"/>
      <c r="M106" s="38"/>
      <c r="N106" s="38"/>
      <c r="O106" s="38"/>
      <c r="P106" s="38"/>
      <c r="Q106" s="38"/>
      <c r="R106" s="38"/>
      <c r="S106" s="39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167</v>
      </c>
      <c r="S107" s="18" t="s">
        <v>164</v>
      </c>
    </row>
    <row r="108" spans="11:19" x14ac:dyDescent="0.25">
      <c r="K108" t="s">
        <v>46</v>
      </c>
      <c r="L108">
        <f>COUNTIF(Scenario5[winner1-ability1],OracleAbilities1Scenario5[[#This Row],[ability]])+COUNTIF(Scenario5[winner2-ability1],OracleAbilities1Scenario5[[#This Row],[ability]])+COUNTIF(Scenario5[loser1-ability1],OracleAbilities1Scenario5[[#This Row],[ability]])+COUNTIF(Scenario5[loser2-ability1],OracleAbilities1Scenario5[[#This Row],[ability]])</f>
        <v>31</v>
      </c>
      <c r="M108">
        <f>COUNTIF(Scenario5[winner1-ability1],OracleAbilities1Scenario5[[#This Row],[ability]])+COUNTIF(Scenario5[winner2-ability1],OracleAbilities1Scenario5[[#This Row],[ability]])</f>
        <v>7</v>
      </c>
      <c r="N108" s="3">
        <f>IF(SUM(OracleAbilities1Scenario5[[#This Row],[takes]]) &gt; 0,OracleAbilities1Scenario5[[#This Row],[takes]]/SUM(OracleAbilities1Scenario5[takes]),0)</f>
        <v>0.29523809523809524</v>
      </c>
      <c r="O108" s="3">
        <f>IF(OracleAbilities1Scenario5[[#This Row],[takes]]&gt;0,OracleAbilities1Scenario5[[#This Row],[wins]]/OracleAbilities1Scenario5[[#This Row],[takes]],0)</f>
        <v>0.22580645161290322</v>
      </c>
      <c r="Q108">
        <v>1</v>
      </c>
      <c r="R108">
        <f>COUNTIFS(Scenario5[winner1],"oracle",Scenario5[winner1-pw],OracleEquipScenario5[[#This Row],[level]])+COUNTIFS(Scenario5[winner2],"oracle",Scenario5[winner2-pw],OracleEquipScenario5[[#This Row],[level]])+COUNTIFS(Scenario5[loser1],"oracle",Scenario5[loser1-pw],OracleEquipScenario5[[#This Row],[level]])+COUNTIFS(Scenario5[loser2],"oracle",Scenario5[loser2-pw],OracleEquipScenario5[[#This Row],[level]])</f>
        <v>72</v>
      </c>
      <c r="S108" s="18">
        <f>COUNTIFS(Scenario5[winner1],"oracle",Scenario5[winner1-cp],OracleEquipScenario5[[#This Row],[level]])+COUNTIFS(Scenario5[winner2],"oracle",Scenario5[winner2-cp],OracleEquipScenario5[[#This Row],[level]])+COUNTIFS(Scenario5[loser1],"oracle",Scenario5[loser1-cp],OracleEquipScenario5[[#This Row],[level]])+COUNTIFS(Scenario5[loser2],"oracle",Scenario5[loser2-cp],OracleEquipScenario5[[#This Row],[level]])</f>
        <v>52</v>
      </c>
    </row>
    <row r="109" spans="11:19" x14ac:dyDescent="0.25">
      <c r="K109" t="s">
        <v>65</v>
      </c>
      <c r="L109">
        <f>COUNTIF(Scenario5[winner1-ability1],OracleAbilities1Scenario5[[#This Row],[ability]])+COUNTIF(Scenario5[winner2-ability1],OracleAbilities1Scenario5[[#This Row],[ability]])+COUNTIF(Scenario5[loser1-ability1],OracleAbilities1Scenario5[[#This Row],[ability]])+COUNTIF(Scenario5[loser2-ability1],OracleAbilities1Scenario5[[#This Row],[ability]])</f>
        <v>33</v>
      </c>
      <c r="M109">
        <f>COUNTIF(Scenario5[winner1-ability1],OracleAbilities1Scenario5[[#This Row],[ability]])+COUNTIF(Scenario5[winner2-ability1],OracleAbilities1Scenario5[[#This Row],[ability]])</f>
        <v>10</v>
      </c>
      <c r="N109" s="3">
        <f>IF(SUM(OracleAbilities1Scenario5[[#This Row],[takes]]) &gt; 0,OracleAbilities1Scenario5[[#This Row],[takes]]/SUM(OracleAbilities1Scenario5[takes]),0)</f>
        <v>0.31428571428571428</v>
      </c>
      <c r="O109" s="3">
        <f>IF(OracleAbilities1Scenario5[[#This Row],[takes]]&gt;0,OracleAbilities1Scenario5[[#This Row],[wins]]/OracleAbilities1Scenario5[[#This Row],[takes]],0)</f>
        <v>0.30303030303030304</v>
      </c>
      <c r="Q109">
        <v>2</v>
      </c>
      <c r="R109">
        <f>COUNTIFS(Scenario5[winner1],"oracle",Scenario5[winner1-pw],OracleEquipScenario5[[#This Row],[level]])+COUNTIFS(Scenario5[winner2],"oracle",Scenario5[winner2-pw],OracleEquipScenario5[[#This Row],[level]])+COUNTIFS(Scenario5[loser1],"oracle",Scenario5[loser1-pw],OracleEquipScenario5[[#This Row],[level]])+COUNTIFS(Scenario5[loser2],"oracle",Scenario5[loser2-pw],OracleEquipScenario5[[#This Row],[level]])</f>
        <v>28</v>
      </c>
      <c r="S109" s="18">
        <f>COUNTIFS(Scenario5[winner1],"oracle",Scenario5[winner1-cp],OracleEquipScenario5[[#This Row],[level]])+COUNTIFS(Scenario5[winner2],"oracle",Scenario5[winner2-cp],OracleEquipScenario5[[#This Row],[level]])+COUNTIFS(Scenario5[loser1],"oracle",Scenario5[loser1-cp],OracleEquipScenario5[[#This Row],[level]])+COUNTIFS(Scenario5[loser2],"oracle",Scenario5[loser2-cp],OracleEquipScenario5[[#This Row],[level]])</f>
        <v>36</v>
      </c>
    </row>
    <row r="110" spans="11:19" x14ac:dyDescent="0.25">
      <c r="K110" t="s">
        <v>34</v>
      </c>
      <c r="L110">
        <f>COUNTIF(Scenario5[winner1-ability1],OracleAbilities1Scenario5[[#This Row],[ability]])+COUNTIF(Scenario5[winner2-ability1],OracleAbilities1Scenario5[[#This Row],[ability]])+COUNTIF(Scenario5[loser1-ability1],OracleAbilities1Scenario5[[#This Row],[ability]])+COUNTIF(Scenario5[loser2-ability1],OracleAbilities1Scenario5[[#This Row],[ability]])</f>
        <v>41</v>
      </c>
      <c r="M110">
        <f>COUNTIF(Scenario5[winner1-ability1],OracleAbilities1Scenario5[[#This Row],[ability]])+COUNTIF(Scenario5[winner2-ability1],OracleAbilities1Scenario5[[#This Row],[ability]])</f>
        <v>15</v>
      </c>
      <c r="N110" s="3">
        <f>IF(SUM(OracleAbilities1Scenario5[[#This Row],[takes]]) &gt; 0,OracleAbilities1Scenario5[[#This Row],[takes]]/SUM(OracleAbilities1Scenario5[takes]),0)</f>
        <v>0.39047619047619048</v>
      </c>
      <c r="O110" s="3">
        <f>IF(OracleAbilities1Scenario5[[#This Row],[takes]]&gt;0,OracleAbilities1Scenario5[[#This Row],[wins]]/OracleAbilities1Scenario5[[#This Row],[takes]],0)</f>
        <v>0.36585365853658536</v>
      </c>
      <c r="Q110">
        <v>3</v>
      </c>
      <c r="R110">
        <f>COUNTIFS(Scenario5[winner1],"oracle",Scenario5[winner1-pw],OracleEquipScenario5[[#This Row],[level]])+COUNTIFS(Scenario5[winner2],"oracle",Scenario5[winner2-pw],OracleEquipScenario5[[#This Row],[level]])+COUNTIFS(Scenario5[loser1],"oracle",Scenario5[loser1-pw],OracleEquipScenario5[[#This Row],[level]])+COUNTIFS(Scenario5[loser2],"oracle",Scenario5[loser2-pw],OracleEquipScenario5[[#This Row],[level]])</f>
        <v>5</v>
      </c>
      <c r="S110" s="18">
        <f>COUNTIFS(Scenario5[winner1],"oracle",Scenario5[winner1-cp],OracleEquipScenario5[[#This Row],[level]])+COUNTIFS(Scenario5[winner2],"oracle",Scenario5[winner2-cp],OracleEquipScenario5[[#This Row],[level]])+COUNTIFS(Scenario5[loser1],"oracle",Scenario5[loser1-cp],OracleEquipScenario5[[#This Row],[level]])+COUNTIFS(Scenario5[loser2],"oracle",Scenario5[loser2-cp],OracleEquipScenario5[[#This Row],[level]])</f>
        <v>17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" t="s">
        <v>66</v>
      </c>
      <c r="L113" s="2">
        <f>COUNTIF(Scenario5[winner1-ability2],OracleAbilities2Scenario5[[#This Row],[ability]])+COUNTIF(Scenario5[winner2-ability2],OracleAbilities2Scenario5[[#This Row],[ability]])+COUNTIF(Scenario5[loser1-ability2],OracleAbilities2Scenario5[[#This Row],[ability]])+COUNTIF(Scenario5[loser2-ability2],OracleAbilities2Scenario5[[#This Row],[ability]])</f>
        <v>23</v>
      </c>
      <c r="M113" s="2">
        <f>COUNTIF(Scenario5[winner1-ability2],OracleAbilities2Scenario5[[#This Row],[ability]])+COUNTIF(Scenario5[winner2-ability2],OracleAbilities2Scenario5[[#This Row],[ability]])</f>
        <v>10</v>
      </c>
      <c r="N113" s="12">
        <f>IF(SUM(OracleAbilities2Scenario5[[#This Row],[takes]]) &gt; 0,OracleAbilities2Scenario5[[#This Row],[takes]]/SUM(OracleAbilities2Scenario5[takes]),0)</f>
        <v>0.5</v>
      </c>
      <c r="O113" s="12">
        <f>IF(OracleAbilities2Scenario5[[#This Row],[takes]]&gt;0,OracleAbilities2Scenario5[[#This Row],[wins]]/OracleAbilities2Scenario5[[#This Row],[takes]],0)</f>
        <v>0.43478260869565216</v>
      </c>
      <c r="S113" s="18"/>
    </row>
    <row r="114" spans="11:19" x14ac:dyDescent="0.25">
      <c r="K114" t="s">
        <v>130</v>
      </c>
      <c r="L114" s="2">
        <f>COUNTIF(Scenario5[winner1-ability2],OracleAbilities2Scenario5[[#This Row],[ability]])+COUNTIF(Scenario5[winner2-ability2],OracleAbilities2Scenario5[[#This Row],[ability]])+COUNTIF(Scenario5[loser1-ability2],OracleAbilities2Scenario5[[#This Row],[ability]])+COUNTIF(Scenario5[loser2-ability2],OracleAbilities2Scenario5[[#This Row],[ability]])</f>
        <v>17</v>
      </c>
      <c r="M114" s="2">
        <f>COUNTIF(Scenario5[winner1-ability2],OracleAbilities2Scenario5[[#This Row],[ability]])+COUNTIF(Scenario5[winner2-ability2],OracleAbilities2Scenario5[[#This Row],[ability]])</f>
        <v>9</v>
      </c>
      <c r="N114" s="3">
        <f>IF(SUM(OracleAbilities2Scenario5[[#This Row],[takes]]) &gt; 0,OracleAbilities2Scenario5[[#This Row],[takes]]/SUM(OracleAbilities2Scenario5[takes]),0)</f>
        <v>0.36956521739130432</v>
      </c>
      <c r="O114" s="3">
        <f>IF(OracleAbilities2Scenario5[[#This Row],[takes]]&gt;0,OracleAbilities2Scenario5[[#This Row],[wins]]/OracleAbilities2Scenario5[[#This Row],[takes]],0)</f>
        <v>0.52941176470588236</v>
      </c>
      <c r="S114" s="18"/>
    </row>
    <row r="115" spans="11:19" x14ac:dyDescent="0.25">
      <c r="K115" s="10" t="s">
        <v>35</v>
      </c>
      <c r="L115" s="2">
        <f>COUNTIF(Scenario5[winner1-ability2],OracleAbilities2Scenario5[[#This Row],[ability]])+COUNTIF(Scenario5[winner2-ability2],OracleAbilities2Scenario5[[#This Row],[ability]])+COUNTIF(Scenario5[loser1-ability2],OracleAbilities2Scenario5[[#This Row],[ability]])+COUNTIF(Scenario5[loser2-ability2],OracleAbilities2Scenario5[[#This Row],[ability]])</f>
        <v>6</v>
      </c>
      <c r="M115" s="2">
        <f>COUNTIF(Scenario5[winner1-ability2],OracleAbilities2Scenario5[[#This Row],[ability]])+COUNTIF(Scenario5[winner2-ability2],OracleAbilities2Scenario5[[#This Row],[ability]])</f>
        <v>3</v>
      </c>
      <c r="N115" s="13">
        <f>IF(SUM(OracleAbilities2Scenario5[[#This Row],[takes]]) &gt; 0,OracleAbilities2Scenario5[[#This Row],[takes]]/SUM(OracleAbilities2Scenario5[takes]),0)</f>
        <v>0.13043478260869565</v>
      </c>
      <c r="O115" s="13">
        <f>IF(OracleAbilities2Scenario5[[#This Row],[takes]]&gt;0,OracleAbilities2Scenario5[[#This Row],[wins]]/OracleAbilities2Scenario5[[#This Row],[takes]],0)</f>
        <v>0.5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1" t="s">
        <v>36</v>
      </c>
      <c r="L118" s="1">
        <f>COUNTIF(Scenario5[winner1-ability3],OracleAbilities3Scenario5[[#This Row],[ability]])+COUNTIF(Scenario5[winner2-ability3],OracleAbilities3Scenario5[[#This Row],[ability]])+COUNTIF(Scenario5[loser1-ability3],OracleAbilities3Scenario5[[#This Row],[ability]])+COUNTIF(Scenario5[loser2-ability3],OracleAbilities3Scenario5[[#This Row],[ability]])</f>
        <v>10</v>
      </c>
      <c r="M118" s="1">
        <f>COUNTIF(Scenario5[winner1-ability3],OracleAbilities3Scenario5[[#This Row],[ability]])+COUNTIF(Scenario5[winner2-ability3],OracleAbilities3Scenario5[[#This Row],[ability]])</f>
        <v>9</v>
      </c>
      <c r="N118" s="14">
        <f>IF(SUM(OracleAbilities3Scenario5[[#This Row],[takes]]) &gt; 0,OracleAbilities3Scenario5[[#This Row],[takes]]/SUM(OracleAbilities3Scenario5[takes]),0)</f>
        <v>0.43478260869565216</v>
      </c>
      <c r="O118" s="14">
        <f>IF(OracleAbilities3Scenario5[[#This Row],[takes]]&gt;0,OracleAbilities3Scenario5[[#This Row],[wins]]/OracleAbilities3Scenario5[[#This Row],[takes]],0)</f>
        <v>0.9</v>
      </c>
      <c r="S118" s="18"/>
    </row>
    <row r="119" spans="11:19" x14ac:dyDescent="0.25">
      <c r="K119" s="2" t="s">
        <v>131</v>
      </c>
      <c r="L119" s="2">
        <f>COUNTIF(Scenario5[winner1-ability3],OracleAbilities3Scenario5[[#This Row],[ability]])+COUNTIF(Scenario5[winner2-ability3],OracleAbilities3Scenario5[[#This Row],[ability]])+COUNTIF(Scenario5[loser1-ability3],OracleAbilities3Scenario5[[#This Row],[ability]])+COUNTIF(Scenario5[loser2-ability3],OracleAbilities3Scenario5[[#This Row],[ability]])</f>
        <v>8</v>
      </c>
      <c r="M119" s="2">
        <f>COUNTIF(Scenario5[winner1-ability3],OracleAbilities3Scenario5[[#This Row],[ability]])+COUNTIF(Scenario5[winner2-ability3],OracleAbilities3Scenario5[[#This Row],[ability]])</f>
        <v>3</v>
      </c>
      <c r="N119" s="12">
        <f>IF(SUM(OracleAbilities3Scenario5[[#This Row],[takes]]) &gt; 0,OracleAbilities3Scenario5[[#This Row],[takes]]/SUM(OracleAbilities3Scenario5[takes]),0)</f>
        <v>0.34782608695652173</v>
      </c>
      <c r="O119" s="12">
        <f>IF(OracleAbilities3Scenario5[[#This Row],[takes]]&gt;0,OracleAbilities3Scenario5[[#This Row],[wins]]/OracleAbilities3Scenario5[[#This Row],[takes]],0)</f>
        <v>0.375</v>
      </c>
      <c r="S119" s="18"/>
    </row>
    <row r="120" spans="11:19" x14ac:dyDescent="0.25">
      <c r="K120" s="11" t="s">
        <v>132</v>
      </c>
      <c r="L120" s="1">
        <f>COUNTIF(Scenario5[winner1-ability3],OracleAbilities3Scenario5[[#This Row],[ability]])+COUNTIF(Scenario5[winner2-ability3],OracleAbilities3Scenario5[[#This Row],[ability]])+COUNTIF(Scenario5[loser1-ability3],OracleAbilities3Scenario5[[#This Row],[ability]])+COUNTIF(Scenario5[loser2-ability3],OracleAbilities3Scenario5[[#This Row],[ability]])</f>
        <v>5</v>
      </c>
      <c r="M120" s="1">
        <f>COUNTIF(Scenario5[winner1-ability3],OracleAbilities3Scenario5[[#This Row],[ability]])+COUNTIF(Scenario5[winner2-ability3],OracleAbilities3Scenario5[[#This Row],[ability]])</f>
        <v>5</v>
      </c>
      <c r="N120" s="15">
        <f>IF(SUM(OracleAbilities3Scenario5[[#This Row],[takes]]) &gt; 0,OracleAbilities3Scenario5[[#This Row],[takes]]/SUM(OracleAbilities3Scenario5[takes]),0)</f>
        <v>0.21739130434782608</v>
      </c>
      <c r="O120" s="15">
        <f>IF(OracleAbilities3Scenario5[[#This Row],[takes]]&gt;0,OracleAbilities3Scenario5[[#This Row],[wins]]/OracleAbilities3Scenario5[[#This Row],[takes]],0)</f>
        <v>1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" t="s">
        <v>133</v>
      </c>
      <c r="L123" s="2">
        <f>COUNTIF(Scenario5[winner1-ability4],OracleAbilities4Scenario5[[#This Row],[ability]])+COUNTIF(Scenario5[winner2-ability4],OracleAbilities4Scenario5[[#This Row],[ability]])+COUNTIF(Scenario5[loser1-ability4],OracleAbilities4Scenario5[[#This Row],[ability]])+COUNTIF(Scenario5[loser2-ability4],OracleAbilities4Scenario5[[#This Row],[ability]])</f>
        <v>4</v>
      </c>
      <c r="M123" s="2">
        <f>COUNTIF(Scenario5[winner1-ability4],OracleAbilities4Scenario5[[#This Row],[ability]])+COUNTIF(Scenario5[winner2-ability4],OracleAbilities4Scenario5[[#This Row],[ability]])</f>
        <v>4</v>
      </c>
      <c r="N123" s="12">
        <f>IF(SUM(OracleAbilities4Scenario5[[#This Row],[takes]]) &gt; 0,OracleAbilities4Scenario5[[#This Row],[takes]]/SUM(OracleAbilities4Scenario5[takes]),0)</f>
        <v>0.36363636363636365</v>
      </c>
      <c r="O123" s="12">
        <f>IF(OracleAbilities4Scenario5[[#This Row],[takes]]&gt;0,OracleAbilities4Scenario5[[#This Row],[wins]]/OracleAbilities4Scenario5[[#This Row],[takes]],0)</f>
        <v>1</v>
      </c>
      <c r="S123" s="18"/>
    </row>
    <row r="124" spans="11:19" x14ac:dyDescent="0.25">
      <c r="K124" s="2" t="s">
        <v>37</v>
      </c>
      <c r="L124" s="2">
        <f>COUNTIF(Scenario5[winner1-ability4],OracleAbilities4Scenario5[[#This Row],[ability]])+COUNTIF(Scenario5[winner2-ability4],OracleAbilities4Scenario5[[#This Row],[ability]])+COUNTIF(Scenario5[loser1-ability4],OracleAbilities4Scenario5[[#This Row],[ability]])+COUNTIF(Scenario5[loser2-ability4],OracleAbilities4Scenario5[[#This Row],[ability]])</f>
        <v>1</v>
      </c>
      <c r="M124" s="2">
        <f>COUNTIF(Scenario5[winner1-ability4],OracleAbilities4Scenario5[[#This Row],[ability]])+COUNTIF(Scenario5[winner2-ability4],OracleAbilities4Scenario5[[#This Row],[ability]])</f>
        <v>0</v>
      </c>
      <c r="N124" s="12">
        <f>IF(SUM(OracleAbilities4Scenario5[[#This Row],[takes]]) &gt; 0,OracleAbilities4Scenario5[[#This Row],[takes]]/SUM(OracleAbilities4Scenario5[takes]),0)</f>
        <v>9.0909090909090912E-2</v>
      </c>
      <c r="O124" s="12">
        <f>IF(OracleAbilities4Scenario5[[#This Row],[takes]]&gt;0,OracleAbilities4Scenario5[[#This Row],[wins]]/OracleAbilities4Scenario5[[#This Row],[takes]],0)</f>
        <v>0</v>
      </c>
      <c r="S124" s="18"/>
    </row>
    <row r="125" spans="11:19" ht="15.75" thickBot="1" x14ac:dyDescent="0.3">
      <c r="K125" s="10" t="s">
        <v>134</v>
      </c>
      <c r="L125" s="2">
        <f>COUNTIF(Scenario5[winner1-ability4],OracleAbilities4Scenario5[[#This Row],[ability]])+COUNTIF(Scenario5[winner2-ability4],OracleAbilities4Scenario5[[#This Row],[ability]])+COUNTIF(Scenario5[loser1-ability4],OracleAbilities4Scenario5[[#This Row],[ability]])+COUNTIF(Scenario5[loser2-ability4],OracleAbilities4Scenario5[[#This Row],[ability]])</f>
        <v>6</v>
      </c>
      <c r="M125" s="2">
        <f>COUNTIF(Scenario5[winner1-ability4],OracleAbilities4Scenario5[[#This Row],[ability]])+COUNTIF(Scenario5[winner2-ability4],OracleAbilities4Scenario5[[#This Row],[ability]])</f>
        <v>5</v>
      </c>
      <c r="N125" s="26">
        <f>IF(SUM(OracleAbilities4Scenario5[[#This Row],[takes]]) &gt; 0,OracleAbilities4Scenario5[[#This Row],[takes]]/SUM(OracleAbilities4Scenario5[takes]),0)</f>
        <v>0.54545454545454541</v>
      </c>
      <c r="O125" s="26">
        <f>IF(OracleAbilities4Scenario5[[#This Row],[takes]]&gt;0,OracleAbilities4Scenario5[[#This Row],[wins]]/OracleAbilities4Scenario5[[#This Row],[takes]],0)</f>
        <v>0.83333333333333337</v>
      </c>
      <c r="P125" s="27"/>
      <c r="Q125" s="27"/>
      <c r="R125" s="27"/>
      <c r="S125" s="28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702F3-4A68-4909-A558-BC7D8CBD8DBC}">
  <dimension ref="A1:V125"/>
  <sheetViews>
    <sheetView workbookViewId="0">
      <selection activeCell="G26" sqref="G26"/>
    </sheetView>
  </sheetViews>
  <sheetFormatPr defaultRowHeight="15" x14ac:dyDescent="0.25"/>
  <cols>
    <col min="1" max="1" width="19.425781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9.7109375" bestFit="1" customWidth="1"/>
    <col min="9" max="9" width="12.85546875" bestFit="1" customWidth="1"/>
    <col min="10" max="10" width="3.85546875" customWidth="1"/>
    <col min="11" max="11" width="19.42578125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4" customWidth="1"/>
    <col min="17" max="17" width="7.7109375" bestFit="1" customWidth="1"/>
    <col min="18" max="18" width="9.710937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9"/>
      <c r="K1" s="37" t="s">
        <v>182</v>
      </c>
      <c r="L1" s="38"/>
      <c r="M1" s="38"/>
      <c r="N1" s="38"/>
      <c r="O1" s="38"/>
      <c r="P1" s="38"/>
      <c r="Q1" s="38"/>
      <c r="R1" s="38"/>
      <c r="S1" s="39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168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168</v>
      </c>
      <c r="S2" s="18" t="s">
        <v>164</v>
      </c>
      <c r="U2" t="s">
        <v>199</v>
      </c>
      <c r="V2" s="3">
        <f>H4/SUM(AvatarEquip[bracers])</f>
        <v>0.32987012987012987</v>
      </c>
    </row>
    <row r="3" spans="1:22" x14ac:dyDescent="0.25">
      <c r="A3" t="s">
        <v>44</v>
      </c>
      <c r="B3">
        <f>L3+L24+L45+L66+L87+L108</f>
        <v>207</v>
      </c>
      <c r="C3">
        <f>M3+M24+M45+M66+M87+M108</f>
        <v>108</v>
      </c>
      <c r="D3" s="3">
        <f>IF(SUM(AvatarAbilities1[[#This Row],[takes]]) &gt; 0,AvatarAbilities1[[#This Row],[takes]]/SUM(AvatarAbilities1[takes]),0)</f>
        <v>0.53766233766233762</v>
      </c>
      <c r="E3" s="3">
        <f>IF(AvatarAbilities1[[#This Row],[takes]]&gt;0,AvatarAbilities1[[#This Row],[wins]]/AvatarAbilities1[[#This Row],[takes]],0)</f>
        <v>0.52173913043478259</v>
      </c>
      <c r="G3">
        <v>1</v>
      </c>
      <c r="H3">
        <f>R3+R24+R45+R66+R87+R108</f>
        <v>116</v>
      </c>
      <c r="I3" s="18">
        <f>S3+S24+S45+S66+S87+S108</f>
        <v>267</v>
      </c>
      <c r="K3" t="s">
        <v>44</v>
      </c>
      <c r="L3">
        <f>COUNTIF(Scenario0[winner1-ability1],AvatarAbilities1Scenario0[[#This Row],[ability]])+COUNTIF(Scenario0[winner2-ability1],AvatarAbilities1Scenario0[[#This Row],[ability]])+COUNTIF(Scenario0[loser1-ability1],AvatarAbilities1Scenario0[[#This Row],[ability]])+COUNTIF(Scenario0[loser2-ability1],AvatarAbilities1Scenario0[[#This Row],[ability]])</f>
        <v>0</v>
      </c>
      <c r="M3">
        <f>COUNTIF(Scenario0[winner1-ability1],AvatarAbilities1Scenario0[[#This Row],[ability]])+COUNTIF(Scenario0[winner2-ability1],AvatarAbilities1Scenario0[[#This Row],[ability]])</f>
        <v>0</v>
      </c>
      <c r="N3" s="3">
        <f>IF(SUM(AvatarAbilities1Scenario0[[#This Row],[takes]]) &gt; 0,AvatarAbilities1Scenario0[[#This Row],[takes]]/SUM(AvatarAbilities1Scenario0[takes]),0)</f>
        <v>0</v>
      </c>
      <c r="O3" s="3">
        <f>IF(AvatarAbilities1Scenario0[[#This Row],[takes]]&gt;0,AvatarAbilities1Scenario0[[#This Row],[wins]]/AvatarAbilities1Scenario0[[#This Row],[takes]],0)</f>
        <v>0</v>
      </c>
      <c r="Q3">
        <v>1</v>
      </c>
      <c r="R3">
        <f>COUNTIFS(Scenario0[winner1],"avatar",Scenario0[winner1-pw],AvatarEquipScenario0[[#This Row],[level]])+COUNTIFS(Scenario0[winner2],"avatar",Scenario0[winner2-pw],AvatarEquipScenario0[[#This Row],[level]])+COUNTIFS(Scenario0[loser1],"avatar",Scenario0[loser1-pw],AvatarEquipScenario0[[#This Row],[level]])+COUNTIFS(Scenario0[loser2],"avatar",Scenario0[loser2-pw],AvatarEquipScenario0[[#This Row],[level]])</f>
        <v>32</v>
      </c>
      <c r="S3" s="18">
        <f>COUNTIFS(Scenario0[winner1],"avatar",Scenario0[winner1-cp],AvatarEquipScenario0[[#This Row],[level]])+COUNTIFS(Scenario0[winner2],"avatar",Scenario0[winner2-cp],AvatarEquipScenario0[[#This Row],[level]])+COUNTIFS(Scenario0[loser1],"avatar",Scenario0[loser1-cp],AvatarEquipScenario0[[#This Row],[level]])+COUNTIFS(Scenario0[loser2],"avatar",Scenario0[loser2-cp],AvatarEquipScenario0[[#This Row],[level]])</f>
        <v>72</v>
      </c>
      <c r="U3" t="s">
        <v>200</v>
      </c>
      <c r="V3" s="16">
        <f>H5/SUM(AvatarEquip[bracers])</f>
        <v>0.36883116883116884</v>
      </c>
    </row>
    <row r="4" spans="1:22" x14ac:dyDescent="0.25">
      <c r="A4" t="s">
        <v>135</v>
      </c>
      <c r="B4">
        <f t="shared" ref="B4:B5" si="0">L4+L25+L46+L67+L88+L109</f>
        <v>125</v>
      </c>
      <c r="C4">
        <f t="shared" ref="C4:C5" si="1">M4+M25+M46+M67+M88+M109</f>
        <v>74</v>
      </c>
      <c r="D4" s="3">
        <f>IF(SUM(AvatarAbilities1[[#This Row],[takes]]) &gt; 0,AvatarAbilities1[[#This Row],[takes]]/SUM(AvatarAbilities1[takes]),0)</f>
        <v>0.32467532467532467</v>
      </c>
      <c r="E4" s="3">
        <f>IF(AvatarAbilities1[[#This Row],[takes]]&gt;0,AvatarAbilities1[[#This Row],[wins]]/AvatarAbilities1[[#This Row],[takes]],0)</f>
        <v>0.59199999999999997</v>
      </c>
      <c r="G4">
        <v>2</v>
      </c>
      <c r="H4">
        <f t="shared" ref="H4:H5" si="2">R4+R25+R46+R67+R88+R109</f>
        <v>127</v>
      </c>
      <c r="I4" s="18">
        <f t="shared" ref="I4:I5" si="3">S4+S25+S46+S67+S88+S109</f>
        <v>64</v>
      </c>
      <c r="K4" t="s">
        <v>135</v>
      </c>
      <c r="L4">
        <f>COUNTIF(Scenario0[winner1-ability1],AvatarAbilities1Scenario0[[#This Row],[ability]])+COUNTIF(Scenario0[winner2-ability1],AvatarAbilities1Scenario0[[#This Row],[ability]])+COUNTIF(Scenario0[loser1-ability1],AvatarAbilities1Scenario0[[#This Row],[ability]])+COUNTIF(Scenario0[loser2-ability1],AvatarAbilities1Scenario0[[#This Row],[ability]])</f>
        <v>105</v>
      </c>
      <c r="M4">
        <f>COUNTIF(Scenario0[winner1-ability1],AvatarAbilities1Scenario0[[#This Row],[ability]])+COUNTIF(Scenario0[winner2-ability1],AvatarAbilities1Scenario0[[#This Row],[ability]])</f>
        <v>64</v>
      </c>
      <c r="N4" s="3">
        <f>IF(SUM(AvatarAbilities1Scenario0[[#This Row],[takes]]) &gt; 0,AvatarAbilities1Scenario0[[#This Row],[takes]]/SUM(AvatarAbilities1Scenario0[takes]),0)</f>
        <v>1</v>
      </c>
      <c r="O4" s="3">
        <f>IF(AvatarAbilities1Scenario0[[#This Row],[takes]]&gt;0,AvatarAbilities1Scenario0[[#This Row],[wins]]/AvatarAbilities1Scenario0[[#This Row],[takes]],0)</f>
        <v>0.60952380952380958</v>
      </c>
      <c r="Q4">
        <v>2</v>
      </c>
      <c r="R4">
        <f>COUNTIFS(Scenario0[winner1],"avatar",Scenario0[winner1-pw],AvatarEquipScenario0[[#This Row],[level]])+COUNTIFS(Scenario0[winner2],"avatar",Scenario0[winner2-pw],AvatarEquipScenario0[[#This Row],[level]])+COUNTIFS(Scenario0[loser1],"avatar",Scenario0[loser1-pw],AvatarEquipScenario0[[#This Row],[level]])+COUNTIFS(Scenario0[loser2],"avatar",Scenario0[loser2-pw],AvatarEquipScenario0[[#This Row],[level]])</f>
        <v>52</v>
      </c>
      <c r="S4" s="18">
        <f>COUNTIFS(Scenario0[winner1],"avatar",Scenario0[winner1-cp],AvatarEquipScenario0[[#This Row],[level]])+COUNTIFS(Scenario0[winner2],"avatar",Scenario0[winner2-cp],AvatarEquipScenario0[[#This Row],[level]])+COUNTIFS(Scenario0[loser1],"avatar",Scenario0[loser1-cp],AvatarEquipScenario0[[#This Row],[level]])+COUNTIFS(Scenario0[loser2],"avatar",Scenario0[loser2-cp],AvatarEquipScenario0[[#This Row],[level]])</f>
        <v>18</v>
      </c>
      <c r="U4" t="s">
        <v>179</v>
      </c>
      <c r="V4" s="3">
        <f>AvatarEquip[[#This Row],[chestpiece]]/SUM(AvatarEquip[chestpiece])</f>
        <v>0.16623376623376623</v>
      </c>
    </row>
    <row r="5" spans="1:22" x14ac:dyDescent="0.25">
      <c r="A5" t="s">
        <v>73</v>
      </c>
      <c r="B5">
        <f t="shared" si="0"/>
        <v>53</v>
      </c>
      <c r="C5">
        <f t="shared" si="1"/>
        <v>18</v>
      </c>
      <c r="D5" s="3">
        <f>IF(SUM(AvatarAbilities1[[#This Row],[takes]]) &gt; 0,AvatarAbilities1[[#This Row],[takes]]/SUM(AvatarAbilities1[takes]),0)</f>
        <v>0.13766233766233765</v>
      </c>
      <c r="E5" s="3">
        <f>IF(AvatarAbilities1[[#This Row],[takes]]&gt;0,AvatarAbilities1[[#This Row],[wins]]/AvatarAbilities1[[#This Row],[takes]],0)</f>
        <v>0.33962264150943394</v>
      </c>
      <c r="G5">
        <v>3</v>
      </c>
      <c r="H5">
        <f t="shared" si="2"/>
        <v>142</v>
      </c>
      <c r="I5" s="18">
        <f t="shared" si="3"/>
        <v>54</v>
      </c>
      <c r="K5" t="s">
        <v>73</v>
      </c>
      <c r="L5">
        <f>COUNTIF(Scenario0[winner1-ability1],AvatarAbilities1Scenario0[[#This Row],[ability]])+COUNTIF(Scenario0[winner2-ability1],AvatarAbilities1Scenario0[[#This Row],[ability]])+COUNTIF(Scenario0[loser1-ability1],AvatarAbilities1Scenario0[[#This Row],[ability]])+COUNTIF(Scenario0[loser2-ability1],AvatarAbilities1Scenario0[[#This Row],[ability]])</f>
        <v>0</v>
      </c>
      <c r="M5">
        <f>COUNTIF(Scenario0[winner1-ability1],AvatarAbilities1Scenario0[[#This Row],[ability]])+COUNTIF(Scenario0[winner2-ability1],AvatarAbilities1Scenario0[[#This Row],[ability]])</f>
        <v>0</v>
      </c>
      <c r="N5" s="3">
        <f>IF(SUM(AvatarAbilities1Scenario0[[#This Row],[takes]]) &gt; 0,AvatarAbilities1Scenario0[[#This Row],[takes]]/SUM(AvatarAbilities1Scenario0[takes]),0)</f>
        <v>0</v>
      </c>
      <c r="O5" s="3">
        <f>IF(AvatarAbilities1Scenario0[[#This Row],[takes]]&gt;0,AvatarAbilities1Scenario0[[#This Row],[wins]]/AvatarAbilities1Scenario0[[#This Row],[takes]],0)</f>
        <v>0</v>
      </c>
      <c r="Q5">
        <v>3</v>
      </c>
      <c r="R5">
        <f>COUNTIFS(Scenario0[winner1],"avatar",Scenario0[winner1-pw],AvatarEquipScenario0[[#This Row],[level]])+COUNTIFS(Scenario0[winner2],"avatar",Scenario0[winner2-pw],AvatarEquipScenario0[[#This Row],[level]])+COUNTIFS(Scenario0[loser1],"avatar",Scenario0[loser1-pw],AvatarEquipScenario0[[#This Row],[level]])+COUNTIFS(Scenario0[loser2],"avatar",Scenario0[loser2-pw],AvatarEquipScenario0[[#This Row],[level]])</f>
        <v>21</v>
      </c>
      <c r="S5" s="18">
        <f>COUNTIFS(Scenario0[winner1],"avatar",Scenario0[winner1-cp],AvatarEquipScenario0[[#This Row],[level]])+COUNTIFS(Scenario0[winner2],"avatar",Scenario0[winner2-cp],AvatarEquipScenario0[[#This Row],[level]])+COUNTIFS(Scenario0[loser1],"avatar",Scenario0[loser1-cp],AvatarEquipScenario0[[#This Row],[level]])+COUNTIFS(Scenario0[loser2],"avatar",Scenario0[loser2-cp],AvatarEquipScenario0[[#This Row],[level]])</f>
        <v>15</v>
      </c>
      <c r="U5" t="s">
        <v>180</v>
      </c>
      <c r="V5" s="16">
        <f>AvatarEquip[[#This Row],[chestpiece]]/SUM(AvatarEquip[chestpiece])</f>
        <v>0.14025974025974025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SUM(AvatarAbilities2[takes])/SUM(AvatarAbilities1[takes])</f>
        <v>0.81558441558441563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SUM(AvatarAbilities3[takes])/SUM(AvatarAbilities1[takes])</f>
        <v>0.50909090909090904</v>
      </c>
    </row>
    <row r="8" spans="1:22" x14ac:dyDescent="0.25">
      <c r="A8" s="2" t="s">
        <v>74</v>
      </c>
      <c r="B8" s="2">
        <f>L8+L29+L50+L71+L92+L113</f>
        <v>117</v>
      </c>
      <c r="C8" s="2">
        <f>M8+M29+M50+M71+M92+M113</f>
        <v>69</v>
      </c>
      <c r="D8" s="12">
        <f>IF(SUM(AvatarAbilities2[[#This Row],[takes]]) &gt; 0,AvatarAbilities2[[#This Row],[takes]]/SUM(AvatarAbilities2[takes]),0)</f>
        <v>0.37261146496815284</v>
      </c>
      <c r="E8" s="12">
        <f>IF(AvatarAbilities2[[#This Row],[takes]]&gt;0,AvatarAbilities2[[#This Row],[wins]]/AvatarAbilities2[[#This Row],[takes]],0)</f>
        <v>0.58974358974358976</v>
      </c>
      <c r="I8" s="18"/>
      <c r="K8" s="2" t="s">
        <v>74</v>
      </c>
      <c r="L8" s="2">
        <f>COUNTIF(Scenario0[winner1-ability2],AvatarAbilities2Scenario0[[#This Row],[ability]])+COUNTIF(Scenario0[winner2-ability2],AvatarAbilities2Scenario0[[#This Row],[ability]])+COUNTIF(Scenario0[loser1-ability2],AvatarAbilities2Scenario0[[#This Row],[ability]])+COUNTIF(Scenario0[loser2-ability2],AvatarAbilities2Scenario0[[#This Row],[ability]])</f>
        <v>56</v>
      </c>
      <c r="M8" s="2">
        <f>COUNTIF(Scenario0[winner1-ability2],AvatarAbilities2Scenario0[[#This Row],[ability]])+COUNTIF(Scenario0[winner2-ability2],AvatarAbilities2Scenario0[[#This Row],[ability]])</f>
        <v>38</v>
      </c>
      <c r="N8" s="12">
        <f>IF(SUM(AvatarAbilities2Scenario0[[#This Row],[takes]]) &gt; 0,AvatarAbilities2Scenario0[[#This Row],[takes]]/SUM(AvatarAbilities2Scenario0[takes]),0)</f>
        <v>0.65116279069767447</v>
      </c>
      <c r="O8" s="12">
        <f>IF(AvatarAbilities2Scenario0[[#This Row],[takes]]&gt;0,AvatarAbilities2Scenario0[[#This Row],[wins]]/AvatarAbilities2Scenario0[[#This Row],[takes]],0)</f>
        <v>0.6785714285714286</v>
      </c>
      <c r="S8" s="18"/>
      <c r="U8" t="s">
        <v>178</v>
      </c>
      <c r="V8" s="16">
        <f>SUM(AvatarAbilities4[takes])/SUM(AvatarAbilities1[takes])</f>
        <v>0.26753246753246751</v>
      </c>
    </row>
    <row r="9" spans="1:22" x14ac:dyDescent="0.25">
      <c r="A9" t="s">
        <v>136</v>
      </c>
      <c r="B9" s="2">
        <f t="shared" ref="B9:B10" si="4">L9+L30+L51+L72+L93+L114</f>
        <v>133</v>
      </c>
      <c r="C9" s="2">
        <f t="shared" ref="C9:C10" si="5">M9+M30+M51+M72+M93+M114</f>
        <v>46</v>
      </c>
      <c r="D9" s="3">
        <f>IF(SUM(AvatarAbilities2[[#This Row],[takes]]) &gt; 0,AvatarAbilities2[[#This Row],[takes]]/SUM(AvatarAbilities2[takes]),0)</f>
        <v>0.42356687898089174</v>
      </c>
      <c r="E9" s="3">
        <f>IF(AvatarAbilities2[[#This Row],[takes]]&gt;0,AvatarAbilities2[[#This Row],[wins]]/AvatarAbilities2[[#This Row],[takes]],0)</f>
        <v>0.34586466165413532</v>
      </c>
      <c r="I9" s="18"/>
      <c r="K9" t="s">
        <v>136</v>
      </c>
      <c r="L9" s="2">
        <f>COUNTIF(Scenario0[winner1-ability2],AvatarAbilities2Scenario0[[#This Row],[ability]])+COUNTIF(Scenario0[winner2-ability2],AvatarAbilities2Scenario0[[#This Row],[ability]])+COUNTIF(Scenario0[loser1-ability2],AvatarAbilities2Scenario0[[#This Row],[ability]])+COUNTIF(Scenario0[loser2-ability2],AvatarAbilities2Scenario0[[#This Row],[ability]])</f>
        <v>18</v>
      </c>
      <c r="M9" s="2">
        <f>COUNTIF(Scenario0[winner1-ability2],AvatarAbilities2Scenario0[[#This Row],[ability]])+COUNTIF(Scenario0[winner2-ability2],AvatarAbilities2Scenario0[[#This Row],[ability]])</f>
        <v>8</v>
      </c>
      <c r="N9" s="3">
        <f>IF(SUM(AvatarAbilities2Scenario0[[#This Row],[takes]]) &gt; 0,AvatarAbilities2Scenario0[[#This Row],[takes]]/SUM(AvatarAbilities2Scenario0[takes]),0)</f>
        <v>0.20930232558139536</v>
      </c>
      <c r="O9" s="3">
        <f>IF(AvatarAbilities2Scenario0[[#This Row],[takes]]&gt;0,AvatarAbilities2Scenario0[[#This Row],[wins]]/AvatarAbilities2Scenario0[[#This Row],[takes]],0)</f>
        <v>0.44444444444444442</v>
      </c>
      <c r="S9" s="18"/>
      <c r="U9" t="s">
        <v>194</v>
      </c>
      <c r="V9" s="33">
        <f>(SUM(AvatarAbilities2[takes])+SUM(AvatarAbilities3[takes])+SUM(AvatarAbilities4[takes])+SUM(H4:H5)+SUM(I4:I5))/SUM(AvatarAbilities1[takes])</f>
        <v>2.5974025974025974</v>
      </c>
    </row>
    <row r="10" spans="1:22" x14ac:dyDescent="0.25">
      <c r="A10" s="10" t="s">
        <v>99</v>
      </c>
      <c r="B10" s="2">
        <f t="shared" si="4"/>
        <v>64</v>
      </c>
      <c r="C10" s="2">
        <f t="shared" si="5"/>
        <v>44</v>
      </c>
      <c r="D10" s="13">
        <f>IF(SUM(AvatarAbilities2[[#This Row],[takes]]) &gt; 0,AvatarAbilities2[[#This Row],[takes]]/SUM(AvatarAbilities2[takes]),0)</f>
        <v>0.20382165605095542</v>
      </c>
      <c r="E10" s="13">
        <f>IF(AvatarAbilities2[[#This Row],[takes]]&gt;0,AvatarAbilities2[[#This Row],[wins]]/AvatarAbilities2[[#This Row],[takes]],0)</f>
        <v>0.6875</v>
      </c>
      <c r="I10" s="18"/>
      <c r="K10" s="10" t="s">
        <v>99</v>
      </c>
      <c r="L10" s="2">
        <f>COUNTIF(Scenario0[winner1-ability2],AvatarAbilities2Scenario0[[#This Row],[ability]])+COUNTIF(Scenario0[winner2-ability2],AvatarAbilities2Scenario0[[#This Row],[ability]])+COUNTIF(Scenario0[loser1-ability2],AvatarAbilities2Scenario0[[#This Row],[ability]])+COUNTIF(Scenario0[loser2-ability2],AvatarAbilities2Scenario0[[#This Row],[ability]])</f>
        <v>12</v>
      </c>
      <c r="M10" s="2">
        <f>COUNTIF(Scenario0[winner1-ability2],AvatarAbilities2Scenario0[[#This Row],[ability]])+COUNTIF(Scenario0[winner2-ability2],AvatarAbilities2Scenario0[[#This Row],[ability]])</f>
        <v>10</v>
      </c>
      <c r="N10" s="13">
        <f>IF(SUM(AvatarAbilities2Scenario0[[#This Row],[takes]]) &gt; 0,AvatarAbilities2Scenario0[[#This Row],[takes]]/SUM(AvatarAbilities2Scenario0[takes]),0)</f>
        <v>0.13953488372093023</v>
      </c>
      <c r="O10" s="13">
        <f>IF(AvatarAbilities2Scenario0[[#This Row],[takes]]&gt;0,AvatarAbilities2Scenario0[[#This Row],[wins]]/AvatarAbilities2Scenario0[[#This Row],[takes]],0)</f>
        <v>0.83333333333333337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137</v>
      </c>
      <c r="B13" s="1">
        <f>L13+L34+L55+L76+L97+L118</f>
        <v>52</v>
      </c>
      <c r="C13" s="1">
        <f>M13+M34+M55+M76+M97+M118</f>
        <v>24</v>
      </c>
      <c r="D13" s="14">
        <f>IF(SUM(AvatarAbilities3[[#This Row],[takes]]) &gt; 0,AvatarAbilities3[[#This Row],[takes]]/SUM(AvatarAbilities3[takes]),0)</f>
        <v>0.26530612244897961</v>
      </c>
      <c r="E13" s="14">
        <f>IF(AvatarAbilities3[[#This Row],[takes]]&gt;0,AvatarAbilities3[[#This Row],[wins]]/AvatarAbilities3[[#This Row],[takes]],0)</f>
        <v>0.46153846153846156</v>
      </c>
      <c r="I13" s="18"/>
      <c r="K13" s="1" t="s">
        <v>137</v>
      </c>
      <c r="L13" s="1">
        <f>COUNTIF(Scenario0[winner1-ability3],AvatarAbilities3Scenario0[[#This Row],[ability]])+COUNTIF(Scenario0[winner2-ability3],AvatarAbilities3Scenario0[[#This Row],[ability]])+COUNTIF(Scenario0[loser1-ability3],AvatarAbilities3Scenario0[[#This Row],[ability]])+COUNTIF(Scenario0[loser2-ability3],AvatarAbilities3Scenario0[[#This Row],[ability]])</f>
        <v>11</v>
      </c>
      <c r="M13" s="1">
        <f>COUNTIF(Scenario0[winner1-ability3],AvatarAbilities3Scenario0[[#This Row],[ability]])+COUNTIF(Scenario0[winner2-ability3],AvatarAbilities3Scenario0[[#This Row],[ability]])</f>
        <v>10</v>
      </c>
      <c r="N13" s="14">
        <f>IF(SUM(AvatarAbilities3Scenario0[[#This Row],[takes]]) &gt; 0,AvatarAbilities3Scenario0[[#This Row],[takes]]/SUM(AvatarAbilities3Scenario0[takes]),0)</f>
        <v>0.3235294117647059</v>
      </c>
      <c r="O13" s="14">
        <f>IF(AvatarAbilities3Scenario0[[#This Row],[takes]]&gt;0,AvatarAbilities3Scenario0[[#This Row],[wins]]/AvatarAbilities3Scenario0[[#This Row],[takes]],0)</f>
        <v>0.90909090909090906</v>
      </c>
      <c r="S13" s="18"/>
    </row>
    <row r="14" spans="1:22" x14ac:dyDescent="0.25">
      <c r="A14" s="2" t="s">
        <v>100</v>
      </c>
      <c r="B14" s="2">
        <f t="shared" ref="B14:B15" si="6">L14+L35+L56+L77+L98+L119</f>
        <v>43</v>
      </c>
      <c r="C14" s="2">
        <f t="shared" ref="C14:C15" si="7">M14+M35+M56+M77+M98+M119</f>
        <v>18</v>
      </c>
      <c r="D14" s="12">
        <f>IF(SUM(AvatarAbilities3[[#This Row],[takes]]) &gt; 0,AvatarAbilities3[[#This Row],[takes]]/SUM(AvatarAbilities3[takes]),0)</f>
        <v>0.21938775510204081</v>
      </c>
      <c r="E14" s="12">
        <f>IF(AvatarAbilities3[[#This Row],[takes]]&gt;0,AvatarAbilities3[[#This Row],[wins]]/AvatarAbilities3[[#This Row],[takes]],0)</f>
        <v>0.41860465116279072</v>
      </c>
      <c r="I14" s="18"/>
      <c r="K14" s="2" t="s">
        <v>100</v>
      </c>
      <c r="L14" s="2">
        <f>COUNTIF(Scenario0[winner1-ability3],AvatarAbilities3Scenario0[[#This Row],[ability]])+COUNTIF(Scenario0[winner2-ability3],AvatarAbilities3Scenario0[[#This Row],[ability]])+COUNTIF(Scenario0[loser1-ability3],AvatarAbilities3Scenario0[[#This Row],[ability]])+COUNTIF(Scenario0[loser2-ability3],AvatarAbilities3Scenario0[[#This Row],[ability]])</f>
        <v>8</v>
      </c>
      <c r="M14" s="2">
        <f>COUNTIF(Scenario0[winner1-ability3],AvatarAbilities3Scenario0[[#This Row],[ability]])+COUNTIF(Scenario0[winner2-ability3],AvatarAbilities3Scenario0[[#This Row],[ability]])</f>
        <v>6</v>
      </c>
      <c r="N14" s="12">
        <f>IF(SUM(AvatarAbilities3Scenario0[[#This Row],[takes]]) &gt; 0,AvatarAbilities3Scenario0[[#This Row],[takes]]/SUM(AvatarAbilities3Scenario0[takes]),0)</f>
        <v>0.23529411764705882</v>
      </c>
      <c r="O14" s="12">
        <f>IF(AvatarAbilities3Scenario0[[#This Row],[takes]]&gt;0,AvatarAbilities3Scenario0[[#This Row],[wins]]/AvatarAbilities3Scenario0[[#This Row],[takes]],0)</f>
        <v>0.75</v>
      </c>
      <c r="S14" s="18"/>
    </row>
    <row r="15" spans="1:22" x14ac:dyDescent="0.25">
      <c r="A15" s="11" t="s">
        <v>75</v>
      </c>
      <c r="B15" s="1">
        <f t="shared" si="6"/>
        <v>101</v>
      </c>
      <c r="C15" s="1">
        <f t="shared" si="7"/>
        <v>59</v>
      </c>
      <c r="D15" s="15">
        <f>IF(SUM(AvatarAbilities3[[#This Row],[takes]]) &gt; 0,AvatarAbilities3[[#This Row],[takes]]/SUM(AvatarAbilities3[takes]),0)</f>
        <v>0.51530612244897955</v>
      </c>
      <c r="E15" s="15">
        <f>IF(AvatarAbilities3[[#This Row],[takes]]&gt;0,AvatarAbilities3[[#This Row],[wins]]/AvatarAbilities3[[#This Row],[takes]],0)</f>
        <v>0.58415841584158412</v>
      </c>
      <c r="I15" s="18"/>
      <c r="K15" s="11" t="s">
        <v>75</v>
      </c>
      <c r="L15" s="1">
        <f>COUNTIF(Scenario0[winner1-ability3],AvatarAbilities3Scenario0[[#This Row],[ability]])+COUNTIF(Scenario0[winner2-ability3],AvatarAbilities3Scenario0[[#This Row],[ability]])+COUNTIF(Scenario0[loser1-ability3],AvatarAbilities3Scenario0[[#This Row],[ability]])+COUNTIF(Scenario0[loser2-ability3],AvatarAbilities3Scenario0[[#This Row],[ability]])</f>
        <v>15</v>
      </c>
      <c r="M15" s="1">
        <f>COUNTIF(Scenario0[winner1-ability3],AvatarAbilities3Scenario0[[#This Row],[ability]])+COUNTIF(Scenario0[winner2-ability3],AvatarAbilities3Scenario0[[#This Row],[ability]])</f>
        <v>12</v>
      </c>
      <c r="N15" s="15">
        <f>IF(SUM(AvatarAbilities3Scenario0[[#This Row],[takes]]) &gt; 0,AvatarAbilities3Scenario0[[#This Row],[takes]]/SUM(AvatarAbilities3Scenario0[takes]),0)</f>
        <v>0.44117647058823528</v>
      </c>
      <c r="O15" s="15">
        <f>IF(AvatarAbilities3Scenario0[[#This Row],[takes]]&gt;0,AvatarAbilities3Scenario0[[#This Row],[wins]]/AvatarAbilities3Scenario0[[#This Row],[takes]],0)</f>
        <v>0.8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138</v>
      </c>
      <c r="B18" s="2">
        <f>L18+L39+L60+L81+L102+L123</f>
        <v>47</v>
      </c>
      <c r="C18" s="2">
        <f>M18+M39+M60+M81+M102+M123</f>
        <v>15</v>
      </c>
      <c r="D18" s="12">
        <f>IF(SUM(AvatarAbilities4[[#This Row],[takes]]) &gt; 0,AvatarAbilities4[[#This Row],[takes]]/SUM(AvatarAbilities4[takes]),0)</f>
        <v>0.4563106796116505</v>
      </c>
      <c r="E18" s="12">
        <f>IF(AvatarAbilities4[[#This Row],[takes]]&gt;0,AvatarAbilities4[[#This Row],[wins]]/AvatarAbilities4[[#This Row],[takes]],0)</f>
        <v>0.31914893617021278</v>
      </c>
      <c r="I18" s="18"/>
      <c r="K18" s="2" t="s">
        <v>138</v>
      </c>
      <c r="L18" s="2">
        <f>COUNTIF(Scenario0[winner1-ability4],AvatarAbilities4Scenario0[[#This Row],[ability]])+COUNTIF(Scenario0[winner2-ability4],AvatarAbilities4Scenario0[[#This Row],[ability]])+COUNTIF(Scenario0[loser1-ability4],AvatarAbilities4Scenario0[[#This Row],[ability]])+COUNTIF(Scenario0[loser2-ability4],AvatarAbilities4Scenario0[[#This Row],[ability]])</f>
        <v>3</v>
      </c>
      <c r="M18" s="2">
        <f>COUNTIF(Scenario0[winner1-ability4],AvatarAbilities4Scenario0[[#This Row],[ability]])+COUNTIF(Scenario0[winner2-ability4],AvatarAbilities4Scenario0[[#This Row],[ability]])</f>
        <v>3</v>
      </c>
      <c r="N18" s="12">
        <f>IF(SUM(AvatarAbilities4Scenario0[[#This Row],[takes]]) &gt; 0,AvatarAbilities4Scenario0[[#This Row],[takes]]/SUM(AvatarAbilities4Scenario0[takes]),0)</f>
        <v>0.5</v>
      </c>
      <c r="O18" s="12">
        <f>IF(AvatarAbilities4Scenario0[[#This Row],[takes]]&gt;0,AvatarAbilities4Scenario0[[#This Row],[wins]]/AvatarAbilities4Scenario0[[#This Row],[takes]],0)</f>
        <v>1</v>
      </c>
      <c r="S18" s="18"/>
    </row>
    <row r="19" spans="1:20" x14ac:dyDescent="0.25">
      <c r="A19" s="2" t="s">
        <v>101</v>
      </c>
      <c r="B19" s="2">
        <f t="shared" ref="B19:B20" si="8">L19+L40+L61+L82+L103+L124</f>
        <v>30</v>
      </c>
      <c r="C19" s="2">
        <f t="shared" ref="C19:C20" si="9">M19+M40+M61+M82+M103+M124</f>
        <v>15</v>
      </c>
      <c r="D19" s="12">
        <f>IF(SUM(AvatarAbilities4[[#This Row],[takes]]) &gt; 0,AvatarAbilities4[[#This Row],[takes]]/SUM(AvatarAbilities4[takes]),0)</f>
        <v>0.29126213592233008</v>
      </c>
      <c r="E19" s="12">
        <f>IF(AvatarAbilities4[[#This Row],[takes]]&gt;0,AvatarAbilities4[[#This Row],[wins]]/AvatarAbilities4[[#This Row],[takes]],0)</f>
        <v>0.5</v>
      </c>
      <c r="I19" s="18"/>
      <c r="K19" s="2" t="s">
        <v>101</v>
      </c>
      <c r="L19" s="2">
        <f>COUNTIF(Scenario0[winner1-ability4],AvatarAbilities4Scenario0[[#This Row],[ability]])+COUNTIF(Scenario0[winner2-ability4],AvatarAbilities4Scenario0[[#This Row],[ability]])+COUNTIF(Scenario0[loser1-ability4],AvatarAbilities4Scenario0[[#This Row],[ability]])+COUNTIF(Scenario0[loser2-ability4],AvatarAbilities4Scenario0[[#This Row],[ability]])</f>
        <v>0</v>
      </c>
      <c r="M19" s="2">
        <f>COUNTIF(Scenario0[winner1-ability4],AvatarAbilities4Scenario0[[#This Row],[ability]])+COUNTIF(Scenario0[winner2-ability4],AvatarAbilities4Scenario0[[#This Row],[ability]])</f>
        <v>0</v>
      </c>
      <c r="N19" s="12">
        <f>IF(SUM(AvatarAbilities4Scenario0[[#This Row],[takes]]) &gt; 0,AvatarAbilities4Scenario0[[#This Row],[takes]]/SUM(AvatarAbilities4Scenario0[takes]),0)</f>
        <v>0</v>
      </c>
      <c r="O19" s="12">
        <f>IF(AvatarAbilities4Scenario0[[#This Row],[takes]]&gt;0,AvatarAbilities4Scenario0[[#This Row],[wins]]/AvatarAbilities4Scenario0[[#This Row],[takes]],0)</f>
        <v>0</v>
      </c>
      <c r="S19" s="18"/>
    </row>
    <row r="20" spans="1:20" ht="15.75" thickBot="1" x14ac:dyDescent="0.3">
      <c r="A20" s="10" t="s">
        <v>139</v>
      </c>
      <c r="B20" s="2">
        <f t="shared" si="8"/>
        <v>26</v>
      </c>
      <c r="C20" s="2">
        <f t="shared" si="9"/>
        <v>11</v>
      </c>
      <c r="D20" s="26">
        <f>IF(SUM(AvatarAbilities4[[#This Row],[takes]]) &gt; 0,AvatarAbilities4[[#This Row],[takes]]/SUM(AvatarAbilities4[takes]),0)</f>
        <v>0.25242718446601942</v>
      </c>
      <c r="E20" s="26">
        <f>IF(AvatarAbilities4[[#This Row],[takes]]&gt;0,AvatarAbilities4[[#This Row],[wins]]/AvatarAbilities4[[#This Row],[takes]],0)</f>
        <v>0.42307692307692307</v>
      </c>
      <c r="F20" s="27"/>
      <c r="G20" s="27"/>
      <c r="H20" s="27"/>
      <c r="I20" s="28"/>
      <c r="K20" s="10" t="s">
        <v>139</v>
      </c>
      <c r="L20" s="25">
        <f>COUNTIF(Scenario0[winner1-ability4],AvatarAbilities4Scenario0[[#This Row],[ability]])+COUNTIF(Scenario0[winner2-ability4],AvatarAbilities4Scenario0[[#This Row],[ability]])+COUNTIF(Scenario0[loser1-ability4],AvatarAbilities4Scenario0[[#This Row],[ability]])+COUNTIF(Scenario0[loser2-ability4],AvatarAbilities4Scenario0[[#This Row],[ability]])</f>
        <v>3</v>
      </c>
      <c r="M20" s="25">
        <f>COUNTIF(Scenario0[winner1-ability4],AvatarAbilities4Scenario0[[#This Row],[ability]])+COUNTIF(Scenario0[winner2-ability4],AvatarAbilities4Scenario0[[#This Row],[ability]])</f>
        <v>1</v>
      </c>
      <c r="N20" s="26">
        <f>IF(SUM(AvatarAbilities4Scenario0[[#This Row],[takes]]) &gt; 0,AvatarAbilities4Scenario0[[#This Row],[takes]]/SUM(AvatarAbilities4Scenario0[takes]),0)</f>
        <v>0.5</v>
      </c>
      <c r="O20" s="26">
        <f>IF(AvatarAbilities4Scenario0[[#This Row],[takes]]&gt;0,AvatarAbilities4Scenario0[[#This Row],[wins]]/AvatarAbilities4Scenario0[[#This Row],[takes]],0)</f>
        <v>0.33333333333333331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7" t="s">
        <v>183</v>
      </c>
      <c r="L22" s="38"/>
      <c r="M22" s="38"/>
      <c r="N22" s="38"/>
      <c r="O22" s="38"/>
      <c r="P22" s="38"/>
      <c r="Q22" s="38"/>
      <c r="R22" s="38"/>
      <c r="S22" s="39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168</v>
      </c>
      <c r="S23" s="18" t="s">
        <v>164</v>
      </c>
    </row>
    <row r="24" spans="1:20" x14ac:dyDescent="0.25">
      <c r="K24" t="s">
        <v>44</v>
      </c>
      <c r="L24">
        <f>COUNTIF(Scenario1[winner1-ability1],AvatarAbilities1Scenario1[[#This Row],[ability]])+COUNTIF(Scenario1[winner2-ability1],AvatarAbilities1Scenario1[[#This Row],[ability]])+COUNTIF(Scenario1[loser1-ability1],AvatarAbilities1Scenario1[[#This Row],[ability]])+COUNTIF(Scenario1[loser2-ability1],AvatarAbilities1Scenario1[[#This Row],[ability]])</f>
        <v>58</v>
      </c>
      <c r="M24">
        <f>COUNTIF(Scenario1[winner1-ability1],AvatarAbilities1Scenario1[[#This Row],[ability]])+COUNTIF(Scenario1[winner2-ability1],AvatarAbilities1Scenario1[[#This Row],[ability]])</f>
        <v>44</v>
      </c>
      <c r="N24" s="3">
        <f>IF(SUM(AvatarAbilities1Scenario1[[#This Row],[takes]]) &gt; 0,AvatarAbilities1Scenario1[[#This Row],[takes]]/SUM(AvatarAbilities1Scenario1[takes]),0)</f>
        <v>0.55238095238095242</v>
      </c>
      <c r="O24" s="3">
        <f>IF(AvatarAbilities1Scenario1[[#This Row],[takes]]&gt;0,AvatarAbilities1Scenario1[[#This Row],[wins]]/AvatarAbilities1Scenario1[[#This Row],[takes]],0)</f>
        <v>0.75862068965517238</v>
      </c>
      <c r="Q24">
        <v>1</v>
      </c>
      <c r="R24">
        <f>COUNTIFS(Scenario1[winner1],"avatar",Scenario1[winner1-pw],AvatarEquipScenario1[[#This Row],[level]])+COUNTIFS(Scenario1[winner2],"avatar",Scenario1[winner2-pw],AvatarEquipScenario1[[#This Row],[level]])+COUNTIFS(Scenario1[loser1],"avatar",Scenario1[loser1-pw],AvatarEquipScenario1[[#This Row],[level]])+COUNTIFS(Scenario1[loser2],"avatar",Scenario1[loser2-pw],AvatarEquipScenario1[[#This Row],[level]])</f>
        <v>33</v>
      </c>
      <c r="S24" s="18">
        <f>COUNTIFS(Scenario1[winner1],"avatar",Scenario1[winner1-cp],AvatarEquipScenario1[[#This Row],[level]])+COUNTIFS(Scenario1[winner2],"avatar",Scenario1[winner2-cp],AvatarEquipScenario1[[#This Row],[level]])+COUNTIFS(Scenario1[loser1],"avatar",Scenario1[loser1-cp],AvatarEquipScenario1[[#This Row],[level]])+COUNTIFS(Scenario1[loser2],"avatar",Scenario1[loser2-cp],AvatarEquipScenario1[[#This Row],[level]])</f>
        <v>84</v>
      </c>
    </row>
    <row r="25" spans="1:20" x14ac:dyDescent="0.25">
      <c r="K25" t="s">
        <v>135</v>
      </c>
      <c r="L25">
        <f>COUNTIF(Scenario1[winner1-ability1],AvatarAbilities1Scenario1[[#This Row],[ability]])+COUNTIF(Scenario1[winner2-ability1],AvatarAbilities1Scenario1[[#This Row],[ability]])+COUNTIF(Scenario1[loser1-ability1],AvatarAbilities1Scenario1[[#This Row],[ability]])+COUNTIF(Scenario1[loser2-ability1],AvatarAbilities1Scenario1[[#This Row],[ability]])</f>
        <v>1</v>
      </c>
      <c r="M25">
        <f>COUNTIF(Scenario1[winner1-ability1],AvatarAbilities1Scenario1[[#This Row],[ability]])+COUNTIF(Scenario1[winner2-ability1],AvatarAbilities1Scenario1[[#This Row],[ability]])</f>
        <v>0</v>
      </c>
      <c r="N25" s="3">
        <f>IF(SUM(AvatarAbilities1Scenario1[[#This Row],[takes]]) &gt; 0,AvatarAbilities1Scenario1[[#This Row],[takes]]/SUM(AvatarAbilities1Scenario1[takes]),0)</f>
        <v>9.5238095238095247E-3</v>
      </c>
      <c r="O25" s="3">
        <f>IF(AvatarAbilities1Scenario1[[#This Row],[takes]]&gt;0,AvatarAbilities1Scenario1[[#This Row],[wins]]/AvatarAbilities1Scenario1[[#This Row],[takes]],0)</f>
        <v>0</v>
      </c>
      <c r="Q25">
        <v>2</v>
      </c>
      <c r="R25">
        <f>COUNTIFS(Scenario1[winner1],"avatar",Scenario1[winner1-pw],AvatarEquipScenario1[[#This Row],[level]])+COUNTIFS(Scenario1[winner2],"avatar",Scenario1[winner2-pw],AvatarEquipScenario1[[#This Row],[level]])+COUNTIFS(Scenario1[loser1],"avatar",Scenario1[loser1-pw],AvatarEquipScenario1[[#This Row],[level]])+COUNTIFS(Scenario1[loser2],"avatar",Scenario1[loser2-pw],AvatarEquipScenario1[[#This Row],[level]])</f>
        <v>27</v>
      </c>
      <c r="S25" s="18">
        <f>COUNTIFS(Scenario1[winner1],"avatar",Scenario1[winner1-cp],AvatarEquipScenario1[[#This Row],[level]])+COUNTIFS(Scenario1[winner2],"avatar",Scenario1[winner2-cp],AvatarEquipScenario1[[#This Row],[level]])+COUNTIFS(Scenario1[loser1],"avatar",Scenario1[loser1-cp],AvatarEquipScenario1[[#This Row],[level]])+COUNTIFS(Scenario1[loser2],"avatar",Scenario1[loser2-cp],AvatarEquipScenario1[[#This Row],[level]])</f>
        <v>15</v>
      </c>
    </row>
    <row r="26" spans="1:20" x14ac:dyDescent="0.25">
      <c r="K26" t="s">
        <v>73</v>
      </c>
      <c r="L26">
        <f>COUNTIF(Scenario1[winner1-ability1],AvatarAbilities1Scenario1[[#This Row],[ability]])+COUNTIF(Scenario1[winner2-ability1],AvatarAbilities1Scenario1[[#This Row],[ability]])+COUNTIF(Scenario1[loser1-ability1],AvatarAbilities1Scenario1[[#This Row],[ability]])+COUNTIF(Scenario1[loser2-ability1],AvatarAbilities1Scenario1[[#This Row],[ability]])</f>
        <v>46</v>
      </c>
      <c r="M26">
        <f>COUNTIF(Scenario1[winner1-ability1],AvatarAbilities1Scenario1[[#This Row],[ability]])+COUNTIF(Scenario1[winner2-ability1],AvatarAbilities1Scenario1[[#This Row],[ability]])</f>
        <v>18</v>
      </c>
      <c r="N26" s="3">
        <f>IF(SUM(AvatarAbilities1Scenario1[[#This Row],[takes]]) &gt; 0,AvatarAbilities1Scenario1[[#This Row],[takes]]/SUM(AvatarAbilities1Scenario1[takes]),0)</f>
        <v>0.43809523809523809</v>
      </c>
      <c r="O26" s="3">
        <f>IF(AvatarAbilities1Scenario1[[#This Row],[takes]]&gt;0,AvatarAbilities1Scenario1[[#This Row],[wins]]/AvatarAbilities1Scenario1[[#This Row],[takes]],0)</f>
        <v>0.39130434782608697</v>
      </c>
      <c r="Q26">
        <v>3</v>
      </c>
      <c r="R26">
        <f>COUNTIFS(Scenario1[winner1],"avatar",Scenario1[winner1-pw],AvatarEquipScenario1[[#This Row],[level]])+COUNTIFS(Scenario1[winner2],"avatar",Scenario1[winner2-pw],AvatarEquipScenario1[[#This Row],[level]])+COUNTIFS(Scenario1[loser1],"avatar",Scenario1[loser1-pw],AvatarEquipScenario1[[#This Row],[level]])+COUNTIFS(Scenario1[loser2],"avatar",Scenario1[loser2-pw],AvatarEquipScenario1[[#This Row],[level]])</f>
        <v>45</v>
      </c>
      <c r="S26" s="18">
        <f>COUNTIFS(Scenario1[winner1],"avatar",Scenario1[winner1-cp],AvatarEquipScenario1[[#This Row],[level]])+COUNTIFS(Scenario1[winner2],"avatar",Scenario1[winner2-cp],AvatarEquipScenario1[[#This Row],[level]])+COUNTIFS(Scenario1[loser1],"avatar",Scenario1[loser1-cp],AvatarEquipScenario1[[#This Row],[level]])+COUNTIFS(Scenario1[loser2],"avatar",Scenario1[loser2-cp],AvatarEquipScenario1[[#This Row],[level]])</f>
        <v>6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" t="s">
        <v>74</v>
      </c>
      <c r="L29" s="2">
        <f>COUNTIF(Scenario1[winner1-ability2],AvatarAbilities2Scenario1[[#This Row],[ability]])+COUNTIF(Scenario1[winner2-ability2],AvatarAbilities2Scenario1[[#This Row],[ability]])+COUNTIF(Scenario1[loser1-ability2],AvatarAbilities2Scenario1[[#This Row],[ability]])+COUNTIF(Scenario1[loser2-ability2],AvatarAbilities2Scenario1[[#This Row],[ability]])</f>
        <v>37</v>
      </c>
      <c r="M29" s="2">
        <f>COUNTIF(Scenario1[winner1-ability2],AvatarAbilities2Scenario1[[#This Row],[ability]])+COUNTIF(Scenario1[winner2-ability2],AvatarAbilities2Scenario1[[#This Row],[ability]])</f>
        <v>20</v>
      </c>
      <c r="N29" s="12">
        <f>IF(SUM(AvatarAbilities2Scenario1[[#This Row],[takes]]) &gt; 0,AvatarAbilities2Scenario1[[#This Row],[takes]]/SUM(AvatarAbilities2Scenario1[takes]),0)</f>
        <v>0.50684931506849318</v>
      </c>
      <c r="O29" s="12">
        <f>IF(AvatarAbilities2Scenario1[[#This Row],[takes]]&gt;0,AvatarAbilities2Scenario1[[#This Row],[wins]]/AvatarAbilities2Scenario1[[#This Row],[takes]],0)</f>
        <v>0.54054054054054057</v>
      </c>
      <c r="S29" s="18"/>
    </row>
    <row r="30" spans="1:20" x14ac:dyDescent="0.25">
      <c r="K30" t="s">
        <v>136</v>
      </c>
      <c r="L30" s="2">
        <f>COUNTIF(Scenario1[winner1-ability2],AvatarAbilities2Scenario1[[#This Row],[ability]])+COUNTIF(Scenario1[winner2-ability2],AvatarAbilities2Scenario1[[#This Row],[ability]])+COUNTIF(Scenario1[loser1-ability2],AvatarAbilities2Scenario1[[#This Row],[ability]])+COUNTIF(Scenario1[loser2-ability2],AvatarAbilities2Scenario1[[#This Row],[ability]])</f>
        <v>24</v>
      </c>
      <c r="M30" s="2">
        <f>COUNTIF(Scenario1[winner1-ability2],AvatarAbilities2Scenario1[[#This Row],[ability]])+COUNTIF(Scenario1[winner2-ability2],AvatarAbilities2Scenario1[[#This Row],[ability]])</f>
        <v>13</v>
      </c>
      <c r="N30" s="3">
        <f>IF(SUM(AvatarAbilities2Scenario1[[#This Row],[takes]]) &gt; 0,AvatarAbilities2Scenario1[[#This Row],[takes]]/SUM(AvatarAbilities2Scenario1[takes]),0)</f>
        <v>0.32876712328767121</v>
      </c>
      <c r="O30" s="3">
        <f>IF(AvatarAbilities2Scenario1[[#This Row],[takes]]&gt;0,AvatarAbilities2Scenario1[[#This Row],[wins]]/AvatarAbilities2Scenario1[[#This Row],[takes]],0)</f>
        <v>0.54166666666666663</v>
      </c>
      <c r="S30" s="18"/>
    </row>
    <row r="31" spans="1:20" x14ac:dyDescent="0.25">
      <c r="K31" s="10" t="s">
        <v>99</v>
      </c>
      <c r="L31" s="2">
        <f>COUNTIF(Scenario1[winner1-ability2],AvatarAbilities2Scenario1[[#This Row],[ability]])+COUNTIF(Scenario1[winner2-ability2],AvatarAbilities2Scenario1[[#This Row],[ability]])+COUNTIF(Scenario1[loser1-ability2],AvatarAbilities2Scenario1[[#This Row],[ability]])+COUNTIF(Scenario1[loser2-ability2],AvatarAbilities2Scenario1[[#This Row],[ability]])</f>
        <v>12</v>
      </c>
      <c r="M31" s="2">
        <f>COUNTIF(Scenario1[winner1-ability2],AvatarAbilities2Scenario1[[#This Row],[ability]])+COUNTIF(Scenario1[winner2-ability2],AvatarAbilities2Scenario1[[#This Row],[ability]])</f>
        <v>5</v>
      </c>
      <c r="N31" s="13">
        <f>IF(SUM(AvatarAbilities2Scenario1[[#This Row],[takes]]) &gt; 0,AvatarAbilities2Scenario1[[#This Row],[takes]]/SUM(AvatarAbilities2Scenario1[takes]),0)</f>
        <v>0.16438356164383561</v>
      </c>
      <c r="O31" s="13">
        <f>IF(AvatarAbilities2Scenario1[[#This Row],[takes]]&gt;0,AvatarAbilities2Scenario1[[#This Row],[wins]]/AvatarAbilities2Scenario1[[#This Row],[takes]],0)</f>
        <v>0.41666666666666669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1" t="s">
        <v>137</v>
      </c>
      <c r="L34" s="1">
        <f>COUNTIF(Scenario1[winner1-ability3],AvatarAbilities3Scenario1[[#This Row],[ability]])+COUNTIF(Scenario1[winner2-ability3],AvatarAbilities3Scenario1[[#This Row],[ability]])+COUNTIF(Scenario1[loser1-ability3],AvatarAbilities3Scenario1[[#This Row],[ability]])+COUNTIF(Scenario1[loser2-ability3],AvatarAbilities3Scenario1[[#This Row],[ability]])</f>
        <v>2</v>
      </c>
      <c r="M34" s="1">
        <f>COUNTIF(Scenario1[winner1-ability3],AvatarAbilities3Scenario1[[#This Row],[ability]])+COUNTIF(Scenario1[winner2-ability3],AvatarAbilities3Scenario1[[#This Row],[ability]])</f>
        <v>0</v>
      </c>
      <c r="N34" s="14">
        <f>IF(SUM(AvatarAbilities3Scenario1[[#This Row],[takes]]) &gt; 0,AvatarAbilities3Scenario1[[#This Row],[takes]]/SUM(AvatarAbilities3Scenario1[takes]),0)</f>
        <v>4.6511627906976744E-2</v>
      </c>
      <c r="O34" s="14">
        <f>IF(AvatarAbilities3Scenario1[[#This Row],[takes]]&gt;0,AvatarAbilities3Scenario1[[#This Row],[wins]]/AvatarAbilities3Scenario1[[#This Row],[takes]],0)</f>
        <v>0</v>
      </c>
      <c r="S34" s="18"/>
    </row>
    <row r="35" spans="11:20" x14ac:dyDescent="0.25">
      <c r="K35" s="2" t="s">
        <v>100</v>
      </c>
      <c r="L35" s="2">
        <f>COUNTIF(Scenario1[winner1-ability3],AvatarAbilities3Scenario1[[#This Row],[ability]])+COUNTIF(Scenario1[winner2-ability3],AvatarAbilities3Scenario1[[#This Row],[ability]])+COUNTIF(Scenario1[loser1-ability3],AvatarAbilities3Scenario1[[#This Row],[ability]])+COUNTIF(Scenario1[loser2-ability3],AvatarAbilities3Scenario1[[#This Row],[ability]])</f>
        <v>21</v>
      </c>
      <c r="M35" s="2">
        <f>COUNTIF(Scenario1[winner1-ability3],AvatarAbilities3Scenario1[[#This Row],[ability]])+COUNTIF(Scenario1[winner2-ability3],AvatarAbilities3Scenario1[[#This Row],[ability]])</f>
        <v>11</v>
      </c>
      <c r="N35" s="12">
        <f>IF(SUM(AvatarAbilities3Scenario1[[#This Row],[takes]]) &gt; 0,AvatarAbilities3Scenario1[[#This Row],[takes]]/SUM(AvatarAbilities3Scenario1[takes]),0)</f>
        <v>0.48837209302325579</v>
      </c>
      <c r="O35" s="12">
        <f>IF(AvatarAbilities3Scenario1[[#This Row],[takes]]&gt;0,AvatarAbilities3Scenario1[[#This Row],[wins]]/AvatarAbilities3Scenario1[[#This Row],[takes]],0)</f>
        <v>0.52380952380952384</v>
      </c>
      <c r="S35" s="18"/>
    </row>
    <row r="36" spans="11:20" x14ac:dyDescent="0.25">
      <c r="K36" s="11" t="s">
        <v>75</v>
      </c>
      <c r="L36" s="1">
        <f>COUNTIF(Scenario1[winner1-ability3],AvatarAbilities3Scenario1[[#This Row],[ability]])+COUNTIF(Scenario1[winner2-ability3],AvatarAbilities3Scenario1[[#This Row],[ability]])+COUNTIF(Scenario1[loser1-ability3],AvatarAbilities3Scenario1[[#This Row],[ability]])+COUNTIF(Scenario1[loser2-ability3],AvatarAbilities3Scenario1[[#This Row],[ability]])</f>
        <v>20</v>
      </c>
      <c r="M36" s="1">
        <f>COUNTIF(Scenario1[winner1-ability3],AvatarAbilities3Scenario1[[#This Row],[ability]])+COUNTIF(Scenario1[winner2-ability3],AvatarAbilities3Scenario1[[#This Row],[ability]])</f>
        <v>10</v>
      </c>
      <c r="N36" s="15">
        <f>IF(SUM(AvatarAbilities3Scenario1[[#This Row],[takes]]) &gt; 0,AvatarAbilities3Scenario1[[#This Row],[takes]]/SUM(AvatarAbilities3Scenario1[takes]),0)</f>
        <v>0.46511627906976744</v>
      </c>
      <c r="O36" s="15">
        <f>IF(AvatarAbilities3Scenario1[[#This Row],[takes]]&gt;0,AvatarAbilities3Scenario1[[#This Row],[wins]]/AvatarAbilities3Scenario1[[#This Row],[takes]],0)</f>
        <v>0.5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" t="s">
        <v>138</v>
      </c>
      <c r="L39" s="2">
        <f>COUNTIF(Scenario1[winner1-ability4],AvatarAbilities4Scenario1[[#This Row],[ability]])+COUNTIF(Scenario1[winner2-ability4],AvatarAbilities4Scenario1[[#This Row],[ability]])+COUNTIF(Scenario1[loser1-ability4],AvatarAbilities4Scenario1[[#This Row],[ability]])+COUNTIF(Scenario1[loser2-ability4],AvatarAbilities4Scenario1[[#This Row],[ability]])</f>
        <v>1</v>
      </c>
      <c r="M39" s="2">
        <f>COUNTIF(Scenario1[winner1-ability4],AvatarAbilities4Scenario1[[#This Row],[ability]])+COUNTIF(Scenario1[winner2-ability4],AvatarAbilities4Scenario1[[#This Row],[ability]])</f>
        <v>1</v>
      </c>
      <c r="N39" s="12">
        <f>IF(SUM(AvatarAbilities4Scenario1[[#This Row],[takes]]) &gt; 0,AvatarAbilities4Scenario1[[#This Row],[takes]]/SUM(AvatarAbilities4Scenario1[takes]),0)</f>
        <v>0.05</v>
      </c>
      <c r="O39" s="12">
        <f>IF(AvatarAbilities4Scenario1[[#This Row],[takes]]&gt;0,AvatarAbilities4Scenario1[[#This Row],[wins]]/AvatarAbilities4Scenario1[[#This Row],[takes]],0)</f>
        <v>1</v>
      </c>
      <c r="S39" s="18"/>
    </row>
    <row r="40" spans="11:20" x14ac:dyDescent="0.25">
      <c r="K40" s="2" t="s">
        <v>101</v>
      </c>
      <c r="L40" s="2">
        <f>COUNTIF(Scenario1[winner1-ability4],AvatarAbilities4Scenario1[[#This Row],[ability]])+COUNTIF(Scenario1[winner2-ability4],AvatarAbilities4Scenario1[[#This Row],[ability]])+COUNTIF(Scenario1[loser1-ability4],AvatarAbilities4Scenario1[[#This Row],[ability]])+COUNTIF(Scenario1[loser2-ability4],AvatarAbilities4Scenario1[[#This Row],[ability]])</f>
        <v>15</v>
      </c>
      <c r="M40" s="2">
        <f>COUNTIF(Scenario1[winner1-ability4],AvatarAbilities4Scenario1[[#This Row],[ability]])+COUNTIF(Scenario1[winner2-ability4],AvatarAbilities4Scenario1[[#This Row],[ability]])</f>
        <v>6</v>
      </c>
      <c r="N40" s="12">
        <f>IF(SUM(AvatarAbilities4Scenario1[[#This Row],[takes]]) &gt; 0,AvatarAbilities4Scenario1[[#This Row],[takes]]/SUM(AvatarAbilities4Scenario1[takes]),0)</f>
        <v>0.75</v>
      </c>
      <c r="O40" s="12">
        <f>IF(AvatarAbilities4Scenario1[[#This Row],[takes]]&gt;0,AvatarAbilities4Scenario1[[#This Row],[wins]]/AvatarAbilities4Scenario1[[#This Row],[takes]],0)</f>
        <v>0.4</v>
      </c>
      <c r="S40" s="18"/>
    </row>
    <row r="41" spans="11:20" ht="15.75" thickBot="1" x14ac:dyDescent="0.3">
      <c r="K41" s="10" t="s">
        <v>139</v>
      </c>
      <c r="L41" s="25">
        <f>COUNTIF(Scenario1[winner1-ability4],AvatarAbilities4Scenario1[[#This Row],[ability]])+COUNTIF(Scenario1[winner2-ability4],AvatarAbilities4Scenario1[[#This Row],[ability]])+COUNTIF(Scenario1[loser1-ability4],AvatarAbilities4Scenario1[[#This Row],[ability]])+COUNTIF(Scenario1[loser2-ability4],AvatarAbilities4Scenario1[[#This Row],[ability]])</f>
        <v>4</v>
      </c>
      <c r="M41" s="25">
        <f>COUNTIF(Scenario1[winner1-ability4],AvatarAbilities4Scenario1[[#This Row],[ability]])+COUNTIF(Scenario1[winner2-ability4],AvatarAbilities4Scenario1[[#This Row],[ability]])</f>
        <v>2</v>
      </c>
      <c r="N41" s="26">
        <f>IF(SUM(AvatarAbilities4Scenario1[[#This Row],[takes]]) &gt; 0,AvatarAbilities4Scenario1[[#This Row],[takes]]/SUM(AvatarAbilities4Scenario1[takes]),0)</f>
        <v>0.2</v>
      </c>
      <c r="O41" s="26">
        <f>IF(AvatarAbilities4Scenario1[[#This Row],[takes]]&gt;0,AvatarAbilities4Scenario1[[#This Row],[wins]]/AvatarAbilities4Scenario1[[#This Row],[takes]],0)</f>
        <v>0.5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7" t="s">
        <v>184</v>
      </c>
      <c r="L43" s="38"/>
      <c r="M43" s="38"/>
      <c r="N43" s="38"/>
      <c r="O43" s="38"/>
      <c r="P43" s="38"/>
      <c r="Q43" s="38"/>
      <c r="R43" s="38"/>
      <c r="S43" s="39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168</v>
      </c>
      <c r="S44" s="18" t="s">
        <v>164</v>
      </c>
    </row>
    <row r="45" spans="11:20" x14ac:dyDescent="0.25">
      <c r="K45" t="s">
        <v>44</v>
      </c>
      <c r="L45">
        <f>COUNTIF(Scenario2[winner1-ability1],AvatarAbilities1Scenario2[[#This Row],[ability]])+COUNTIF(Scenario2[loser1-ability1],AvatarAbilities1Scenario2[[#This Row],[ability]])</f>
        <v>4</v>
      </c>
      <c r="M45">
        <f>COUNTIF(Scenario2[winner1-ability1],AvatarAbilities1Scenario2[[#This Row],[ability]])</f>
        <v>2</v>
      </c>
      <c r="N45" s="3">
        <f>IF(SUM(AvatarAbilities1Scenario2[[#This Row],[takes]]) &gt; 0,AvatarAbilities1Scenario2[[#This Row],[takes]]/SUM(AvatarAbilities1Scenario2[takes]),0)</f>
        <v>0.2857142857142857</v>
      </c>
      <c r="O45" s="3">
        <f>IF(AvatarAbilities1Scenario2[[#This Row],[takes]]&gt;0,AvatarAbilities1Scenario2[[#This Row],[wins]]/AvatarAbilities1Scenario2[[#This Row],[takes]],0)</f>
        <v>0.5</v>
      </c>
      <c r="Q45">
        <v>1</v>
      </c>
      <c r="R45">
        <f>COUNTIFS(Scenario2[winner1],"avatar",Scenario2[winner1-pw],AvatarEquipScenario2[[#This Row],[level]])+COUNTIFS(Scenario2[loser1],"avatar",Scenario2[loser1-pw],AvatarEquipScenario2[[#This Row],[level]])</f>
        <v>2</v>
      </c>
      <c r="S45" s="18">
        <f>COUNTIFS(Scenario2[winner1],"avatar",Scenario2[winner1-cp],AvatarEquipScenario2[[#This Row],[level]])+COUNTIFS(Scenario2[loser1],"avatar",Scenario2[loser1-cp],AvatarEquipScenario2[[#This Row],[level]])</f>
        <v>12</v>
      </c>
    </row>
    <row r="46" spans="11:20" x14ac:dyDescent="0.25">
      <c r="K46" t="s">
        <v>135</v>
      </c>
      <c r="L46">
        <f>COUNTIF(Scenario2[winner1-ability1],AvatarAbilities1Scenario2[[#This Row],[ability]])+COUNTIF(Scenario2[loser1-ability1],AvatarAbilities1Scenario2[[#This Row],[ability]])</f>
        <v>10</v>
      </c>
      <c r="M46">
        <f>COUNTIF(Scenario2[winner1-ability1],AvatarAbilities1Scenario2[[#This Row],[ability]])</f>
        <v>4</v>
      </c>
      <c r="N46" s="3">
        <f>IF(SUM(AvatarAbilities1Scenario2[[#This Row],[takes]]) &gt; 0,AvatarAbilities1Scenario2[[#This Row],[takes]]/SUM(AvatarAbilities1Scenario2[takes]),0)</f>
        <v>0.7142857142857143</v>
      </c>
      <c r="O46" s="3">
        <f>IF(AvatarAbilities1Scenario2[[#This Row],[takes]]&gt;0,AvatarAbilities1Scenario2[[#This Row],[wins]]/AvatarAbilities1Scenario2[[#This Row],[takes]],0)</f>
        <v>0.4</v>
      </c>
      <c r="Q46">
        <v>2</v>
      </c>
      <c r="R46">
        <f>COUNTIFS(Scenario2[winner1],"avatar",Scenario2[winner1-pw],AvatarEquipScenario2[[#This Row],[level]])+COUNTIFS(Scenario2[loser1],"avatar",Scenario2[loser1-pw],AvatarEquipScenario2[[#This Row],[level]])</f>
        <v>4</v>
      </c>
      <c r="S46" s="18">
        <f>COUNTIFS(Scenario2[winner1],"avatar",Scenario2[winner1-cp],AvatarEquipScenario2[[#This Row],[level]])+COUNTIFS(Scenario2[loser1],"avatar",Scenario2[loser1-cp],AvatarEquipScenario2[[#This Row],[level]])</f>
        <v>1</v>
      </c>
    </row>
    <row r="47" spans="11:20" x14ac:dyDescent="0.25">
      <c r="K47" t="s">
        <v>73</v>
      </c>
      <c r="L47">
        <f>COUNTIF(Scenario2[winner1-ability1],AvatarAbilities1Scenario2[[#This Row],[ability]])+COUNTIF(Scenario2[loser1-ability1],AvatarAbilities1Scenario2[[#This Row],[ability]])</f>
        <v>0</v>
      </c>
      <c r="M47">
        <f>COUNTIF(Scenario2[winner1-ability1],AvatarAbilities1Scenario2[[#This Row],[ability]])</f>
        <v>0</v>
      </c>
      <c r="N47" s="3">
        <f>IF(SUM(AvatarAbilities1Scenario2[[#This Row],[takes]]) &gt; 0,AvatarAbilities1Scenario2[[#This Row],[takes]]/SUM(AvatarAbilities1Scenario2[takes]),0)</f>
        <v>0</v>
      </c>
      <c r="O47" s="3">
        <f>IF(AvatarAbilities1Scenario2[[#This Row],[takes]]&gt;0,AvatarAbilities1Scenario2[[#This Row],[wins]]/AvatarAbilities1Scenario2[[#This Row],[takes]],0)</f>
        <v>0</v>
      </c>
      <c r="Q47">
        <v>3</v>
      </c>
      <c r="R47">
        <f>COUNTIFS(Scenario2[winner1],"avatar",Scenario2[winner1-pw],AvatarEquipScenario2[[#This Row],[level]])+COUNTIFS(Scenario2[loser1],"avatar",Scenario2[loser1-pw],AvatarEquipScenario2[[#This Row],[level]])</f>
        <v>8</v>
      </c>
      <c r="S47" s="18">
        <f>COUNTIFS(Scenario2[winner1],"avatar",Scenario2[winner1-cp],AvatarEquipScenario2[[#This Row],[level]])+COUNTIFS(Scenario2[loser1],"avatar",Scenario2[loser1-cp],AvatarEquipScenario2[[#This Row],[level]])</f>
        <v>1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" t="s">
        <v>74</v>
      </c>
      <c r="L50" s="2">
        <f>COUNTIF(Scenario2[winner1-ability2],AvatarAbilities2Scenario2[[#This Row],[ability]])+COUNTIF(Scenario2[loser1-ability2],AvatarAbilities2Scenario2[[#This Row],[ability]])</f>
        <v>4</v>
      </c>
      <c r="M50" s="2">
        <f>COUNTIF(Scenario2[winner1-ability2],AvatarAbilities2Scenario2[[#This Row],[ability]])</f>
        <v>1</v>
      </c>
      <c r="N50" s="12">
        <f>IF(SUM(AvatarAbilities2Scenario2[[#This Row],[takes]]) &gt; 0,AvatarAbilities2Scenario2[[#This Row],[takes]]/SUM(AvatarAbilities2Scenario2[takes]),0)</f>
        <v>0.36363636363636365</v>
      </c>
      <c r="O50" s="12">
        <f>IF(AvatarAbilities2Scenario2[[#This Row],[takes]]&gt;0,AvatarAbilities2Scenario2[[#This Row],[wins]]/AvatarAbilities2Scenario2[[#This Row],[takes]],0)</f>
        <v>0.25</v>
      </c>
      <c r="S50" s="18"/>
    </row>
    <row r="51" spans="11:19" x14ac:dyDescent="0.25">
      <c r="K51" t="s">
        <v>136</v>
      </c>
      <c r="L51" s="2">
        <f>COUNTIF(Scenario2[winner1-ability2],AvatarAbilities2Scenario2[[#This Row],[ability]])+COUNTIF(Scenario2[loser1-ability2],AvatarAbilities2Scenario2[[#This Row],[ability]])</f>
        <v>5</v>
      </c>
      <c r="M51" s="2">
        <f>COUNTIF(Scenario2[winner1-ability2],AvatarAbilities2Scenario2[[#This Row],[ability]])</f>
        <v>1</v>
      </c>
      <c r="N51" s="3">
        <f>IF(SUM(AvatarAbilities2Scenario2[[#This Row],[takes]]) &gt; 0,AvatarAbilities2Scenario2[[#This Row],[takes]]/SUM(AvatarAbilities2Scenario2[takes]),0)</f>
        <v>0.45454545454545453</v>
      </c>
      <c r="O51" s="3">
        <f>IF(AvatarAbilities2Scenario2[[#This Row],[takes]]&gt;0,AvatarAbilities2Scenario2[[#This Row],[wins]]/AvatarAbilities2Scenario2[[#This Row],[takes]],0)</f>
        <v>0.2</v>
      </c>
      <c r="S51" s="18"/>
    </row>
    <row r="52" spans="11:19" x14ac:dyDescent="0.25">
      <c r="K52" s="10" t="s">
        <v>99</v>
      </c>
      <c r="L52" s="2">
        <f>COUNTIF(Scenario2[winner1-ability2],AvatarAbilities2Scenario2[[#This Row],[ability]])+COUNTIF(Scenario2[loser1-ability2],AvatarAbilities2Scenario2[[#This Row],[ability]])</f>
        <v>2</v>
      </c>
      <c r="M52" s="2">
        <f>COUNTIF(Scenario2[winner1-ability2],AvatarAbilities2Scenario2[[#This Row],[ability]])</f>
        <v>2</v>
      </c>
      <c r="N52" s="13">
        <f>IF(SUM(AvatarAbilities2Scenario2[[#This Row],[takes]]) &gt; 0,AvatarAbilities2Scenario2[[#This Row],[takes]]/SUM(AvatarAbilities2Scenario2[takes]),0)</f>
        <v>0.18181818181818182</v>
      </c>
      <c r="O52" s="13">
        <f>IF(AvatarAbilities2Scenario2[[#This Row],[takes]]&gt;0,AvatarAbilities2Scenario2[[#This Row],[wins]]/AvatarAbilities2Scenario2[[#This Row],[takes]],0)</f>
        <v>1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1" t="s">
        <v>137</v>
      </c>
      <c r="L55" s="1">
        <f>COUNTIF(Scenario2[winner1-ability3],AvatarAbilities3Scenario2[[#This Row],[ability]])+COUNTIF(Scenario2[loser1-ability3],AvatarAbilities3Scenario2[[#This Row],[ability]])</f>
        <v>4</v>
      </c>
      <c r="M55" s="1">
        <f>COUNTIF(Scenario2[winner1-ability3],AvatarAbilities3Scenario2[[#This Row],[ability]])</f>
        <v>1</v>
      </c>
      <c r="N55" s="14">
        <f>IF(SUM(AvatarAbilities3Scenario2[[#This Row],[takes]]) &gt; 0,AvatarAbilities3Scenario2[[#This Row],[takes]]/SUM(AvatarAbilities3Scenario2[takes]),0)</f>
        <v>0.5714285714285714</v>
      </c>
      <c r="O55" s="14">
        <f>IF(AvatarAbilities3Scenario2[[#This Row],[takes]]&gt;0,AvatarAbilities3Scenario2[[#This Row],[wins]]/AvatarAbilities3Scenario2[[#This Row],[takes]],0)</f>
        <v>0.25</v>
      </c>
      <c r="S55" s="18"/>
    </row>
    <row r="56" spans="11:19" x14ac:dyDescent="0.25">
      <c r="K56" s="2" t="s">
        <v>100</v>
      </c>
      <c r="L56" s="2">
        <f>COUNTIF(Scenario2[winner1-ability3],AvatarAbilities3Scenario2[[#This Row],[ability]])+COUNTIF(Scenario2[loser1-ability3],AvatarAbilities3Scenario2[[#This Row],[ability]])</f>
        <v>1</v>
      </c>
      <c r="M56" s="2">
        <f>COUNTIF(Scenario2[winner1-ability3],AvatarAbilities3Scenario2[[#This Row],[ability]])</f>
        <v>0</v>
      </c>
      <c r="N56" s="12">
        <f>IF(SUM(AvatarAbilities3Scenario2[[#This Row],[takes]]) &gt; 0,AvatarAbilities3Scenario2[[#This Row],[takes]]/SUM(AvatarAbilities3Scenario2[takes]),0)</f>
        <v>0.14285714285714285</v>
      </c>
      <c r="O56" s="12">
        <f>IF(AvatarAbilities3Scenario2[[#This Row],[takes]]&gt;0,AvatarAbilities3Scenario2[[#This Row],[wins]]/AvatarAbilities3Scenario2[[#This Row],[takes]],0)</f>
        <v>0</v>
      </c>
      <c r="S56" s="18"/>
    </row>
    <row r="57" spans="11:19" x14ac:dyDescent="0.25">
      <c r="K57" s="11" t="s">
        <v>75</v>
      </c>
      <c r="L57" s="1">
        <f>COUNTIF(Scenario2[winner1-ability3],AvatarAbilities3Scenario2[[#This Row],[ability]])+COUNTIF(Scenario2[loser1-ability3],AvatarAbilities3Scenario2[[#This Row],[ability]])</f>
        <v>2</v>
      </c>
      <c r="M57" s="1">
        <f>COUNTIF(Scenario2[winner1-ability3],AvatarAbilities3Scenario2[[#This Row],[ability]])</f>
        <v>2</v>
      </c>
      <c r="N57" s="15">
        <f>IF(SUM(AvatarAbilities3Scenario2[[#This Row],[takes]]) &gt; 0,AvatarAbilities3Scenario2[[#This Row],[takes]]/SUM(AvatarAbilities3Scenario2[takes]),0)</f>
        <v>0.2857142857142857</v>
      </c>
      <c r="O57" s="15">
        <f>IF(AvatarAbilities3Scenario2[[#This Row],[takes]]&gt;0,AvatarAbilities3Scenario2[[#This Row],[wins]]/AvatarAbilities3Scenario2[[#This Row],[takes]],0)</f>
        <v>1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" t="s">
        <v>138</v>
      </c>
      <c r="L60" s="2">
        <f>COUNTIF(Scenario2[winner1-ability4],AvatarAbilities4Scenario2[[#This Row],[ability]])+COUNTIF(Scenario2[loser1-ability4],AvatarAbilities4Scenario2[[#This Row],[ability]])</f>
        <v>1</v>
      </c>
      <c r="M60" s="2">
        <f>COUNTIF(Scenario2[winner1-ability4],AvatarAbilities4Scenario2[[#This Row],[ability]])</f>
        <v>0</v>
      </c>
      <c r="N60" s="12">
        <f>IF(SUM(AvatarAbilities4Scenario2[[#This Row],[takes]]) &gt; 0,AvatarAbilities4Scenario2[[#This Row],[takes]]/SUM(AvatarAbilities4Scenario2[takes]),0)</f>
        <v>0.33333333333333331</v>
      </c>
      <c r="O60" s="12">
        <f>IF(AvatarAbilities4Scenario2[[#This Row],[takes]]&gt;0,AvatarAbilities4Scenario2[[#This Row],[wins]]/AvatarAbilities4Scenario2[[#This Row],[takes]],0)</f>
        <v>0</v>
      </c>
      <c r="S60" s="18"/>
    </row>
    <row r="61" spans="11:19" x14ac:dyDescent="0.25">
      <c r="K61" s="2" t="s">
        <v>101</v>
      </c>
      <c r="L61" s="2">
        <f>COUNTIF(Scenario2[winner1-ability4],AvatarAbilities4Scenario2[[#This Row],[ability]])+COUNTIF(Scenario2[loser1-ability4],AvatarAbilities4Scenario2[[#This Row],[ability]])</f>
        <v>0</v>
      </c>
      <c r="M61" s="2">
        <f>COUNTIF(Scenario2[winner1-ability4],AvatarAbilities4Scenario2[[#This Row],[ability]])</f>
        <v>0</v>
      </c>
      <c r="N61" s="12">
        <f>IF(SUM(AvatarAbilities4Scenario2[[#This Row],[takes]]) &gt; 0,AvatarAbilities4Scenario2[[#This Row],[takes]]/SUM(AvatarAbilities4Scenario2[takes]),0)</f>
        <v>0</v>
      </c>
      <c r="O61" s="12">
        <f>IF(AvatarAbilities4Scenario2[[#This Row],[takes]]&gt;0,AvatarAbilities4Scenario2[[#This Row],[wins]]/AvatarAbilities4Scenario2[[#This Row],[takes]],0)</f>
        <v>0</v>
      </c>
      <c r="S61" s="18"/>
    </row>
    <row r="62" spans="11:19" ht="15.75" thickBot="1" x14ac:dyDescent="0.3">
      <c r="K62" s="10" t="s">
        <v>139</v>
      </c>
      <c r="L62" s="25">
        <f>COUNTIF(Scenario2[winner1-ability4],AvatarAbilities4Scenario2[[#This Row],[ability]])+COUNTIF(Scenario2[loser1-ability4],AvatarAbilities4Scenario2[[#This Row],[ability]])</f>
        <v>2</v>
      </c>
      <c r="M62" s="25">
        <f>COUNTIF(Scenario2[winner1-ability4],AvatarAbilities4Scenario2[[#This Row],[ability]])</f>
        <v>1</v>
      </c>
      <c r="N62" s="26">
        <f>IF(SUM(AvatarAbilities4Scenario2[[#This Row],[takes]]) &gt; 0,AvatarAbilities4Scenario2[[#This Row],[takes]]/SUM(AvatarAbilities4Scenario2[takes]),0)</f>
        <v>0.66666666666666663</v>
      </c>
      <c r="O62" s="26">
        <f>IF(AvatarAbilities4Scenario2[[#This Row],[takes]]&gt;0,AvatarAbilities4Scenario2[[#This Row],[wins]]/AvatarAbilities4Scenario2[[#This Row],[takes]],0)</f>
        <v>0.5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7" t="s">
        <v>209</v>
      </c>
      <c r="L64" s="38"/>
      <c r="M64" s="38"/>
      <c r="N64" s="38"/>
      <c r="O64" s="38"/>
      <c r="P64" s="38"/>
      <c r="Q64" s="38"/>
      <c r="R64" s="38"/>
      <c r="S64" s="39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168</v>
      </c>
      <c r="S65" s="18" t="s">
        <v>164</v>
      </c>
    </row>
    <row r="66" spans="11:19" x14ac:dyDescent="0.25">
      <c r="K66" t="s">
        <v>44</v>
      </c>
      <c r="L66">
        <f>COUNTIF(Scenario3[winner1-ability1],AvatarAbilities1Scenario3[[#This Row],[ability]])+COUNTIF(Scenario3[loser1-ability1],AvatarAbilities1Scenario3[[#This Row],[ability]])+COUNTIF(Scenario3[loser2-ability1],AvatarAbilities1Scenario3[[#This Row],[ability]])</f>
        <v>19</v>
      </c>
      <c r="M66">
        <f>COUNTIF(Scenario3[winner1-ability1],AvatarAbilities1Scenario3[[#This Row],[ability]])</f>
        <v>3</v>
      </c>
      <c r="N66" s="3">
        <f>IF(SUM(AvatarAbilities1Scenario3[[#This Row],[takes]]) &gt; 0,AvatarAbilities1Scenario3[[#This Row],[takes]]/SUM(AvatarAbilities1Scenario3[takes]),0)</f>
        <v>0.90476190476190477</v>
      </c>
      <c r="O66" s="3">
        <f>IF(AvatarAbilities1Scenario3[[#This Row],[takes]]&gt;0,AvatarAbilities1Scenario3[[#This Row],[wins]]/AvatarAbilities1Scenario3[[#This Row],[takes]],0)</f>
        <v>0.15789473684210525</v>
      </c>
      <c r="Q66">
        <v>1</v>
      </c>
      <c r="R66">
        <f>COUNTIFS(Scenario3[winner1],"avatar",Scenario3[winner1-pw],AvatarEquipScenario3[[#This Row],[level]])+COUNTIFS(Scenario3[loser1],"avatar",Scenario3[loser1-pw],AvatarEquipScenario3[[#This Row],[level]])+COUNTIFS(Scenario3[loser2],"avatar",Scenario3[loser2-pw],AvatarEquipScenario3[[#This Row],[level]])</f>
        <v>7</v>
      </c>
      <c r="S66" s="18">
        <f>COUNTIFS(Scenario3[winner1],"avatar",Scenario3[winner1-cp],AvatarEquipScenario3[[#This Row],[level]])+COUNTIFS(Scenario3[loser1],"avatar",Scenario3[loser1-cp],AvatarEquipScenario3[[#This Row],[level]])+COUNTIFS(Scenario3[loser2],"avatar",Scenario3[loser2-cp],AvatarEquipScenario3[[#This Row],[level]])</f>
        <v>9</v>
      </c>
    </row>
    <row r="67" spans="11:19" x14ac:dyDescent="0.25">
      <c r="K67" t="s">
        <v>135</v>
      </c>
      <c r="L67">
        <f>COUNTIF(Scenario3[winner1-ability1],AvatarAbilities1Scenario3[[#This Row],[ability]])+COUNTIF(Scenario3[loser1-ability1],AvatarAbilities1Scenario3[[#This Row],[ability]])+COUNTIF(Scenario3[loser2-ability1],AvatarAbilities1Scenario3[[#This Row],[ability]])</f>
        <v>1</v>
      </c>
      <c r="M67">
        <f>COUNTIF(Scenario3[winner1-ability1],AvatarAbilities1Scenario3[[#This Row],[ability]])</f>
        <v>0</v>
      </c>
      <c r="N67" s="3">
        <f>IF(SUM(AvatarAbilities1Scenario3[[#This Row],[takes]]) &gt; 0,AvatarAbilities1Scenario3[[#This Row],[takes]]/SUM(AvatarAbilities1Scenario3[takes]),0)</f>
        <v>4.7619047619047616E-2</v>
      </c>
      <c r="O67" s="3">
        <f>IF(AvatarAbilities1Scenario3[[#This Row],[takes]]&gt;0,AvatarAbilities1Scenario3[[#This Row],[wins]]/AvatarAbilities1Scenario3[[#This Row],[takes]],0)</f>
        <v>0</v>
      </c>
      <c r="Q67">
        <v>2</v>
      </c>
      <c r="R67">
        <f>COUNTIFS(Scenario3[winner1],"avatar",Scenario3[winner1-pw],AvatarEquipScenario3[[#This Row],[level]])+COUNTIFS(Scenario3[loser1],"avatar",Scenario3[loser1-pw],AvatarEquipScenario3[[#This Row],[level]])+COUNTIFS(Scenario3[loser2],"avatar",Scenario3[loser2-pw],AvatarEquipScenario3[[#This Row],[level]])</f>
        <v>3</v>
      </c>
      <c r="S67" s="18">
        <f>COUNTIFS(Scenario3[winner1],"avatar",Scenario3[winner1-cp],AvatarEquipScenario3[[#This Row],[level]])+COUNTIFS(Scenario3[loser1],"avatar",Scenario3[loser1-cp],AvatarEquipScenario3[[#This Row],[level]])+COUNTIFS(Scenario3[loser2],"avatar",Scenario3[loser2-cp],AvatarEquipScenario3[[#This Row],[level]])</f>
        <v>3</v>
      </c>
    </row>
    <row r="68" spans="11:19" x14ac:dyDescent="0.25">
      <c r="K68" t="s">
        <v>73</v>
      </c>
      <c r="L68">
        <f>COUNTIF(Scenario3[winner1-ability1],AvatarAbilities1Scenario3[[#This Row],[ability]])+COUNTIF(Scenario3[loser1-ability1],AvatarAbilities1Scenario3[[#This Row],[ability]])+COUNTIF(Scenario3[loser2-ability1],AvatarAbilities1Scenario3[[#This Row],[ability]])</f>
        <v>1</v>
      </c>
      <c r="M68">
        <f>COUNTIF(Scenario3[winner1-ability1],AvatarAbilities1Scenario3[[#This Row],[ability]])</f>
        <v>0</v>
      </c>
      <c r="N68" s="3">
        <f>IF(SUM(AvatarAbilities1Scenario3[[#This Row],[takes]]) &gt; 0,AvatarAbilities1Scenario3[[#This Row],[takes]]/SUM(AvatarAbilities1Scenario3[takes]),0)</f>
        <v>4.7619047619047616E-2</v>
      </c>
      <c r="O68" s="3">
        <f>IF(AvatarAbilities1Scenario3[[#This Row],[takes]]&gt;0,AvatarAbilities1Scenario3[[#This Row],[wins]]/AvatarAbilities1Scenario3[[#This Row],[takes]],0)</f>
        <v>0</v>
      </c>
      <c r="Q68">
        <v>3</v>
      </c>
      <c r="R68">
        <f>COUNTIFS(Scenario3[winner1],"avatar",Scenario3[winner1-pw],AvatarEquipScenario3[[#This Row],[level]])+COUNTIFS(Scenario3[loser1],"avatar",Scenario3[loser1-pw],AvatarEquipScenario3[[#This Row],[level]])+COUNTIFS(Scenario3[loser2],"avatar",Scenario3[loser2-pw],AvatarEquipScenario3[[#This Row],[level]])</f>
        <v>11</v>
      </c>
      <c r="S68" s="18">
        <f>COUNTIFS(Scenario3[winner1],"avatar",Scenario3[winner1-cp],AvatarEquipScenario3[[#This Row],[level]])+COUNTIFS(Scenario3[loser1],"avatar",Scenario3[loser1-cp],AvatarEquipScenario3[[#This Row],[level]])+COUNTIFS(Scenario3[loser2],"avatar",Scenario3[loser2-cp],AvatarEquipScenario3[[#This Row],[level]])</f>
        <v>9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" t="s">
        <v>74</v>
      </c>
      <c r="L71" s="2">
        <f>COUNTIF(Scenario3[winner1-ability2],AvatarAbilities2Scenario3[[#This Row],[ability]])+COUNTIF(Scenario3[loser1-ability2],AvatarAbilities2Scenario3[[#This Row],[ability]])+COUNTIF(Scenario3[loser2-ability2],AvatarAbilities2Scenario3[[#This Row],[ability]])</f>
        <v>1</v>
      </c>
      <c r="M71" s="2">
        <f>COUNTIF(Scenario3[winner1-ability2],AvatarAbilities2Scenario3[[#This Row],[ability]])</f>
        <v>1</v>
      </c>
      <c r="N71" s="12">
        <f>IF(SUM(AvatarAbilities2Scenario3[[#This Row],[takes]]) &gt; 0,AvatarAbilities2Scenario3[[#This Row],[takes]]/SUM(AvatarAbilities2Scenario3[takes]),0)</f>
        <v>4.7619047619047616E-2</v>
      </c>
      <c r="O71" s="12">
        <f>IF(AvatarAbilities2Scenario3[[#This Row],[takes]]&gt;0,AvatarAbilities2Scenario3[[#This Row],[wins]]/AvatarAbilities2Scenario3[[#This Row],[takes]],0)</f>
        <v>1</v>
      </c>
      <c r="S71" s="18"/>
    </row>
    <row r="72" spans="11:19" x14ac:dyDescent="0.25">
      <c r="K72" t="s">
        <v>136</v>
      </c>
      <c r="L72" s="2">
        <f>COUNTIF(Scenario3[winner1-ability2],AvatarAbilities2Scenario3[[#This Row],[ability]])+COUNTIF(Scenario3[loser1-ability2],AvatarAbilities2Scenario3[[#This Row],[ability]])+COUNTIF(Scenario3[loser2-ability2],AvatarAbilities2Scenario3[[#This Row],[ability]])</f>
        <v>18</v>
      </c>
      <c r="M72" s="2">
        <f>COUNTIF(Scenario3[winner1-ability2],AvatarAbilities2Scenario3[[#This Row],[ability]])</f>
        <v>2</v>
      </c>
      <c r="N72" s="3">
        <f>IF(SUM(AvatarAbilities2Scenario3[[#This Row],[takes]]) &gt; 0,AvatarAbilities2Scenario3[[#This Row],[takes]]/SUM(AvatarAbilities2Scenario3[takes]),0)</f>
        <v>0.8571428571428571</v>
      </c>
      <c r="O72" s="3">
        <f>IF(AvatarAbilities2Scenario3[[#This Row],[takes]]&gt;0,AvatarAbilities2Scenario3[[#This Row],[wins]]/AvatarAbilities2Scenario3[[#This Row],[takes]],0)</f>
        <v>0.1111111111111111</v>
      </c>
      <c r="S72" s="18"/>
    </row>
    <row r="73" spans="11:19" x14ac:dyDescent="0.25">
      <c r="K73" s="10" t="s">
        <v>99</v>
      </c>
      <c r="L73" s="2">
        <f>COUNTIF(Scenario3[winner1-ability2],AvatarAbilities2Scenario3[[#This Row],[ability]])+COUNTIF(Scenario3[loser1-ability2],AvatarAbilities2Scenario3[[#This Row],[ability]])+COUNTIF(Scenario3[loser2-ability2],AvatarAbilities2Scenario3[[#This Row],[ability]])</f>
        <v>2</v>
      </c>
      <c r="M73" s="2">
        <f>COUNTIF(Scenario3[winner1-ability2],AvatarAbilities2Scenario3[[#This Row],[ability]])</f>
        <v>0</v>
      </c>
      <c r="N73" s="13">
        <f>IF(SUM(AvatarAbilities2Scenario3[[#This Row],[takes]]) &gt; 0,AvatarAbilities2Scenario3[[#This Row],[takes]]/SUM(AvatarAbilities2Scenario3[takes]),0)</f>
        <v>9.5238095238095233E-2</v>
      </c>
      <c r="O73" s="13">
        <f>IF(AvatarAbilities2Scenario3[[#This Row],[takes]]&gt;0,AvatarAbilities2Scenario3[[#This Row],[wins]]/AvatarAbilities2Scenario3[[#This Row],[takes]],0)</f>
        <v>0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1" t="s">
        <v>137</v>
      </c>
      <c r="L76" s="1">
        <f>COUNTIF(Scenario3[winner1-ability3],AvatarAbilities3Scenario3[[#This Row],[ability]])+COUNTIF(Scenario3[loser1-ability3],AvatarAbilities3Scenario3[[#This Row],[ability]])+COUNTIF(Scenario3[loser2-ability3],AvatarAbilities3Scenario3[[#This Row],[ability]])</f>
        <v>8</v>
      </c>
      <c r="M76" s="1">
        <f>COUNTIF(Scenario3[winner1-ability3],AvatarAbilities3Scenario3[[#This Row],[ability]])</f>
        <v>1</v>
      </c>
      <c r="N76" s="14">
        <f>IF(SUM(AvatarAbilities3Scenario3[[#This Row],[takes]]) &gt; 0,AvatarAbilities3Scenario3[[#This Row],[takes]]/SUM(AvatarAbilities3Scenario3[takes]),0)</f>
        <v>0.42105263157894735</v>
      </c>
      <c r="O76" s="14">
        <f>IF(AvatarAbilities3Scenario3[[#This Row],[takes]]&gt;0,AvatarAbilities3Scenario3[[#This Row],[wins]]/AvatarAbilities3Scenario3[[#This Row],[takes]],0)</f>
        <v>0.125</v>
      </c>
      <c r="S76" s="18"/>
    </row>
    <row r="77" spans="11:19" x14ac:dyDescent="0.25">
      <c r="K77" s="2" t="s">
        <v>100</v>
      </c>
      <c r="L77" s="2">
        <f>COUNTIF(Scenario3[winner1-ability3],AvatarAbilities3Scenario3[[#This Row],[ability]])+COUNTIF(Scenario3[loser1-ability3],AvatarAbilities3Scenario3[[#This Row],[ability]])+COUNTIF(Scenario3[loser2-ability3],AvatarAbilities3Scenario3[[#This Row],[ability]])</f>
        <v>3</v>
      </c>
      <c r="M77" s="2">
        <f>COUNTIF(Scenario3[winner1-ability3],AvatarAbilities3Scenario3[[#This Row],[ability]])</f>
        <v>0</v>
      </c>
      <c r="N77" s="12">
        <f>IF(SUM(AvatarAbilities3Scenario3[[#This Row],[takes]]) &gt; 0,AvatarAbilities3Scenario3[[#This Row],[takes]]/SUM(AvatarAbilities3Scenario3[takes]),0)</f>
        <v>0.15789473684210525</v>
      </c>
      <c r="O77" s="12">
        <f>IF(AvatarAbilities3Scenario3[[#This Row],[takes]]&gt;0,AvatarAbilities3Scenario3[[#This Row],[wins]]/AvatarAbilities3Scenario3[[#This Row],[takes]],0)</f>
        <v>0</v>
      </c>
      <c r="S77" s="18"/>
    </row>
    <row r="78" spans="11:19" x14ac:dyDescent="0.25">
      <c r="K78" s="11" t="s">
        <v>75</v>
      </c>
      <c r="L78" s="1">
        <f>COUNTIF(Scenario3[winner1-ability3],AvatarAbilities3Scenario3[[#This Row],[ability]])+COUNTIF(Scenario3[loser1-ability3],AvatarAbilities3Scenario3[[#This Row],[ability]])+COUNTIF(Scenario3[loser2-ability3],AvatarAbilities3Scenario3[[#This Row],[ability]])</f>
        <v>8</v>
      </c>
      <c r="M78" s="1">
        <f>COUNTIF(Scenario3[winner1-ability3],AvatarAbilities3Scenario3[[#This Row],[ability]])</f>
        <v>2</v>
      </c>
      <c r="N78" s="15">
        <f>IF(SUM(AvatarAbilities3Scenario3[[#This Row],[takes]]) &gt; 0,AvatarAbilities3Scenario3[[#This Row],[takes]]/SUM(AvatarAbilities3Scenario3[takes]),0)</f>
        <v>0.42105263157894735</v>
      </c>
      <c r="O78" s="15">
        <f>IF(AvatarAbilities3Scenario3[[#This Row],[takes]]&gt;0,AvatarAbilities3Scenario3[[#This Row],[wins]]/AvatarAbilities3Scenario3[[#This Row],[takes]],0)</f>
        <v>0.25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" t="s">
        <v>138</v>
      </c>
      <c r="L81" s="2">
        <f>COUNTIF(Scenario3[winner1-ability4],AvatarAbilities4Scenario3[[#This Row],[ability]])+COUNTIF(Scenario3[loser1-ability4],AvatarAbilities4Scenario3[[#This Row],[ability]])+COUNTIF(Scenario3[loser2-ability4],AvatarAbilities4Scenario3[[#This Row],[ability]])</f>
        <v>14</v>
      </c>
      <c r="M81" s="2">
        <f>COUNTIF(Scenario3[winner1-ability4],AvatarAbilities4Scenario3[[#This Row],[ability]])</f>
        <v>2</v>
      </c>
      <c r="N81" s="12">
        <f>IF(SUM(AvatarAbilities4Scenario3[[#This Row],[takes]]) &gt; 0,AvatarAbilities4Scenario3[[#This Row],[takes]]/SUM(AvatarAbilities4Scenario3[takes]),0)</f>
        <v>0.77777777777777779</v>
      </c>
      <c r="O81" s="12">
        <f>IF(AvatarAbilities4Scenario3[[#This Row],[takes]]&gt;0,AvatarAbilities4Scenario3[[#This Row],[wins]]/AvatarAbilities4Scenario3[[#This Row],[takes]],0)</f>
        <v>0.14285714285714285</v>
      </c>
      <c r="S81" s="18"/>
    </row>
    <row r="82" spans="11:19" x14ac:dyDescent="0.25">
      <c r="K82" s="2" t="s">
        <v>101</v>
      </c>
      <c r="L82" s="2">
        <f>COUNTIF(Scenario3[winner1-ability4],AvatarAbilities4Scenario3[[#This Row],[ability]])+COUNTIF(Scenario3[loser1-ability4],AvatarAbilities4Scenario3[[#This Row],[ability]])+COUNTIF(Scenario3[loser2-ability4],AvatarAbilities4Scenario3[[#This Row],[ability]])</f>
        <v>1</v>
      </c>
      <c r="M82" s="2">
        <f>COUNTIF(Scenario3[winner1-ability4],AvatarAbilities4Scenario3[[#This Row],[ability]])</f>
        <v>0</v>
      </c>
      <c r="N82" s="12">
        <f>IF(SUM(AvatarAbilities4Scenario3[[#This Row],[takes]]) &gt; 0,AvatarAbilities4Scenario3[[#This Row],[takes]]/SUM(AvatarAbilities4Scenario3[takes]),0)</f>
        <v>5.5555555555555552E-2</v>
      </c>
      <c r="O82" s="12">
        <f>IF(AvatarAbilities4Scenario3[[#This Row],[takes]]&gt;0,AvatarAbilities4Scenario3[[#This Row],[wins]]/AvatarAbilities4Scenario3[[#This Row],[takes]],0)</f>
        <v>0</v>
      </c>
      <c r="S82" s="18"/>
    </row>
    <row r="83" spans="11:19" ht="15.75" thickBot="1" x14ac:dyDescent="0.3">
      <c r="K83" s="10" t="s">
        <v>139</v>
      </c>
      <c r="L83" s="2">
        <f>COUNTIF(Scenario3[winner1-ability4],AvatarAbilities4Scenario3[[#This Row],[ability]])+COUNTIF(Scenario3[loser1-ability4],AvatarAbilities4Scenario3[[#This Row],[ability]])+COUNTIF(Scenario3[loser2-ability4],AvatarAbilities4Scenario3[[#This Row],[ability]])</f>
        <v>3</v>
      </c>
      <c r="M83" s="2">
        <f>COUNTIF(Scenario3[winner1-ability4],AvatarAbilities4Scenario3[[#This Row],[ability]])</f>
        <v>1</v>
      </c>
      <c r="N83" s="26">
        <f>IF(SUM(AvatarAbilities4Scenario3[[#This Row],[takes]]) &gt; 0,AvatarAbilities4Scenario3[[#This Row],[takes]]/SUM(AvatarAbilities4Scenario3[takes]),0)</f>
        <v>0.16666666666666666</v>
      </c>
      <c r="O83" s="26">
        <f>IF(AvatarAbilities4Scenario3[[#This Row],[takes]]&gt;0,AvatarAbilities4Scenario3[[#This Row],[wins]]/AvatarAbilities4Scenario3[[#This Row],[takes]],0)</f>
        <v>0.33333333333333331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7" t="s">
        <v>219</v>
      </c>
      <c r="L85" s="38"/>
      <c r="M85" s="38"/>
      <c r="N85" s="38"/>
      <c r="O85" s="38"/>
      <c r="P85" s="38"/>
      <c r="Q85" s="38"/>
      <c r="R85" s="38"/>
      <c r="S85" s="39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168</v>
      </c>
      <c r="S86" s="18" t="s">
        <v>164</v>
      </c>
    </row>
    <row r="87" spans="11:19" x14ac:dyDescent="0.25">
      <c r="K87" t="s">
        <v>44</v>
      </c>
      <c r="L87">
        <f>COUNTIF(Scenario4[winner1-ability1],AvatarAbilities1Scenario4[[#This Row],[ability]])+COUNTIF(Scenario4[loser1-ability1],AvatarAbilities1Scenario4[[#This Row],[ability]])+COUNTIF(Scenario4[loser2-ability1],AvatarAbilities1Scenario4[[#This Row],[ability]])+COUNTIF(Scenario4[loser3-ability1],AvatarAbilities1Scenario4[[#This Row],[ability]])</f>
        <v>35</v>
      </c>
      <c r="M87">
        <f>COUNTIF(Scenario4[winner1-ability1],AvatarAbilities1Scenario4[[#This Row],[ability]])</f>
        <v>4</v>
      </c>
      <c r="N87" s="3">
        <f>IF(SUM(AvatarAbilities1Scenario4[[#This Row],[takes]]) &gt; 0,AvatarAbilities1Scenario4[[#This Row],[takes]]/SUM(AvatarAbilities1Scenario4[takes]),0)</f>
        <v>1</v>
      </c>
      <c r="O87" s="3">
        <f>IF(AvatarAbilities1Scenario4[[#This Row],[takes]]&gt;0,AvatarAbilities1Scenario4[[#This Row],[wins]]/AvatarAbilities1Scenario4[[#This Row],[takes]],0)</f>
        <v>0.11428571428571428</v>
      </c>
      <c r="Q87">
        <v>1</v>
      </c>
      <c r="R87">
        <f>COUNTIFS(Scenario4[winner1],"avatar",Scenario4[winner1-pw],AvatarEquipScenario4[[#This Row],[level]])+COUNTIFS(Scenario4[loser1],"avatar",Scenario4[loser1-pw],AvatarEquipScenario4[[#This Row],[level]])+COUNTIFS(Scenario4[loser2],"avatar",Scenario4[loser2-pw],AvatarEquipScenario4[[#This Row],[level]])+COUNTIFS(Scenario4[loser3],"avatar",Scenario4[loser3-pw],AvatarEquipScenario4[[#This Row],[level]])</f>
        <v>12</v>
      </c>
      <c r="S87" s="18">
        <f>COUNTIFS(Scenario4[winner1],"avatar",Scenario4[winner1-cp],AvatarEquipScenario4[[#This Row],[level]])+COUNTIFS(Scenario4[loser1],"avatar",Scenario4[loser1-cp],AvatarEquipScenario4[[#This Row],[level]])+COUNTIFS(Scenario4[loser2],"avatar",Scenario4[loser2-cp],AvatarEquipScenario4[[#This Row],[level]])+COUNTIFS(Scenario4[loser3],"avatar",Scenario4[loser3-cp],AvatarEquipScenario4[[#This Row],[level]])</f>
        <v>13</v>
      </c>
    </row>
    <row r="88" spans="11:19" x14ac:dyDescent="0.25">
      <c r="K88" t="s">
        <v>135</v>
      </c>
      <c r="L88">
        <f>COUNTIF(Scenario4[winner1-ability1],AvatarAbilities1Scenario4[[#This Row],[ability]])+COUNTIF(Scenario4[loser1-ability1],AvatarAbilities1Scenario4[[#This Row],[ability]])+COUNTIF(Scenario4[loser2-ability1],AvatarAbilities1Scenario4[[#This Row],[ability]])+COUNTIF(Scenario4[loser3-ability1],AvatarAbilities1Scenario4[[#This Row],[ability]])</f>
        <v>0</v>
      </c>
      <c r="M88">
        <f>COUNTIF(Scenario4[winner1-ability1],AvatarAbilities1Scenario4[[#This Row],[ability]])</f>
        <v>0</v>
      </c>
      <c r="N88" s="3">
        <f>IF(SUM(AvatarAbilities1Scenario4[[#This Row],[takes]]) &gt; 0,AvatarAbilities1Scenario4[[#This Row],[takes]]/SUM(AvatarAbilities1Scenario4[takes]),0)</f>
        <v>0</v>
      </c>
      <c r="O88" s="3">
        <f>IF(AvatarAbilities1Scenario4[[#This Row],[takes]]&gt;0,AvatarAbilities1Scenario4[[#This Row],[wins]]/AvatarAbilities1Scenario4[[#This Row],[takes]],0)</f>
        <v>0</v>
      </c>
      <c r="Q88">
        <v>2</v>
      </c>
      <c r="R88">
        <f>COUNTIFS(Scenario4[winner1],"avatar",Scenario4[winner1-pw],AvatarEquipScenario4[[#This Row],[level]])+COUNTIFS(Scenario4[loser1],"avatar",Scenario4[loser1-pw],AvatarEquipScenario4[[#This Row],[level]])+COUNTIFS(Scenario4[loser2],"avatar",Scenario4[loser2-pw],AvatarEquipScenario4[[#This Row],[level]])+COUNTIFS(Scenario4[loser3],"avatar",Scenario4[loser3-pw],AvatarEquipScenario4[[#This Row],[level]])</f>
        <v>7</v>
      </c>
      <c r="S88" s="18">
        <f>COUNTIFS(Scenario4[winner1],"avatar",Scenario4[winner1-cp],AvatarEquipScenario4[[#This Row],[level]])+COUNTIFS(Scenario4[loser1],"avatar",Scenario4[loser1-cp],AvatarEquipScenario4[[#This Row],[level]])+COUNTIFS(Scenario4[loser2],"avatar",Scenario4[loser2-cp],AvatarEquipScenario4[[#This Row],[level]])+COUNTIFS(Scenario4[loser3],"avatar",Scenario4[loser3-cp],AvatarEquipScenario4[[#This Row],[level]])</f>
        <v>5</v>
      </c>
    </row>
    <row r="89" spans="11:19" x14ac:dyDescent="0.25">
      <c r="K89" t="s">
        <v>73</v>
      </c>
      <c r="L89">
        <f>COUNTIF(Scenario4[winner1-ability1],AvatarAbilities1Scenario4[[#This Row],[ability]])+COUNTIF(Scenario4[loser1-ability1],AvatarAbilities1Scenario4[[#This Row],[ability]])+COUNTIF(Scenario4[loser2-ability1],AvatarAbilities1Scenario4[[#This Row],[ability]])+COUNTIF(Scenario4[loser3-ability1],AvatarAbilities1Scenario4[[#This Row],[ability]])</f>
        <v>0</v>
      </c>
      <c r="M89">
        <f>COUNTIF(Scenario4[winner1-ability1],AvatarAbilities1Scenario4[[#This Row],[ability]])</f>
        <v>0</v>
      </c>
      <c r="N89" s="3">
        <f>IF(SUM(AvatarAbilities1Scenario4[[#This Row],[takes]]) &gt; 0,AvatarAbilities1Scenario4[[#This Row],[takes]]/SUM(AvatarAbilities1Scenario4[takes]),0)</f>
        <v>0</v>
      </c>
      <c r="O89" s="3">
        <f>IF(AvatarAbilities1Scenario4[[#This Row],[takes]]&gt;0,AvatarAbilities1Scenario4[[#This Row],[wins]]/AvatarAbilities1Scenario4[[#This Row],[takes]],0)</f>
        <v>0</v>
      </c>
      <c r="Q89">
        <v>3</v>
      </c>
      <c r="R89">
        <f>COUNTIFS(Scenario4[winner1],"avatar",Scenario4[winner1-pw],AvatarEquipScenario4[[#This Row],[level]])+COUNTIFS(Scenario4[loser1],"avatar",Scenario4[loser1-pw],AvatarEquipScenario4[[#This Row],[level]])+COUNTIFS(Scenario4[loser2],"avatar",Scenario4[loser2-pw],AvatarEquipScenario4[[#This Row],[level]])+COUNTIFS(Scenario4[loser3],"avatar",Scenario4[loser3-pw],AvatarEquipScenario4[[#This Row],[level]])</f>
        <v>16</v>
      </c>
      <c r="S89" s="18">
        <f>COUNTIFS(Scenario4[winner1],"avatar",Scenario4[winner1-cp],AvatarEquipScenario4[[#This Row],[level]])+COUNTIFS(Scenario4[loser1],"avatar",Scenario4[loser1-cp],AvatarEquipScenario4[[#This Row],[level]])+COUNTIFS(Scenario4[loser2],"avatar",Scenario4[loser2-cp],AvatarEquipScenario4[[#This Row],[level]])+COUNTIFS(Scenario4[loser3],"avatar",Scenario4[loser3-cp],AvatarEquipScenario4[[#This Row],[level]])</f>
        <v>17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" t="s">
        <v>74</v>
      </c>
      <c r="L92" s="2">
        <f>COUNTIF(Scenario4[winner1-ability2],AvatarAbilities2Scenario4[[#This Row],[ability]])+COUNTIF(Scenario4[loser1-ability2],AvatarAbilities2Scenario4[[#This Row],[ability]])+COUNTIF(Scenario4[loser2-ability2],AvatarAbilities2Scenario4[[#This Row],[ability]])+COUNTIF(Scenario4[loser3-ability2],AvatarAbilities2Scenario4[[#This Row],[ability]])</f>
        <v>2</v>
      </c>
      <c r="M92" s="2">
        <f>COUNTIF(Scenario4[winner1-ability2],AvatarAbilities2Scenario4[[#This Row],[ability]])</f>
        <v>0</v>
      </c>
      <c r="N92" s="12">
        <f>IF(SUM(AvatarAbilities2Scenario4[[#This Row],[takes]]) &gt; 0,AvatarAbilities2Scenario4[[#This Row],[takes]]/SUM(AvatarAbilities2Scenario4[takes]),0)</f>
        <v>5.7142857142857141E-2</v>
      </c>
      <c r="O92" s="12">
        <f>IF(AvatarAbilities2Scenario4[[#This Row],[takes]]&gt;0,AvatarAbilities2Scenario4[[#This Row],[wins]]/AvatarAbilities2Scenario4[[#This Row],[takes]],0)</f>
        <v>0</v>
      </c>
      <c r="S92" s="18"/>
    </row>
    <row r="93" spans="11:19" x14ac:dyDescent="0.25">
      <c r="K93" t="s">
        <v>136</v>
      </c>
      <c r="L93" s="2">
        <f>COUNTIF(Scenario4[winner1-ability2],AvatarAbilities2Scenario4[[#This Row],[ability]])+COUNTIF(Scenario4[loser1-ability2],AvatarAbilities2Scenario4[[#This Row],[ability]])+COUNTIF(Scenario4[loser2-ability2],AvatarAbilities2Scenario4[[#This Row],[ability]])+COUNTIF(Scenario4[loser3-ability2],AvatarAbilities2Scenario4[[#This Row],[ability]])</f>
        <v>32</v>
      </c>
      <c r="M93" s="2">
        <f>COUNTIF(Scenario4[winner1-ability2],AvatarAbilities2Scenario4[[#This Row],[ability]])</f>
        <v>4</v>
      </c>
      <c r="N93" s="3">
        <f>IF(SUM(AvatarAbilities2Scenario4[[#This Row],[takes]]) &gt; 0,AvatarAbilities2Scenario4[[#This Row],[takes]]/SUM(AvatarAbilities2Scenario4[takes]),0)</f>
        <v>0.91428571428571426</v>
      </c>
      <c r="O93" s="3">
        <f>IF(AvatarAbilities2Scenario4[[#This Row],[takes]]&gt;0,AvatarAbilities2Scenario4[[#This Row],[wins]]/AvatarAbilities2Scenario4[[#This Row],[takes]],0)</f>
        <v>0.125</v>
      </c>
      <c r="S93" s="18"/>
    </row>
    <row r="94" spans="11:19" x14ac:dyDescent="0.25">
      <c r="K94" s="10" t="s">
        <v>99</v>
      </c>
      <c r="L94" s="2">
        <f>COUNTIF(Scenario4[winner1-ability2],AvatarAbilities2Scenario4[[#This Row],[ability]])+COUNTIF(Scenario4[loser1-ability2],AvatarAbilities2Scenario4[[#This Row],[ability]])+COUNTIF(Scenario4[loser2-ability2],AvatarAbilities2Scenario4[[#This Row],[ability]])+COUNTIF(Scenario4[loser3-ability2],AvatarAbilities2Scenario4[[#This Row],[ability]])</f>
        <v>1</v>
      </c>
      <c r="M94" s="2">
        <f>COUNTIF(Scenario4[winner1-ability2],AvatarAbilities2Scenario4[[#This Row],[ability]])</f>
        <v>0</v>
      </c>
      <c r="N94" s="13">
        <f>IF(SUM(AvatarAbilities2Scenario4[[#This Row],[takes]]) &gt; 0,AvatarAbilities2Scenario4[[#This Row],[takes]]/SUM(AvatarAbilities2Scenario4[takes]),0)</f>
        <v>2.8571428571428571E-2</v>
      </c>
      <c r="O94" s="13">
        <f>IF(AvatarAbilities2Scenario4[[#This Row],[takes]]&gt;0,AvatarAbilities2Scenario4[[#This Row],[wins]]/AvatarAbilities2Scenario4[[#This Row],[takes]],0)</f>
        <v>0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1" t="s">
        <v>137</v>
      </c>
      <c r="L97" s="1">
        <f>COUNTIF(Scenario4[winner1-ability3],AvatarAbilities3Scenario4[[#This Row],[ability]])+COUNTIF(Scenario4[loser1-ability3],AvatarAbilities3Scenario4[[#This Row],[ability]])+COUNTIF(Scenario4[loser2-ability3],AvatarAbilities3Scenario4[[#This Row],[ability]])+COUNTIF(Scenario4[loser3-ability3],AvatarAbilities3Scenario4[[#This Row],[ability]])</f>
        <v>11</v>
      </c>
      <c r="M97" s="1">
        <f>COUNTIF(Scenario4[winner1-ability3],AvatarAbilities3Scenario4[[#This Row],[ability]])</f>
        <v>1</v>
      </c>
      <c r="N97" s="14">
        <f>IF(SUM(AvatarAbilities3Scenario4[[#This Row],[takes]]) &gt; 0,AvatarAbilities3Scenario4[[#This Row],[takes]]/SUM(AvatarAbilities3Scenario4[takes]),0)</f>
        <v>0.35483870967741937</v>
      </c>
      <c r="O97" s="14">
        <f>IF(AvatarAbilities3Scenario4[[#This Row],[takes]]&gt;0,AvatarAbilities3Scenario4[[#This Row],[wins]]/AvatarAbilities3Scenario4[[#This Row],[takes]],0)</f>
        <v>9.0909090909090912E-2</v>
      </c>
      <c r="S97" s="18"/>
    </row>
    <row r="98" spans="11:19" x14ac:dyDescent="0.25">
      <c r="K98" s="2" t="s">
        <v>100</v>
      </c>
      <c r="L98" s="2">
        <f>COUNTIF(Scenario4[winner1-ability3],AvatarAbilities3Scenario4[[#This Row],[ability]])+COUNTIF(Scenario4[loser1-ability3],AvatarAbilities3Scenario4[[#This Row],[ability]])+COUNTIF(Scenario4[loser2-ability3],AvatarAbilities3Scenario4[[#This Row],[ability]])+COUNTIF(Scenario4[loser3-ability3],AvatarAbilities3Scenario4[[#This Row],[ability]])</f>
        <v>4</v>
      </c>
      <c r="M98" s="2">
        <f>COUNTIF(Scenario4[winner1-ability3],AvatarAbilities3Scenario4[[#This Row],[ability]])</f>
        <v>0</v>
      </c>
      <c r="N98" s="12">
        <f>IF(SUM(AvatarAbilities3Scenario4[[#This Row],[takes]]) &gt; 0,AvatarAbilities3Scenario4[[#This Row],[takes]]/SUM(AvatarAbilities3Scenario4[takes]),0)</f>
        <v>0.12903225806451613</v>
      </c>
      <c r="O98" s="12">
        <f>IF(AvatarAbilities3Scenario4[[#This Row],[takes]]&gt;0,AvatarAbilities3Scenario4[[#This Row],[wins]]/AvatarAbilities3Scenario4[[#This Row],[takes]],0)</f>
        <v>0</v>
      </c>
      <c r="S98" s="18"/>
    </row>
    <row r="99" spans="11:19" x14ac:dyDescent="0.25">
      <c r="K99" s="11" t="s">
        <v>75</v>
      </c>
      <c r="L99" s="1">
        <f>COUNTIF(Scenario4[winner1-ability3],AvatarAbilities3Scenario4[[#This Row],[ability]])+COUNTIF(Scenario4[loser1-ability3],AvatarAbilities3Scenario4[[#This Row],[ability]])+COUNTIF(Scenario4[loser2-ability3],AvatarAbilities3Scenario4[[#This Row],[ability]])+COUNTIF(Scenario4[loser3-ability3],AvatarAbilities3Scenario4[[#This Row],[ability]])</f>
        <v>16</v>
      </c>
      <c r="M99" s="1">
        <f>COUNTIF(Scenario4[winner1-ability3],AvatarAbilities3Scenario4[[#This Row],[ability]])</f>
        <v>3</v>
      </c>
      <c r="N99" s="15">
        <f>IF(SUM(AvatarAbilities3Scenario4[[#This Row],[takes]]) &gt; 0,AvatarAbilities3Scenario4[[#This Row],[takes]]/SUM(AvatarAbilities3Scenario4[takes]),0)</f>
        <v>0.5161290322580645</v>
      </c>
      <c r="O99" s="15">
        <f>IF(AvatarAbilities3Scenario4[[#This Row],[takes]]&gt;0,AvatarAbilities3Scenario4[[#This Row],[wins]]/AvatarAbilities3Scenario4[[#This Row],[takes]],0)</f>
        <v>0.1875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" t="s">
        <v>138</v>
      </c>
      <c r="L102" s="2">
        <f>COUNTIF(Scenario4[winner1-ability4],AvatarAbilities4Scenario4[[#This Row],[ability]])+COUNTIF(Scenario4[loser1-ability4],AvatarAbilities4Scenario4[[#This Row],[ability]])+COUNTIF(Scenario4[loser2-ability4],AvatarAbilities4Scenario4[[#This Row],[ability]])+COUNTIF(Scenario4[loser3-ability4],AvatarAbilities4Scenario4[[#This Row],[ability]])</f>
        <v>19</v>
      </c>
      <c r="M102" s="2">
        <f>COUNTIF(Scenario4[winner1-ability4],AvatarAbilities4Scenario4[[#This Row],[ability]])</f>
        <v>2</v>
      </c>
      <c r="N102" s="12">
        <f>IF(SUM(AvatarAbilities4Scenario4[[#This Row],[takes]]) &gt; 0,AvatarAbilities4Scenario4[[#This Row],[takes]]/SUM(AvatarAbilities4Scenario4[takes]),0)</f>
        <v>0.76</v>
      </c>
      <c r="O102" s="12">
        <f>IF(AvatarAbilities4Scenario4[[#This Row],[takes]]&gt;0,AvatarAbilities4Scenario4[[#This Row],[wins]]/AvatarAbilities4Scenario4[[#This Row],[takes]],0)</f>
        <v>0.10526315789473684</v>
      </c>
      <c r="S102" s="18"/>
    </row>
    <row r="103" spans="11:19" x14ac:dyDescent="0.25">
      <c r="K103" s="2" t="s">
        <v>101</v>
      </c>
      <c r="L103" s="2">
        <f>COUNTIF(Scenario4[winner1-ability4],AvatarAbilities4Scenario4[[#This Row],[ability]])+COUNTIF(Scenario4[loser1-ability4],AvatarAbilities4Scenario4[[#This Row],[ability]])+COUNTIF(Scenario4[loser2-ability4],AvatarAbilities4Scenario4[[#This Row],[ability]])+COUNTIF(Scenario4[loser3-ability4],AvatarAbilities4Scenario4[[#This Row],[ability]])</f>
        <v>1</v>
      </c>
      <c r="M103" s="2">
        <f>COUNTIF(Scenario4[winner1-ability4],AvatarAbilities4Scenario4[[#This Row],[ability]])</f>
        <v>1</v>
      </c>
      <c r="N103" s="12">
        <f>IF(SUM(AvatarAbilities4Scenario4[[#This Row],[takes]]) &gt; 0,AvatarAbilities4Scenario4[[#This Row],[takes]]/SUM(AvatarAbilities4Scenario4[takes]),0)</f>
        <v>0.04</v>
      </c>
      <c r="O103" s="12">
        <f>IF(AvatarAbilities4Scenario4[[#This Row],[takes]]&gt;0,AvatarAbilities4Scenario4[[#This Row],[wins]]/AvatarAbilities4Scenario4[[#This Row],[takes]],0)</f>
        <v>1</v>
      </c>
      <c r="S103" s="18"/>
    </row>
    <row r="104" spans="11:19" ht="15.75" thickBot="1" x14ac:dyDescent="0.3">
      <c r="K104" s="10" t="s">
        <v>139</v>
      </c>
      <c r="L104" s="2">
        <f>COUNTIF(Scenario4[winner1-ability4],AvatarAbilities4Scenario4[[#This Row],[ability]])+COUNTIF(Scenario4[loser1-ability4],AvatarAbilities4Scenario4[[#This Row],[ability]])+COUNTIF(Scenario4[loser2-ability4],AvatarAbilities4Scenario4[[#This Row],[ability]])+COUNTIF(Scenario4[loser3-ability4],AvatarAbilities4Scenario4[[#This Row],[ability]])</f>
        <v>5</v>
      </c>
      <c r="M104" s="2">
        <f>COUNTIF(Scenario4[winner1-ability4],AvatarAbilities4Scenario4[[#This Row],[ability]])</f>
        <v>1</v>
      </c>
      <c r="N104" s="26">
        <f>IF(SUM(AvatarAbilities4Scenario4[[#This Row],[takes]]) &gt; 0,AvatarAbilities4Scenario4[[#This Row],[takes]]/SUM(AvatarAbilities4Scenario4[takes]),0)</f>
        <v>0.2</v>
      </c>
      <c r="O104" s="26">
        <f>IF(AvatarAbilities4Scenario4[[#This Row],[takes]]&gt;0,AvatarAbilities4Scenario4[[#This Row],[wins]]/AvatarAbilities4Scenario4[[#This Row],[takes]],0)</f>
        <v>0.2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7" t="s">
        <v>220</v>
      </c>
      <c r="L106" s="38"/>
      <c r="M106" s="38"/>
      <c r="N106" s="38"/>
      <c r="O106" s="38"/>
      <c r="P106" s="38"/>
      <c r="Q106" s="38"/>
      <c r="R106" s="38"/>
      <c r="S106" s="39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168</v>
      </c>
      <c r="S107" s="18" t="s">
        <v>164</v>
      </c>
    </row>
    <row r="108" spans="11:19" x14ac:dyDescent="0.25">
      <c r="K108" t="s">
        <v>44</v>
      </c>
      <c r="L108">
        <f>COUNTIF(Scenario5[winner1-ability1],AvatarAbilities1Scenario5[[#This Row],[ability]])+COUNTIF(Scenario5[winner2-ability1],AvatarAbilities1Scenario5[[#This Row],[ability]])+COUNTIF(Scenario5[loser1-ability1],AvatarAbilities1Scenario5[[#This Row],[ability]])+COUNTIF(Scenario5[loser2-ability1],AvatarAbilities1Scenario5[[#This Row],[ability]])</f>
        <v>91</v>
      </c>
      <c r="M108">
        <f>COUNTIF(Scenario5[winner1-ability1],AvatarAbilities1Scenario5[[#This Row],[ability]])+COUNTIF(Scenario5[winner2-ability1],AvatarAbilities1Scenario5[[#This Row],[ability]])</f>
        <v>55</v>
      </c>
      <c r="N108" s="3">
        <f>IF(SUM(AvatarAbilities1Scenario5[[#This Row],[takes]]) &gt; 0,AvatarAbilities1Scenario5[[#This Row],[takes]]/SUM(AvatarAbilities1Scenario5[takes]),0)</f>
        <v>0.8666666666666667</v>
      </c>
      <c r="O108" s="3">
        <f>IF(AvatarAbilities1Scenario5[[#This Row],[takes]]&gt;0,AvatarAbilities1Scenario5[[#This Row],[wins]]/AvatarAbilities1Scenario5[[#This Row],[takes]],0)</f>
        <v>0.60439560439560436</v>
      </c>
      <c r="Q108">
        <v>1</v>
      </c>
      <c r="R108">
        <f>COUNTIFS(Scenario5[winner1],"avatar",Scenario5[winner1-pw],AvatarEquipScenario5[[#This Row],[level]])+COUNTIFS(Scenario5[winner2],"avatar",Scenario5[winner2-pw],AvatarEquipScenario5[[#This Row],[level]])+COUNTIFS(Scenario5[loser1],"avatar",Scenario5[loser1-pw],AvatarEquipScenario5[[#This Row],[level]])+COUNTIFS(Scenario5[loser2],"avatar",Scenario5[loser2-pw],AvatarEquipScenario5[[#This Row],[level]])</f>
        <v>30</v>
      </c>
      <c r="S108" s="18">
        <f>COUNTIFS(Scenario5[winner1],"avatar",Scenario5[winner1-cp],AvatarEquipScenario5[[#This Row],[level]])+COUNTIFS(Scenario5[winner2],"avatar",Scenario5[winner2-cp],AvatarEquipScenario5[[#This Row],[level]])+COUNTIFS(Scenario5[loser1],"avatar",Scenario5[loser1-cp],AvatarEquipScenario5[[#This Row],[level]])+COUNTIFS(Scenario5[loser2],"avatar",Scenario5[loser2-cp],AvatarEquipScenario5[[#This Row],[level]])</f>
        <v>77</v>
      </c>
    </row>
    <row r="109" spans="11:19" x14ac:dyDescent="0.25">
      <c r="K109" t="s">
        <v>135</v>
      </c>
      <c r="L109">
        <f>COUNTIF(Scenario5[winner1-ability1],AvatarAbilities1Scenario5[[#This Row],[ability]])+COUNTIF(Scenario5[winner2-ability1],AvatarAbilities1Scenario5[[#This Row],[ability]])+COUNTIF(Scenario5[loser1-ability1],AvatarAbilities1Scenario5[[#This Row],[ability]])+COUNTIF(Scenario5[loser2-ability1],AvatarAbilities1Scenario5[[#This Row],[ability]])</f>
        <v>8</v>
      </c>
      <c r="M109">
        <f>COUNTIF(Scenario5[winner1-ability1],AvatarAbilities1Scenario5[[#This Row],[ability]])+COUNTIF(Scenario5[winner2-ability1],AvatarAbilities1Scenario5[[#This Row],[ability]])</f>
        <v>6</v>
      </c>
      <c r="N109" s="3">
        <f>IF(SUM(AvatarAbilities1Scenario5[[#This Row],[takes]]) &gt; 0,AvatarAbilities1Scenario5[[#This Row],[takes]]/SUM(AvatarAbilities1Scenario5[takes]),0)</f>
        <v>7.6190476190476197E-2</v>
      </c>
      <c r="O109" s="3">
        <f>IF(AvatarAbilities1Scenario5[[#This Row],[takes]]&gt;0,AvatarAbilities1Scenario5[[#This Row],[wins]]/AvatarAbilities1Scenario5[[#This Row],[takes]],0)</f>
        <v>0.75</v>
      </c>
      <c r="Q109">
        <v>2</v>
      </c>
      <c r="R109">
        <f>COUNTIFS(Scenario5[winner1],"avatar",Scenario5[winner1-pw],AvatarEquipScenario5[[#This Row],[level]])+COUNTIFS(Scenario5[winner2],"avatar",Scenario5[winner2-pw],AvatarEquipScenario5[[#This Row],[level]])+COUNTIFS(Scenario5[loser1],"avatar",Scenario5[loser1-pw],AvatarEquipScenario5[[#This Row],[level]])+COUNTIFS(Scenario5[loser2],"avatar",Scenario5[loser2-pw],AvatarEquipScenario5[[#This Row],[level]])</f>
        <v>34</v>
      </c>
      <c r="S109" s="18">
        <f>COUNTIFS(Scenario5[winner1],"avatar",Scenario5[winner1-cp],AvatarEquipScenario5[[#This Row],[level]])+COUNTIFS(Scenario5[winner2],"avatar",Scenario5[winner2-cp],AvatarEquipScenario5[[#This Row],[level]])+COUNTIFS(Scenario5[loser1],"avatar",Scenario5[loser1-cp],AvatarEquipScenario5[[#This Row],[level]])+COUNTIFS(Scenario5[loser2],"avatar",Scenario5[loser2-cp],AvatarEquipScenario5[[#This Row],[level]])</f>
        <v>22</v>
      </c>
    </row>
    <row r="110" spans="11:19" x14ac:dyDescent="0.25">
      <c r="K110" t="s">
        <v>73</v>
      </c>
      <c r="L110">
        <f>COUNTIF(Scenario5[winner1-ability1],AvatarAbilities1Scenario5[[#This Row],[ability]])+COUNTIF(Scenario5[winner2-ability1],AvatarAbilities1Scenario5[[#This Row],[ability]])+COUNTIF(Scenario5[loser1-ability1],AvatarAbilities1Scenario5[[#This Row],[ability]])+COUNTIF(Scenario5[loser2-ability1],AvatarAbilities1Scenario5[[#This Row],[ability]])</f>
        <v>6</v>
      </c>
      <c r="M110">
        <f>COUNTIF(Scenario5[winner1-ability1],AvatarAbilities1Scenario5[[#This Row],[ability]])+COUNTIF(Scenario5[winner2-ability1],AvatarAbilities1Scenario5[[#This Row],[ability]])</f>
        <v>0</v>
      </c>
      <c r="N110" s="3">
        <f>IF(SUM(AvatarAbilities1Scenario5[[#This Row],[takes]]) &gt; 0,AvatarAbilities1Scenario5[[#This Row],[takes]]/SUM(AvatarAbilities1Scenario5[takes]),0)</f>
        <v>5.7142857142857141E-2</v>
      </c>
      <c r="O110" s="3">
        <f>IF(AvatarAbilities1Scenario5[[#This Row],[takes]]&gt;0,AvatarAbilities1Scenario5[[#This Row],[wins]]/AvatarAbilities1Scenario5[[#This Row],[takes]],0)</f>
        <v>0</v>
      </c>
      <c r="Q110">
        <v>3</v>
      </c>
      <c r="R110">
        <f>COUNTIFS(Scenario5[winner1],"avatar",Scenario5[winner1-pw],AvatarEquipScenario5[[#This Row],[level]])+COUNTIFS(Scenario5[winner2],"avatar",Scenario5[winner2-pw],AvatarEquipScenario5[[#This Row],[level]])+COUNTIFS(Scenario5[loser1],"avatar",Scenario5[loser1-pw],AvatarEquipScenario5[[#This Row],[level]])+COUNTIFS(Scenario5[loser2],"avatar",Scenario5[loser2-pw],AvatarEquipScenario5[[#This Row],[level]])</f>
        <v>41</v>
      </c>
      <c r="S110" s="18">
        <f>COUNTIFS(Scenario5[winner1],"avatar",Scenario5[winner1-cp],AvatarEquipScenario5[[#This Row],[level]])+COUNTIFS(Scenario5[winner2],"avatar",Scenario5[winner2-cp],AvatarEquipScenario5[[#This Row],[level]])+COUNTIFS(Scenario5[loser1],"avatar",Scenario5[loser1-cp],AvatarEquipScenario5[[#This Row],[level]])+COUNTIFS(Scenario5[loser2],"avatar",Scenario5[loser2-cp],AvatarEquipScenario5[[#This Row],[level]])</f>
        <v>6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" t="s">
        <v>74</v>
      </c>
      <c r="L113" s="2">
        <f>COUNTIF(Scenario5[winner1-ability2],AvatarAbilities2Scenario5[[#This Row],[ability]])+COUNTIF(Scenario5[winner2-ability2],AvatarAbilities2Scenario5[[#This Row],[ability]])+COUNTIF(Scenario5[loser1-ability2],AvatarAbilities2Scenario5[[#This Row],[ability]])+COUNTIF(Scenario5[loser2-ability2],AvatarAbilities2Scenario5[[#This Row],[ability]])</f>
        <v>17</v>
      </c>
      <c r="M113" s="2">
        <f>COUNTIF(Scenario5[winner1-ability2],AvatarAbilities2Scenario5[[#This Row],[ability]])+COUNTIF(Scenario5[winner2-ability2],AvatarAbilities2Scenario5[[#This Row],[ability]])</f>
        <v>9</v>
      </c>
      <c r="N113" s="12">
        <f>IF(SUM(AvatarAbilities2Scenario5[[#This Row],[takes]]) &gt; 0,AvatarAbilities2Scenario5[[#This Row],[takes]]/SUM(AvatarAbilities2Scenario5[takes]),0)</f>
        <v>0.19318181818181818</v>
      </c>
      <c r="O113" s="12">
        <f>IF(AvatarAbilities2Scenario5[[#This Row],[takes]]&gt;0,AvatarAbilities2Scenario5[[#This Row],[wins]]/AvatarAbilities2Scenario5[[#This Row],[takes]],0)</f>
        <v>0.52941176470588236</v>
      </c>
      <c r="S113" s="18"/>
    </row>
    <row r="114" spans="11:19" x14ac:dyDescent="0.25">
      <c r="K114" t="s">
        <v>136</v>
      </c>
      <c r="L114" s="2">
        <f>COUNTIF(Scenario5[winner1-ability2],AvatarAbilities2Scenario5[[#This Row],[ability]])+COUNTIF(Scenario5[winner2-ability2],AvatarAbilities2Scenario5[[#This Row],[ability]])+COUNTIF(Scenario5[loser1-ability2],AvatarAbilities2Scenario5[[#This Row],[ability]])+COUNTIF(Scenario5[loser2-ability2],AvatarAbilities2Scenario5[[#This Row],[ability]])</f>
        <v>36</v>
      </c>
      <c r="M114" s="2">
        <f>COUNTIF(Scenario5[winner1-ability2],AvatarAbilities2Scenario5[[#This Row],[ability]])+COUNTIF(Scenario5[winner2-ability2],AvatarAbilities2Scenario5[[#This Row],[ability]])</f>
        <v>18</v>
      </c>
      <c r="N114" s="3">
        <f>IF(SUM(AvatarAbilities2Scenario5[[#This Row],[takes]]) &gt; 0,AvatarAbilities2Scenario5[[#This Row],[takes]]/SUM(AvatarAbilities2Scenario5[takes]),0)</f>
        <v>0.40909090909090912</v>
      </c>
      <c r="O114" s="3">
        <f>IF(AvatarAbilities2Scenario5[[#This Row],[takes]]&gt;0,AvatarAbilities2Scenario5[[#This Row],[wins]]/AvatarAbilities2Scenario5[[#This Row],[takes]],0)</f>
        <v>0.5</v>
      </c>
      <c r="S114" s="18"/>
    </row>
    <row r="115" spans="11:19" x14ac:dyDescent="0.25">
      <c r="K115" s="10" t="s">
        <v>99</v>
      </c>
      <c r="L115" s="2">
        <f>COUNTIF(Scenario5[winner1-ability2],AvatarAbilities2Scenario5[[#This Row],[ability]])+COUNTIF(Scenario5[winner2-ability2],AvatarAbilities2Scenario5[[#This Row],[ability]])+COUNTIF(Scenario5[loser1-ability2],AvatarAbilities2Scenario5[[#This Row],[ability]])+COUNTIF(Scenario5[loser2-ability2],AvatarAbilities2Scenario5[[#This Row],[ability]])</f>
        <v>35</v>
      </c>
      <c r="M115" s="2">
        <f>COUNTIF(Scenario5[winner1-ability2],AvatarAbilities2Scenario5[[#This Row],[ability]])+COUNTIF(Scenario5[winner2-ability2],AvatarAbilities2Scenario5[[#This Row],[ability]])</f>
        <v>27</v>
      </c>
      <c r="N115" s="13">
        <f>IF(SUM(AvatarAbilities2Scenario5[[#This Row],[takes]]) &gt; 0,AvatarAbilities2Scenario5[[#This Row],[takes]]/SUM(AvatarAbilities2Scenario5[takes]),0)</f>
        <v>0.39772727272727271</v>
      </c>
      <c r="O115" s="13">
        <f>IF(AvatarAbilities2Scenario5[[#This Row],[takes]]&gt;0,AvatarAbilities2Scenario5[[#This Row],[wins]]/AvatarAbilities2Scenario5[[#This Row],[takes]],0)</f>
        <v>0.77142857142857146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1" t="s">
        <v>137</v>
      </c>
      <c r="L118" s="1">
        <f>COUNTIF(Scenario5[winner1-ability3],AvatarAbilities3Scenario5[[#This Row],[ability]])+COUNTIF(Scenario5[winner2-ability3],AvatarAbilities3Scenario5[[#This Row],[ability]])+COUNTIF(Scenario5[loser1-ability3],AvatarAbilities3Scenario5[[#This Row],[ability]])+COUNTIF(Scenario5[loser2-ability3],AvatarAbilities3Scenario5[[#This Row],[ability]])</f>
        <v>16</v>
      </c>
      <c r="M118" s="1">
        <f>COUNTIF(Scenario5[winner1-ability3],AvatarAbilities3Scenario5[[#This Row],[ability]])+COUNTIF(Scenario5[winner2-ability3],AvatarAbilities3Scenario5[[#This Row],[ability]])</f>
        <v>11</v>
      </c>
      <c r="N118" s="14">
        <f>IF(SUM(AvatarAbilities3Scenario5[[#This Row],[takes]]) &gt; 0,AvatarAbilities3Scenario5[[#This Row],[takes]]/SUM(AvatarAbilities3Scenario5[takes]),0)</f>
        <v>0.25806451612903225</v>
      </c>
      <c r="O118" s="14">
        <f>IF(AvatarAbilities3Scenario5[[#This Row],[takes]]&gt;0,AvatarAbilities3Scenario5[[#This Row],[wins]]/AvatarAbilities3Scenario5[[#This Row],[takes]],0)</f>
        <v>0.6875</v>
      </c>
      <c r="S118" s="18"/>
    </row>
    <row r="119" spans="11:19" x14ac:dyDescent="0.25">
      <c r="K119" s="2" t="s">
        <v>100</v>
      </c>
      <c r="L119" s="2">
        <f>COUNTIF(Scenario5[winner1-ability3],AvatarAbilities3Scenario5[[#This Row],[ability]])+COUNTIF(Scenario5[winner2-ability3],AvatarAbilities3Scenario5[[#This Row],[ability]])+COUNTIF(Scenario5[loser1-ability3],AvatarAbilities3Scenario5[[#This Row],[ability]])+COUNTIF(Scenario5[loser2-ability3],AvatarAbilities3Scenario5[[#This Row],[ability]])</f>
        <v>6</v>
      </c>
      <c r="M119" s="2">
        <f>COUNTIF(Scenario5[winner1-ability3],AvatarAbilities3Scenario5[[#This Row],[ability]])+COUNTIF(Scenario5[winner2-ability3],AvatarAbilities3Scenario5[[#This Row],[ability]])</f>
        <v>1</v>
      </c>
      <c r="N119" s="12">
        <f>IF(SUM(AvatarAbilities3Scenario5[[#This Row],[takes]]) &gt; 0,AvatarAbilities3Scenario5[[#This Row],[takes]]/SUM(AvatarAbilities3Scenario5[takes]),0)</f>
        <v>9.6774193548387094E-2</v>
      </c>
      <c r="O119" s="12">
        <f>IF(AvatarAbilities3Scenario5[[#This Row],[takes]]&gt;0,AvatarAbilities3Scenario5[[#This Row],[wins]]/AvatarAbilities3Scenario5[[#This Row],[takes]],0)</f>
        <v>0.16666666666666666</v>
      </c>
      <c r="S119" s="18"/>
    </row>
    <row r="120" spans="11:19" x14ac:dyDescent="0.25">
      <c r="K120" s="11" t="s">
        <v>75</v>
      </c>
      <c r="L120" s="1">
        <f>COUNTIF(Scenario5[winner1-ability3],AvatarAbilities3Scenario5[[#This Row],[ability]])+COUNTIF(Scenario5[winner2-ability3],AvatarAbilities3Scenario5[[#This Row],[ability]])+COUNTIF(Scenario5[loser1-ability3],AvatarAbilities3Scenario5[[#This Row],[ability]])+COUNTIF(Scenario5[loser2-ability3],AvatarAbilities3Scenario5[[#This Row],[ability]])</f>
        <v>40</v>
      </c>
      <c r="M120" s="1">
        <f>COUNTIF(Scenario5[winner1-ability3],AvatarAbilities3Scenario5[[#This Row],[ability]])+COUNTIF(Scenario5[winner2-ability3],AvatarAbilities3Scenario5[[#This Row],[ability]])</f>
        <v>30</v>
      </c>
      <c r="N120" s="15">
        <f>IF(SUM(AvatarAbilities3Scenario5[[#This Row],[takes]]) &gt; 0,AvatarAbilities3Scenario5[[#This Row],[takes]]/SUM(AvatarAbilities3Scenario5[takes]),0)</f>
        <v>0.64516129032258063</v>
      </c>
      <c r="O120" s="15">
        <f>IF(AvatarAbilities3Scenario5[[#This Row],[takes]]&gt;0,AvatarAbilities3Scenario5[[#This Row],[wins]]/AvatarAbilities3Scenario5[[#This Row],[takes]],0)</f>
        <v>0.75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" t="s">
        <v>138</v>
      </c>
      <c r="L123" s="2">
        <f>COUNTIF(Scenario5[winner1-ability4],AvatarAbilities4Scenario5[[#This Row],[ability]])+COUNTIF(Scenario5[winner2-ability4],AvatarAbilities4Scenario5[[#This Row],[ability]])+COUNTIF(Scenario5[loser1-ability4],AvatarAbilities4Scenario5[[#This Row],[ability]])+COUNTIF(Scenario5[loser2-ability4],AvatarAbilities4Scenario5[[#This Row],[ability]])</f>
        <v>9</v>
      </c>
      <c r="M123" s="2">
        <f>COUNTIF(Scenario5[winner1-ability4],AvatarAbilities4Scenario5[[#This Row],[ability]])+COUNTIF(Scenario5[winner2-ability4],AvatarAbilities4Scenario5[[#This Row],[ability]])</f>
        <v>7</v>
      </c>
      <c r="N123" s="12">
        <f>IF(SUM(AvatarAbilities4Scenario5[[#This Row],[takes]]) &gt; 0,AvatarAbilities4Scenario5[[#This Row],[takes]]/SUM(AvatarAbilities4Scenario5[takes]),0)</f>
        <v>0.29032258064516131</v>
      </c>
      <c r="O123" s="12">
        <f>IF(AvatarAbilities4Scenario5[[#This Row],[takes]]&gt;0,AvatarAbilities4Scenario5[[#This Row],[wins]]/AvatarAbilities4Scenario5[[#This Row],[takes]],0)</f>
        <v>0.77777777777777779</v>
      </c>
      <c r="S123" s="18"/>
    </row>
    <row r="124" spans="11:19" x14ac:dyDescent="0.25">
      <c r="K124" s="2" t="s">
        <v>101</v>
      </c>
      <c r="L124" s="2">
        <f>COUNTIF(Scenario5[winner1-ability4],AvatarAbilities4Scenario5[[#This Row],[ability]])+COUNTIF(Scenario5[winner2-ability4],AvatarAbilities4Scenario5[[#This Row],[ability]])+COUNTIF(Scenario5[loser1-ability4],AvatarAbilities4Scenario5[[#This Row],[ability]])+COUNTIF(Scenario5[loser2-ability4],AvatarAbilities4Scenario5[[#This Row],[ability]])</f>
        <v>13</v>
      </c>
      <c r="M124" s="2">
        <f>COUNTIF(Scenario5[winner1-ability4],AvatarAbilities4Scenario5[[#This Row],[ability]])+COUNTIF(Scenario5[winner2-ability4],AvatarAbilities4Scenario5[[#This Row],[ability]])</f>
        <v>8</v>
      </c>
      <c r="N124" s="12">
        <f>IF(SUM(AvatarAbilities4Scenario5[[#This Row],[takes]]) &gt; 0,AvatarAbilities4Scenario5[[#This Row],[takes]]/SUM(AvatarAbilities4Scenario5[takes]),0)</f>
        <v>0.41935483870967744</v>
      </c>
      <c r="O124" s="12">
        <f>IF(AvatarAbilities4Scenario5[[#This Row],[takes]]&gt;0,AvatarAbilities4Scenario5[[#This Row],[wins]]/AvatarAbilities4Scenario5[[#This Row],[takes]],0)</f>
        <v>0.61538461538461542</v>
      </c>
      <c r="S124" s="18"/>
    </row>
    <row r="125" spans="11:19" ht="15.75" thickBot="1" x14ac:dyDescent="0.3">
      <c r="K125" s="10" t="s">
        <v>139</v>
      </c>
      <c r="L125" s="2">
        <f>COUNTIF(Scenario5[winner1-ability4],AvatarAbilities4Scenario5[[#This Row],[ability]])+COUNTIF(Scenario5[winner2-ability4],AvatarAbilities4Scenario5[[#This Row],[ability]])+COUNTIF(Scenario5[loser1-ability4],AvatarAbilities4Scenario5[[#This Row],[ability]])+COUNTIF(Scenario5[loser2-ability4],AvatarAbilities4Scenario5[[#This Row],[ability]])</f>
        <v>9</v>
      </c>
      <c r="M125" s="2">
        <f>COUNTIF(Scenario5[winner1-ability4],AvatarAbilities4Scenario5[[#This Row],[ability]])+COUNTIF(Scenario5[winner2-ability4],AvatarAbilities4Scenario5[[#This Row],[ability]])</f>
        <v>5</v>
      </c>
      <c r="N125" s="26">
        <f>IF(SUM(AvatarAbilities4Scenario5[[#This Row],[takes]]) &gt; 0,AvatarAbilities4Scenario5[[#This Row],[takes]]/SUM(AvatarAbilities4Scenario5[takes]),0)</f>
        <v>0.29032258064516131</v>
      </c>
      <c r="O125" s="26">
        <f>IF(AvatarAbilities4Scenario5[[#This Row],[takes]]&gt;0,AvatarAbilities4Scenario5[[#This Row],[wins]]/AvatarAbilities4Scenario5[[#This Row],[takes]],0)</f>
        <v>0.55555555555555558</v>
      </c>
      <c r="P125" s="27"/>
      <c r="Q125" s="27"/>
      <c r="R125" s="27"/>
      <c r="S125" s="28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C3A7A-D6FB-4CD4-BA26-26E3032FAEEE}">
  <dimension ref="A1:V125"/>
  <sheetViews>
    <sheetView workbookViewId="0">
      <selection activeCell="I27" sqref="I27"/>
    </sheetView>
  </sheetViews>
  <sheetFormatPr defaultRowHeight="15" x14ac:dyDescent="0.25"/>
  <cols>
    <col min="1" max="1" width="18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7.140625" bestFit="1" customWidth="1"/>
    <col min="9" max="9" width="12.85546875" bestFit="1" customWidth="1"/>
    <col min="10" max="10" width="3.85546875" customWidth="1"/>
    <col min="11" max="11" width="18.85546875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4" customWidth="1"/>
    <col min="17" max="17" width="7.7109375" bestFit="1" customWidth="1"/>
    <col min="18" max="18" width="7.14062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9"/>
      <c r="K1" s="37" t="s">
        <v>182</v>
      </c>
      <c r="L1" s="38"/>
      <c r="M1" s="38"/>
      <c r="N1" s="38"/>
      <c r="O1" s="38"/>
      <c r="P1" s="38"/>
      <c r="Q1" s="38"/>
      <c r="R1" s="38"/>
      <c r="S1" s="39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169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169</v>
      </c>
      <c r="S2" s="18" t="s">
        <v>164</v>
      </c>
      <c r="U2" t="s">
        <v>201</v>
      </c>
      <c r="V2" s="3">
        <f>H4/SUM(ShadowEquip[bow])</f>
        <v>0.2831168831168831</v>
      </c>
    </row>
    <row r="3" spans="1:22" x14ac:dyDescent="0.25">
      <c r="A3" t="s">
        <v>47</v>
      </c>
      <c r="B3">
        <f>L3+L24+L45+L66+L87+L108</f>
        <v>127</v>
      </c>
      <c r="C3">
        <f>M3+M24+M45+M66+M87+M108</f>
        <v>70</v>
      </c>
      <c r="D3" s="3">
        <f>IF(SUM(ShadowAbilities1[[#This Row],[takes]]) &gt; 0,ShadowAbilities1[[#This Row],[takes]]/SUM(ShadowAbilities1[takes]),0)</f>
        <v>0.32987012987012987</v>
      </c>
      <c r="E3" s="3">
        <f>IF(ShadowAbilities1[[#This Row],[takes]]&gt;0,ShadowAbilities1[[#This Row],[wins]]/ShadowAbilities1[[#This Row],[takes]],0)</f>
        <v>0.55118110236220474</v>
      </c>
      <c r="G3">
        <v>1</v>
      </c>
      <c r="H3">
        <f>R3+R24+R45+R66+R87+R108</f>
        <v>14</v>
      </c>
      <c r="I3" s="18">
        <f>S3+S24+S45+S66+S87+S108</f>
        <v>269</v>
      </c>
      <c r="K3" t="s">
        <v>47</v>
      </c>
      <c r="L3">
        <f>COUNTIF(Scenario0[winner1-ability1],ShadowAbilities1Scenario0[[#This Row],[ability]])+COUNTIF(Scenario0[winner2-ability1],ShadowAbilities1Scenario0[[#This Row],[ability]])+COUNTIF(Scenario0[loser1-ability1],ShadowAbilities1Scenario0[[#This Row],[ability]])+COUNTIF(Scenario0[loser2-ability1],ShadowAbilities1Scenario0[[#This Row],[ability]])</f>
        <v>88</v>
      </c>
      <c r="M3">
        <f>COUNTIF(Scenario0[winner1-ability1],ShadowAbilities1Scenario0[[#This Row],[ability]])+COUNTIF(Scenario0[winner2-ability1],ShadowAbilities1Scenario0[[#This Row],[ability]])</f>
        <v>53</v>
      </c>
      <c r="N3" s="3">
        <f>IF(SUM(ShadowAbilities1Scenario0[[#This Row],[takes]]) &gt; 0,ShadowAbilities1Scenario0[[#This Row],[takes]]/SUM(ShadowAbilities1Scenario0[takes]),0)</f>
        <v>0.83809523809523812</v>
      </c>
      <c r="O3" s="3">
        <f>IF(ShadowAbilities1Scenario0[[#This Row],[takes]]&gt;0,ShadowAbilities1Scenario0[[#This Row],[wins]]/ShadowAbilities1Scenario0[[#This Row],[takes]],0)</f>
        <v>0.60227272727272729</v>
      </c>
      <c r="Q3">
        <v>1</v>
      </c>
      <c r="R3">
        <f>COUNTIFS(Scenario0[winner1],"shadow",Scenario0[winner1-pw],ShadowEquipScenario0[[#This Row],[level]])+COUNTIFS(Scenario0[winner2],"shadow",Scenario0[winner2-pw],ShadowEquipScenario0[[#This Row],[level]])+COUNTIFS(Scenario0[loser1],"shadow",Scenario0[loser1-pw],ShadowEquipScenario0[[#This Row],[level]])+COUNTIFS(Scenario0[loser2],"shadow",Scenario0[loser2-pw],ShadowEquipScenario0[[#This Row],[level]])</f>
        <v>8</v>
      </c>
      <c r="S3" s="18">
        <f>COUNTIFS(Scenario0[winner1],"shadow",Scenario0[winner1-cp],ShadowEquipScenario0[[#This Row],[level]])+COUNTIFS(Scenario0[winner2],"shadow",Scenario0[winner2-cp],ShadowEquipScenario0[[#This Row],[level]])+COUNTIFS(Scenario0[loser1],"shadow",Scenario0[loser1-cp],ShadowEquipScenario0[[#This Row],[level]])+COUNTIFS(Scenario0[loser2],"shadow",Scenario0[loser2-cp],ShadowEquipScenario0[[#This Row],[level]])</f>
        <v>85</v>
      </c>
      <c r="U3" t="s">
        <v>202</v>
      </c>
      <c r="V3" s="16">
        <f>H5/SUM(ShadowEquip[bow])</f>
        <v>0.68051948051948052</v>
      </c>
    </row>
    <row r="4" spans="1:22" x14ac:dyDescent="0.25">
      <c r="A4" t="s">
        <v>86</v>
      </c>
      <c r="B4">
        <f t="shared" ref="B4:B5" si="0">L4+L25+L46+L67+L88+L109</f>
        <v>150</v>
      </c>
      <c r="C4">
        <f t="shared" ref="C4:C5" si="1">M4+M25+M46+M67+M88+M109</f>
        <v>69</v>
      </c>
      <c r="D4" s="3">
        <f>IF(SUM(ShadowAbilities1[[#This Row],[takes]]) &gt; 0,ShadowAbilities1[[#This Row],[takes]]/SUM(ShadowAbilities1[takes]),0)</f>
        <v>0.38961038961038963</v>
      </c>
      <c r="E4" s="3">
        <f>IF(ShadowAbilities1[[#This Row],[takes]]&gt;0,ShadowAbilities1[[#This Row],[wins]]/ShadowAbilities1[[#This Row],[takes]],0)</f>
        <v>0.46</v>
      </c>
      <c r="G4">
        <v>2</v>
      </c>
      <c r="H4">
        <f t="shared" ref="H4:H5" si="2">R4+R25+R46+R67+R88+R109</f>
        <v>109</v>
      </c>
      <c r="I4" s="18">
        <f t="shared" ref="I4:I5" si="3">S4+S25+S46+S67+S88+S109</f>
        <v>60</v>
      </c>
      <c r="K4" t="s">
        <v>86</v>
      </c>
      <c r="L4">
        <f>COUNTIF(Scenario0[winner1-ability1],ShadowAbilities1Scenario0[[#This Row],[ability]])+COUNTIF(Scenario0[winner2-ability1],ShadowAbilities1Scenario0[[#This Row],[ability]])+COUNTIF(Scenario0[loser1-ability1],ShadowAbilities1Scenario0[[#This Row],[ability]])+COUNTIF(Scenario0[loser2-ability1],ShadowAbilities1Scenario0[[#This Row],[ability]])</f>
        <v>14</v>
      </c>
      <c r="M4">
        <f>COUNTIF(Scenario0[winner1-ability1],ShadowAbilities1Scenario0[[#This Row],[ability]])+COUNTIF(Scenario0[winner2-ability1],ShadowAbilities1Scenario0[[#This Row],[ability]])</f>
        <v>6</v>
      </c>
      <c r="N4" s="3">
        <f>IF(SUM(ShadowAbilities1Scenario0[[#This Row],[takes]]) &gt; 0,ShadowAbilities1Scenario0[[#This Row],[takes]]/SUM(ShadowAbilities1Scenario0[takes]),0)</f>
        <v>0.13333333333333333</v>
      </c>
      <c r="O4" s="3">
        <f>IF(ShadowAbilities1Scenario0[[#This Row],[takes]]&gt;0,ShadowAbilities1Scenario0[[#This Row],[wins]]/ShadowAbilities1Scenario0[[#This Row],[takes]],0)</f>
        <v>0.42857142857142855</v>
      </c>
      <c r="Q4">
        <v>2</v>
      </c>
      <c r="R4">
        <f>COUNTIFS(Scenario0[winner1],"shadow",Scenario0[winner1-pw],ShadowEquipScenario0[[#This Row],[level]])+COUNTIFS(Scenario0[winner2],"shadow",Scenario0[winner2-pw],ShadowEquipScenario0[[#This Row],[level]])+COUNTIFS(Scenario0[loser1],"shadow",Scenario0[loser1-pw],ShadowEquipScenario0[[#This Row],[level]])+COUNTIFS(Scenario0[loser2],"shadow",Scenario0[loser2-pw],ShadowEquipScenario0[[#This Row],[level]])</f>
        <v>51</v>
      </c>
      <c r="S4" s="18">
        <f>COUNTIFS(Scenario0[winner1],"shadow",Scenario0[winner1-cp],ShadowEquipScenario0[[#This Row],[level]])+COUNTIFS(Scenario0[winner2],"shadow",Scenario0[winner2-cp],ShadowEquipScenario0[[#This Row],[level]])+COUNTIFS(Scenario0[loser1],"shadow",Scenario0[loser1-cp],ShadowEquipScenario0[[#This Row],[level]])+COUNTIFS(Scenario0[loser2],"shadow",Scenario0[loser2-cp],ShadowEquipScenario0[[#This Row],[level]])</f>
        <v>14</v>
      </c>
      <c r="U4" t="s">
        <v>179</v>
      </c>
      <c r="V4" s="3">
        <f>ShadowEquip[[#This Row],[chestpiece]]/SUM(ShadowEquip[chestpiece])</f>
        <v>0.15584415584415584</v>
      </c>
    </row>
    <row r="5" spans="1:22" x14ac:dyDescent="0.25">
      <c r="A5" t="s">
        <v>140</v>
      </c>
      <c r="B5">
        <f t="shared" si="0"/>
        <v>108</v>
      </c>
      <c r="C5">
        <f t="shared" si="1"/>
        <v>63</v>
      </c>
      <c r="D5" s="3">
        <f>IF(SUM(ShadowAbilities1[[#This Row],[takes]]) &gt; 0,ShadowAbilities1[[#This Row],[takes]]/SUM(ShadowAbilities1[takes]),0)</f>
        <v>0.2805194805194805</v>
      </c>
      <c r="E5" s="3">
        <f>IF(ShadowAbilities1[[#This Row],[takes]]&gt;0,ShadowAbilities1[[#This Row],[wins]]/ShadowAbilities1[[#This Row],[takes]],0)</f>
        <v>0.58333333333333337</v>
      </c>
      <c r="G5">
        <v>3</v>
      </c>
      <c r="H5">
        <f t="shared" si="2"/>
        <v>262</v>
      </c>
      <c r="I5" s="18">
        <f t="shared" si="3"/>
        <v>56</v>
      </c>
      <c r="K5" t="s">
        <v>140</v>
      </c>
      <c r="L5">
        <f>COUNTIF(Scenario0[winner1-ability1],ShadowAbilities1Scenario0[[#This Row],[ability]])+COUNTIF(Scenario0[winner2-ability1],ShadowAbilities1Scenario0[[#This Row],[ability]])+COUNTIF(Scenario0[loser1-ability1],ShadowAbilities1Scenario0[[#This Row],[ability]])+COUNTIF(Scenario0[loser2-ability1],ShadowAbilities1Scenario0[[#This Row],[ability]])</f>
        <v>3</v>
      </c>
      <c r="M5">
        <f>COUNTIF(Scenario0[winner1-ability1],ShadowAbilities1Scenario0[[#This Row],[ability]])+COUNTIF(Scenario0[winner2-ability1],ShadowAbilities1Scenario0[[#This Row],[ability]])</f>
        <v>2</v>
      </c>
      <c r="N5" s="3">
        <f>IF(SUM(ShadowAbilities1Scenario0[[#This Row],[takes]]) &gt; 0,ShadowAbilities1Scenario0[[#This Row],[takes]]/SUM(ShadowAbilities1Scenario0[takes]),0)</f>
        <v>2.8571428571428571E-2</v>
      </c>
      <c r="O5" s="3">
        <f>IF(ShadowAbilities1Scenario0[[#This Row],[takes]]&gt;0,ShadowAbilities1Scenario0[[#This Row],[wins]]/ShadowAbilities1Scenario0[[#This Row],[takes]],0)</f>
        <v>0.66666666666666663</v>
      </c>
      <c r="Q5">
        <v>3</v>
      </c>
      <c r="R5">
        <f>COUNTIFS(Scenario0[winner1],"shadow",Scenario0[winner1-pw],ShadowEquipScenario0[[#This Row],[level]])+COUNTIFS(Scenario0[winner2],"shadow",Scenario0[winner2-pw],ShadowEquipScenario0[[#This Row],[level]])+COUNTIFS(Scenario0[loser1],"shadow",Scenario0[loser1-pw],ShadowEquipScenario0[[#This Row],[level]])+COUNTIFS(Scenario0[loser2],"shadow",Scenario0[loser2-pw],ShadowEquipScenario0[[#This Row],[level]])</f>
        <v>46</v>
      </c>
      <c r="S5" s="18">
        <f>COUNTIFS(Scenario0[winner1],"shadow",Scenario0[winner1-cp],ShadowEquipScenario0[[#This Row],[level]])+COUNTIFS(Scenario0[winner2],"shadow",Scenario0[winner2-cp],ShadowEquipScenario0[[#This Row],[level]])+COUNTIFS(Scenario0[loser1],"shadow",Scenario0[loser1-cp],ShadowEquipScenario0[[#This Row],[level]])+COUNTIFS(Scenario0[loser2],"shadow",Scenario0[loser2-cp],ShadowEquipScenario0[[#This Row],[level]])</f>
        <v>6</v>
      </c>
      <c r="U5" t="s">
        <v>180</v>
      </c>
      <c r="V5" s="16">
        <f>ShadowEquip[[#This Row],[chestpiece]]/SUM(ShadowEquip[chestpiece])</f>
        <v>0.14545454545454545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SUM(ShadowAbilities2[takes])/SUM(ShadowAbilities1[takes])</f>
        <v>0.40779220779220782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SUM(ShadowAbilities3[takes])/SUM(ShadowAbilities1[takes])</f>
        <v>0.2831168831168831</v>
      </c>
    </row>
    <row r="8" spans="1:22" x14ac:dyDescent="0.25">
      <c r="A8" s="2" t="s">
        <v>141</v>
      </c>
      <c r="B8" s="2">
        <f>L8+L29+L50+L71+L92+L113</f>
        <v>75</v>
      </c>
      <c r="C8" s="2">
        <f>M8+M29+M50+M71+M92+M113</f>
        <v>38</v>
      </c>
      <c r="D8" s="12">
        <f>IF(SUM(ShadowAbilities2[[#This Row],[takes]]) &gt; 0,ShadowAbilities2[[#This Row],[takes]]/SUM(ShadowAbilities2[takes]),0)</f>
        <v>0.47770700636942676</v>
      </c>
      <c r="E8" s="12">
        <f>IF(ShadowAbilities2[[#This Row],[takes]]&gt;0,ShadowAbilities2[[#This Row],[wins]]/ShadowAbilities2[[#This Row],[takes]],0)</f>
        <v>0.50666666666666671</v>
      </c>
      <c r="I8" s="18"/>
      <c r="K8" s="2" t="s">
        <v>141</v>
      </c>
      <c r="L8" s="2">
        <f>COUNTIF(Scenario0[winner1-ability2],ShadowAbilities2Scenario0[[#This Row],[ability]])+COUNTIF(Scenario0[winner2-ability2],ShadowAbilities2Scenario0[[#This Row],[ability]])+COUNTIF(Scenario0[loser1-ability2],ShadowAbilities2Scenario0[[#This Row],[ability]])+COUNTIF(Scenario0[loser2-ability2],ShadowAbilities2Scenario0[[#This Row],[ability]])</f>
        <v>3</v>
      </c>
      <c r="M8" s="2">
        <f>COUNTIF(Scenario0[winner1-ability2],ShadowAbilities2Scenario0[[#This Row],[ability]])+COUNTIF(Scenario0[winner2-ability2],ShadowAbilities2Scenario0[[#This Row],[ability]])</f>
        <v>2</v>
      </c>
      <c r="N8" s="12">
        <f>IF(SUM(ShadowAbilities2Scenario0[[#This Row],[takes]]) &gt; 0,ShadowAbilities2Scenario0[[#This Row],[takes]]/SUM(ShadowAbilities2Scenario0[takes]),0)</f>
        <v>0.25</v>
      </c>
      <c r="O8" s="12">
        <f>IF(ShadowAbilities2Scenario0[[#This Row],[takes]]&gt;0,ShadowAbilities2Scenario0[[#This Row],[wins]]/ShadowAbilities2Scenario0[[#This Row],[takes]],0)</f>
        <v>0.66666666666666663</v>
      </c>
      <c r="S8" s="18"/>
      <c r="U8" t="s">
        <v>178</v>
      </c>
      <c r="V8" s="16">
        <f>SUM(ShadowAbilities4[takes])/SUM(ShadowAbilities1[takes])</f>
        <v>0.19220779220779222</v>
      </c>
    </row>
    <row r="9" spans="1:22" x14ac:dyDescent="0.25">
      <c r="A9" t="s">
        <v>92</v>
      </c>
      <c r="B9" s="2">
        <f t="shared" ref="B9:B10" si="4">L9+L30+L51+L72+L93+L114</f>
        <v>23</v>
      </c>
      <c r="C9" s="2">
        <f t="shared" ref="C9:C10" si="5">M9+M30+M51+M72+M93+M114</f>
        <v>14</v>
      </c>
      <c r="D9" s="3">
        <f>IF(SUM(ShadowAbilities2[[#This Row],[takes]]) &gt; 0,ShadowAbilities2[[#This Row],[takes]]/SUM(ShadowAbilities2[takes]),0)</f>
        <v>0.1464968152866242</v>
      </c>
      <c r="E9" s="3">
        <f>IF(ShadowAbilities2[[#This Row],[takes]]&gt;0,ShadowAbilities2[[#This Row],[wins]]/ShadowAbilities2[[#This Row],[takes]],0)</f>
        <v>0.60869565217391308</v>
      </c>
      <c r="I9" s="18"/>
      <c r="K9" t="s">
        <v>92</v>
      </c>
      <c r="L9" s="2">
        <f>COUNTIF(Scenario0[winner1-ability2],ShadowAbilities2Scenario0[[#This Row],[ability]])+COUNTIF(Scenario0[winner2-ability2],ShadowAbilities2Scenario0[[#This Row],[ability]])+COUNTIF(Scenario0[loser1-ability2],ShadowAbilities2Scenario0[[#This Row],[ability]])+COUNTIF(Scenario0[loser2-ability2],ShadowAbilities2Scenario0[[#This Row],[ability]])</f>
        <v>0</v>
      </c>
      <c r="M9" s="2">
        <f>COUNTIF(Scenario0[winner1-ability2],ShadowAbilities2Scenario0[[#This Row],[ability]])+COUNTIF(Scenario0[winner2-ability2],ShadowAbilities2Scenario0[[#This Row],[ability]])</f>
        <v>0</v>
      </c>
      <c r="N9" s="3">
        <f>IF(SUM(ShadowAbilities2Scenario0[[#This Row],[takes]]) &gt; 0,ShadowAbilities2Scenario0[[#This Row],[takes]]/SUM(ShadowAbilities2Scenario0[takes]),0)</f>
        <v>0</v>
      </c>
      <c r="O9" s="3">
        <f>IF(ShadowAbilities2Scenario0[[#This Row],[takes]]&gt;0,ShadowAbilities2Scenario0[[#This Row],[wins]]/ShadowAbilities2Scenario0[[#This Row],[takes]],0)</f>
        <v>0</v>
      </c>
      <c r="S9" s="18"/>
      <c r="U9" t="s">
        <v>194</v>
      </c>
      <c r="V9" s="33">
        <f>(SUM(ShadowAbilities2[takes])+SUM(ShadowAbilities3[takes])+SUM(ShadowAbilities4[takes])+SUM(H4:H5)+SUM(I4:I5))/SUM(ShadowAbilities1[takes])</f>
        <v>2.1480519480519482</v>
      </c>
    </row>
    <row r="10" spans="1:22" x14ac:dyDescent="0.25">
      <c r="A10" s="10" t="s">
        <v>76</v>
      </c>
      <c r="B10" s="2">
        <f t="shared" si="4"/>
        <v>59</v>
      </c>
      <c r="C10" s="2">
        <f t="shared" si="5"/>
        <v>31</v>
      </c>
      <c r="D10" s="13">
        <f>IF(SUM(ShadowAbilities2[[#This Row],[takes]]) &gt; 0,ShadowAbilities2[[#This Row],[takes]]/SUM(ShadowAbilities2[takes]),0)</f>
        <v>0.37579617834394907</v>
      </c>
      <c r="E10" s="13">
        <f>IF(ShadowAbilities2[[#This Row],[takes]]&gt;0,ShadowAbilities2[[#This Row],[wins]]/ShadowAbilities2[[#This Row],[takes]],0)</f>
        <v>0.52542372881355937</v>
      </c>
      <c r="I10" s="18"/>
      <c r="K10" s="10" t="s">
        <v>76</v>
      </c>
      <c r="L10" s="2">
        <f>COUNTIF(Scenario0[winner1-ability2],ShadowAbilities2Scenario0[[#This Row],[ability]])+COUNTIF(Scenario0[winner2-ability2],ShadowAbilities2Scenario0[[#This Row],[ability]])+COUNTIF(Scenario0[loser1-ability2],ShadowAbilities2Scenario0[[#This Row],[ability]])+COUNTIF(Scenario0[loser2-ability2],ShadowAbilities2Scenario0[[#This Row],[ability]])</f>
        <v>9</v>
      </c>
      <c r="M10" s="2">
        <f>COUNTIF(Scenario0[winner1-ability2],ShadowAbilities2Scenario0[[#This Row],[ability]])+COUNTIF(Scenario0[winner2-ability2],ShadowAbilities2Scenario0[[#This Row],[ability]])</f>
        <v>6</v>
      </c>
      <c r="N10" s="13">
        <f>IF(SUM(ShadowAbilities2Scenario0[[#This Row],[takes]]) &gt; 0,ShadowAbilities2Scenario0[[#This Row],[takes]]/SUM(ShadowAbilities2Scenario0[takes]),0)</f>
        <v>0.75</v>
      </c>
      <c r="O10" s="13">
        <f>IF(ShadowAbilities2Scenario0[[#This Row],[takes]]&gt;0,ShadowAbilities2Scenario0[[#This Row],[wins]]/ShadowAbilities2Scenario0[[#This Row],[takes]],0)</f>
        <v>0.66666666666666663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102</v>
      </c>
      <c r="B13" s="1">
        <f>L13+L34+L55+L76+L97+L118</f>
        <v>34</v>
      </c>
      <c r="C13" s="1">
        <f>M13+M34+M55+M76+M97+M118</f>
        <v>15</v>
      </c>
      <c r="D13" s="14">
        <f>IF(SUM(ShadowAbilities3[[#This Row],[takes]]) &gt; 0,ShadowAbilities3[[#This Row],[takes]]/SUM(ShadowAbilities3[takes]),0)</f>
        <v>0.31192660550458717</v>
      </c>
      <c r="E13" s="14">
        <f>IF(ShadowAbilities3[[#This Row],[takes]]&gt;0,ShadowAbilities3[[#This Row],[wins]]/ShadowAbilities3[[#This Row],[takes]],0)</f>
        <v>0.44117647058823528</v>
      </c>
      <c r="I13" s="18"/>
      <c r="K13" s="1" t="s">
        <v>102</v>
      </c>
      <c r="L13" s="1">
        <f>COUNTIF(Scenario0[winner1-ability3],ShadowAbilities3Scenario0[[#This Row],[ability]])+COUNTIF(Scenario0[winner2-ability3],ShadowAbilities3Scenario0[[#This Row],[ability]])+COUNTIF(Scenario0[loser1-ability3],ShadowAbilities3Scenario0[[#This Row],[ability]])+COUNTIF(Scenario0[loser2-ability3],ShadowAbilities3Scenario0[[#This Row],[ability]])</f>
        <v>1</v>
      </c>
      <c r="M13" s="1">
        <f>COUNTIF(Scenario0[winner1-ability3],ShadowAbilities3Scenario0[[#This Row],[ability]])+COUNTIF(Scenario0[winner2-ability3],ShadowAbilities3Scenario0[[#This Row],[ability]])</f>
        <v>1</v>
      </c>
      <c r="N13" s="14">
        <f>IF(SUM(ShadowAbilities3Scenario0[[#This Row],[takes]]) &gt; 0,ShadowAbilities3Scenario0[[#This Row],[takes]]/SUM(ShadowAbilities3Scenario0[takes]),0)</f>
        <v>0.14285714285714285</v>
      </c>
      <c r="O13" s="14">
        <f>IF(ShadowAbilities3Scenario0[[#This Row],[takes]]&gt;0,ShadowAbilities3Scenario0[[#This Row],[wins]]/ShadowAbilities3Scenario0[[#This Row],[takes]],0)</f>
        <v>1</v>
      </c>
      <c r="S13" s="18"/>
    </row>
    <row r="14" spans="1:22" x14ac:dyDescent="0.25">
      <c r="A14" s="2" t="s">
        <v>142</v>
      </c>
      <c r="B14" s="2">
        <f t="shared" ref="B14:B15" si="6">L14+L35+L56+L77+L98+L119</f>
        <v>39</v>
      </c>
      <c r="C14" s="2">
        <f t="shared" ref="C14:C15" si="7">M14+M35+M56+M77+M98+M119</f>
        <v>17</v>
      </c>
      <c r="D14" s="12">
        <f>IF(SUM(ShadowAbilities3[[#This Row],[takes]]) &gt; 0,ShadowAbilities3[[#This Row],[takes]]/SUM(ShadowAbilities3[takes]),0)</f>
        <v>0.3577981651376147</v>
      </c>
      <c r="E14" s="12">
        <f>IF(ShadowAbilities3[[#This Row],[takes]]&gt;0,ShadowAbilities3[[#This Row],[wins]]/ShadowAbilities3[[#This Row],[takes]],0)</f>
        <v>0.4358974358974359</v>
      </c>
      <c r="I14" s="18"/>
      <c r="K14" s="2" t="s">
        <v>142</v>
      </c>
      <c r="L14" s="2">
        <f>COUNTIF(Scenario0[winner1-ability3],ShadowAbilities3Scenario0[[#This Row],[ability]])+COUNTIF(Scenario0[winner2-ability3],ShadowAbilities3Scenario0[[#This Row],[ability]])+COUNTIF(Scenario0[loser1-ability3],ShadowAbilities3Scenario0[[#This Row],[ability]])+COUNTIF(Scenario0[loser2-ability3],ShadowAbilities3Scenario0[[#This Row],[ability]])</f>
        <v>1</v>
      </c>
      <c r="M14" s="2">
        <f>COUNTIF(Scenario0[winner1-ability3],ShadowAbilities3Scenario0[[#This Row],[ability]])+COUNTIF(Scenario0[winner2-ability3],ShadowAbilities3Scenario0[[#This Row],[ability]])</f>
        <v>1</v>
      </c>
      <c r="N14" s="12">
        <f>IF(SUM(ShadowAbilities3Scenario0[[#This Row],[takes]]) &gt; 0,ShadowAbilities3Scenario0[[#This Row],[takes]]/SUM(ShadowAbilities3Scenario0[takes]),0)</f>
        <v>0.14285714285714285</v>
      </c>
      <c r="O14" s="12">
        <f>IF(ShadowAbilities3Scenario0[[#This Row],[takes]]&gt;0,ShadowAbilities3Scenario0[[#This Row],[wins]]/ShadowAbilities3Scenario0[[#This Row],[takes]],0)</f>
        <v>1</v>
      </c>
      <c r="S14" s="18"/>
    </row>
    <row r="15" spans="1:22" x14ac:dyDescent="0.25">
      <c r="A15" s="11" t="s">
        <v>93</v>
      </c>
      <c r="B15" s="1">
        <f t="shared" si="6"/>
        <v>36</v>
      </c>
      <c r="C15" s="1">
        <f t="shared" si="7"/>
        <v>16</v>
      </c>
      <c r="D15" s="15">
        <f>IF(SUM(ShadowAbilities3[[#This Row],[takes]]) &gt; 0,ShadowAbilities3[[#This Row],[takes]]/SUM(ShadowAbilities3[takes]),0)</f>
        <v>0.33027522935779818</v>
      </c>
      <c r="E15" s="15">
        <f>IF(ShadowAbilities3[[#This Row],[takes]]&gt;0,ShadowAbilities3[[#This Row],[wins]]/ShadowAbilities3[[#This Row],[takes]],0)</f>
        <v>0.44444444444444442</v>
      </c>
      <c r="I15" s="18"/>
      <c r="K15" s="11" t="s">
        <v>93</v>
      </c>
      <c r="L15" s="1">
        <f>COUNTIF(Scenario0[winner1-ability3],ShadowAbilities3Scenario0[[#This Row],[ability]])+COUNTIF(Scenario0[winner2-ability3],ShadowAbilities3Scenario0[[#This Row],[ability]])+COUNTIF(Scenario0[loser1-ability3],ShadowAbilities3Scenario0[[#This Row],[ability]])+COUNTIF(Scenario0[loser2-ability3],ShadowAbilities3Scenario0[[#This Row],[ability]])</f>
        <v>5</v>
      </c>
      <c r="M15" s="1">
        <f>COUNTIF(Scenario0[winner1-ability3],ShadowAbilities3Scenario0[[#This Row],[ability]])+COUNTIF(Scenario0[winner2-ability3],ShadowAbilities3Scenario0[[#This Row],[ability]])</f>
        <v>2</v>
      </c>
      <c r="N15" s="15">
        <f>IF(SUM(ShadowAbilities3Scenario0[[#This Row],[takes]]) &gt; 0,ShadowAbilities3Scenario0[[#This Row],[takes]]/SUM(ShadowAbilities3Scenario0[takes]),0)</f>
        <v>0.7142857142857143</v>
      </c>
      <c r="O15" s="15">
        <f>IF(ShadowAbilities3Scenario0[[#This Row],[takes]]&gt;0,ShadowAbilities3Scenario0[[#This Row],[wins]]/ShadowAbilities3Scenario0[[#This Row],[takes]],0)</f>
        <v>0.4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143</v>
      </c>
      <c r="B18" s="2">
        <f>L18+L39+L60+L81+L102+L123</f>
        <v>24</v>
      </c>
      <c r="C18" s="2">
        <f>M18+M39+M60+M81+M102+M123</f>
        <v>7</v>
      </c>
      <c r="D18" s="12">
        <f>IF(SUM(ShadowAbilities4[[#This Row],[takes]]) &gt; 0,ShadowAbilities4[[#This Row],[takes]]/SUM(ShadowAbilities4[takes]),0)</f>
        <v>0.32432432432432434</v>
      </c>
      <c r="E18" s="12">
        <f>IF(ShadowAbilities4[[#This Row],[takes]]&gt;0,ShadowAbilities4[[#This Row],[wins]]/ShadowAbilities4[[#This Row],[takes]],0)</f>
        <v>0.29166666666666669</v>
      </c>
      <c r="I18" s="18"/>
      <c r="K18" s="2" t="s">
        <v>143</v>
      </c>
      <c r="L18" s="2">
        <f>COUNTIF(Scenario0[winner1-ability4],ShadowAbilities4Scenario0[[#This Row],[ability]])+COUNTIF(Scenario0[winner2-ability4],ShadowAbilities4Scenario0[[#This Row],[ability]])+COUNTIF(Scenario0[loser1-ability4],ShadowAbilities4Scenario0[[#This Row],[ability]])+COUNTIF(Scenario0[loser2-ability4],ShadowAbilities4Scenario0[[#This Row],[ability]])</f>
        <v>1</v>
      </c>
      <c r="M18" s="2">
        <f>COUNTIF(Scenario0[winner1-ability4],ShadowAbilities4Scenario0[[#This Row],[ability]])+COUNTIF(Scenario0[winner2-ability4],ShadowAbilities4Scenario0[[#This Row],[ability]])</f>
        <v>1</v>
      </c>
      <c r="N18" s="12">
        <f>IF(SUM(ShadowAbilities4Scenario0[[#This Row],[takes]]) &gt; 0,ShadowAbilities4Scenario0[[#This Row],[takes]]/SUM(ShadowAbilities4Scenario0[takes]),0)</f>
        <v>0.33333333333333331</v>
      </c>
      <c r="O18" s="12">
        <f>IF(ShadowAbilities4Scenario0[[#This Row],[takes]]&gt;0,ShadowAbilities4Scenario0[[#This Row],[wins]]/ShadowAbilities4Scenario0[[#This Row],[takes]],0)</f>
        <v>1</v>
      </c>
      <c r="S18" s="18"/>
    </row>
    <row r="19" spans="1:20" x14ac:dyDescent="0.25">
      <c r="A19" s="2" t="s">
        <v>144</v>
      </c>
      <c r="B19" s="2">
        <f t="shared" ref="B19:B20" si="8">L19+L40+L61+L82+L103+L124</f>
        <v>21</v>
      </c>
      <c r="C19" s="2">
        <f t="shared" ref="C19:C20" si="9">M19+M40+M61+M82+M103+M124</f>
        <v>11</v>
      </c>
      <c r="D19" s="12">
        <f>IF(SUM(ShadowAbilities4[[#This Row],[takes]]) &gt; 0,ShadowAbilities4[[#This Row],[takes]]/SUM(ShadowAbilities4[takes]),0)</f>
        <v>0.28378378378378377</v>
      </c>
      <c r="E19" s="12">
        <f>IF(ShadowAbilities4[[#This Row],[takes]]&gt;0,ShadowAbilities4[[#This Row],[wins]]/ShadowAbilities4[[#This Row],[takes]],0)</f>
        <v>0.52380952380952384</v>
      </c>
      <c r="I19" s="18"/>
      <c r="K19" s="2" t="s">
        <v>144</v>
      </c>
      <c r="L19" s="2">
        <f>COUNTIF(Scenario0[winner1-ability4],ShadowAbilities4Scenario0[[#This Row],[ability]])+COUNTIF(Scenario0[winner2-ability4],ShadowAbilities4Scenario0[[#This Row],[ability]])+COUNTIF(Scenario0[loser1-ability4],ShadowAbilities4Scenario0[[#This Row],[ability]])+COUNTIF(Scenario0[loser2-ability4],ShadowAbilities4Scenario0[[#This Row],[ability]])</f>
        <v>1</v>
      </c>
      <c r="M19" s="2">
        <f>COUNTIF(Scenario0[winner1-ability4],ShadowAbilities4Scenario0[[#This Row],[ability]])+COUNTIF(Scenario0[winner2-ability4],ShadowAbilities4Scenario0[[#This Row],[ability]])</f>
        <v>0</v>
      </c>
      <c r="N19" s="12">
        <f>IF(SUM(ShadowAbilities4Scenario0[[#This Row],[takes]]) &gt; 0,ShadowAbilities4Scenario0[[#This Row],[takes]]/SUM(ShadowAbilities4Scenario0[takes]),0)</f>
        <v>0.33333333333333331</v>
      </c>
      <c r="O19" s="12">
        <f>IF(ShadowAbilities4Scenario0[[#This Row],[takes]]&gt;0,ShadowAbilities4Scenario0[[#This Row],[wins]]/ShadowAbilities4Scenario0[[#This Row],[takes]],0)</f>
        <v>0</v>
      </c>
      <c r="S19" s="18"/>
    </row>
    <row r="20" spans="1:20" ht="15.75" thickBot="1" x14ac:dyDescent="0.3">
      <c r="A20" s="10" t="s">
        <v>94</v>
      </c>
      <c r="B20" s="2">
        <f t="shared" si="8"/>
        <v>29</v>
      </c>
      <c r="C20" s="2">
        <f t="shared" si="9"/>
        <v>9</v>
      </c>
      <c r="D20" s="26">
        <f>IF(SUM(ShadowAbilities4[[#This Row],[takes]]) &gt; 0,ShadowAbilities4[[#This Row],[takes]]/SUM(ShadowAbilities4[takes]),0)</f>
        <v>0.39189189189189189</v>
      </c>
      <c r="E20" s="26">
        <f>IF(ShadowAbilities4[[#This Row],[takes]]&gt;0,ShadowAbilities4[[#This Row],[wins]]/ShadowAbilities4[[#This Row],[takes]],0)</f>
        <v>0.31034482758620691</v>
      </c>
      <c r="F20" s="27"/>
      <c r="G20" s="27"/>
      <c r="H20" s="27"/>
      <c r="I20" s="28"/>
      <c r="K20" s="10" t="s">
        <v>94</v>
      </c>
      <c r="L20" s="25">
        <f>COUNTIF(Scenario0[winner1-ability4],ShadowAbilities4Scenario0[[#This Row],[ability]])+COUNTIF(Scenario0[winner2-ability4],ShadowAbilities4Scenario0[[#This Row],[ability]])+COUNTIF(Scenario0[loser1-ability4],ShadowAbilities4Scenario0[[#This Row],[ability]])+COUNTIF(Scenario0[loser2-ability4],ShadowAbilities4Scenario0[[#This Row],[ability]])</f>
        <v>1</v>
      </c>
      <c r="M20" s="25">
        <f>COUNTIF(Scenario0[winner1-ability4],ShadowAbilities4Scenario0[[#This Row],[ability]])+COUNTIF(Scenario0[winner2-ability4],ShadowAbilities4Scenario0[[#This Row],[ability]])</f>
        <v>0</v>
      </c>
      <c r="N20" s="26">
        <f>IF(SUM(ShadowAbilities4Scenario0[[#This Row],[takes]]) &gt; 0,ShadowAbilities4Scenario0[[#This Row],[takes]]/SUM(ShadowAbilities4Scenario0[takes]),0)</f>
        <v>0.33333333333333331</v>
      </c>
      <c r="O20" s="26">
        <f>IF(ShadowAbilities4Scenario0[[#This Row],[takes]]&gt;0,ShadowAbilities4Scenario0[[#This Row],[wins]]/ShadowAbilities4Scenario0[[#This Row],[takes]],0)</f>
        <v>0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7" t="s">
        <v>183</v>
      </c>
      <c r="L22" s="38"/>
      <c r="M22" s="38"/>
      <c r="N22" s="38"/>
      <c r="O22" s="38"/>
      <c r="P22" s="38"/>
      <c r="Q22" s="38"/>
      <c r="R22" s="38"/>
      <c r="S22" s="39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169</v>
      </c>
      <c r="S23" s="18" t="s">
        <v>164</v>
      </c>
    </row>
    <row r="24" spans="1:20" x14ac:dyDescent="0.25">
      <c r="K24" t="s">
        <v>47</v>
      </c>
      <c r="L24">
        <f>COUNTIF(Scenario1[winner1-ability1],ShadowAbilities1Scenario1[[#This Row],[ability]])+COUNTIF(Scenario1[winner2-ability1],ShadowAbilities1Scenario1[[#This Row],[ability]])+COUNTIF(Scenario1[loser1-ability1],ShadowAbilities1Scenario1[[#This Row],[ability]])+COUNTIF(Scenario1[loser2-ability1],ShadowAbilities1Scenario1[[#This Row],[ability]])</f>
        <v>27</v>
      </c>
      <c r="M24">
        <f>COUNTIF(Scenario1[winner1-ability1],ShadowAbilities1Scenario1[[#This Row],[ability]])+COUNTIF(Scenario1[winner2-ability1],ShadowAbilities1Scenario1[[#This Row],[ability]])</f>
        <v>13</v>
      </c>
      <c r="N24" s="3">
        <f>IF(SUM(ShadowAbilities1Scenario1[[#This Row],[takes]]) &gt; 0,ShadowAbilities1Scenario1[[#This Row],[takes]]/SUM(ShadowAbilities1Scenario1[takes]),0)</f>
        <v>0.25714285714285712</v>
      </c>
      <c r="O24" s="3">
        <f>IF(ShadowAbilities1Scenario1[[#This Row],[takes]]&gt;0,ShadowAbilities1Scenario1[[#This Row],[wins]]/ShadowAbilities1Scenario1[[#This Row],[takes]],0)</f>
        <v>0.48148148148148145</v>
      </c>
      <c r="Q24">
        <v>1</v>
      </c>
      <c r="R24">
        <f>COUNTIFS(Scenario1[winner1],"shadow",Scenario1[winner1-pw],ShadowEquipScenario1[[#This Row],[level]])+COUNTIFS(Scenario1[winner2],"shadow",Scenario1[winner2-pw],ShadowEquipScenario1[[#This Row],[level]])+COUNTIFS(Scenario1[loser1],"shadow",Scenario1[loser1-pw],ShadowEquipScenario1[[#This Row],[level]])+COUNTIFS(Scenario1[loser2],"shadow",Scenario1[loser2-pw],ShadowEquipScenario1[[#This Row],[level]])</f>
        <v>4</v>
      </c>
      <c r="S24" s="18">
        <f>COUNTIFS(Scenario1[winner1],"shadow",Scenario1[winner1-cp],ShadowEquipScenario1[[#This Row],[level]])+COUNTIFS(Scenario1[winner2],"shadow",Scenario1[winner2-cp],ShadowEquipScenario1[[#This Row],[level]])+COUNTIFS(Scenario1[loser1],"shadow",Scenario1[loser1-cp],ShadowEquipScenario1[[#This Row],[level]])+COUNTIFS(Scenario1[loser2],"shadow",Scenario1[loser2-cp],ShadowEquipScenario1[[#This Row],[level]])</f>
        <v>87</v>
      </c>
    </row>
    <row r="25" spans="1:20" x14ac:dyDescent="0.25">
      <c r="K25" t="s">
        <v>86</v>
      </c>
      <c r="L25">
        <f>COUNTIF(Scenario1[winner1-ability1],ShadowAbilities1Scenario1[[#This Row],[ability]])+COUNTIF(Scenario1[winner2-ability1],ShadowAbilities1Scenario1[[#This Row],[ability]])+COUNTIF(Scenario1[loser1-ability1],ShadowAbilities1Scenario1[[#This Row],[ability]])+COUNTIF(Scenario1[loser2-ability1],ShadowAbilities1Scenario1[[#This Row],[ability]])</f>
        <v>38</v>
      </c>
      <c r="M25">
        <f>COUNTIF(Scenario1[winner1-ability1],ShadowAbilities1Scenario1[[#This Row],[ability]])+COUNTIF(Scenario1[winner2-ability1],ShadowAbilities1Scenario1[[#This Row],[ability]])</f>
        <v>21</v>
      </c>
      <c r="N25" s="3">
        <f>IF(SUM(ShadowAbilities1Scenario1[[#This Row],[takes]]) &gt; 0,ShadowAbilities1Scenario1[[#This Row],[takes]]/SUM(ShadowAbilities1Scenario1[takes]),0)</f>
        <v>0.3619047619047619</v>
      </c>
      <c r="O25" s="3">
        <f>IF(ShadowAbilities1Scenario1[[#This Row],[takes]]&gt;0,ShadowAbilities1Scenario1[[#This Row],[wins]]/ShadowAbilities1Scenario1[[#This Row],[takes]],0)</f>
        <v>0.55263157894736847</v>
      </c>
      <c r="Q25">
        <v>2</v>
      </c>
      <c r="R25">
        <f>COUNTIFS(Scenario1[winner1],"shadow",Scenario1[winner1-pw],ShadowEquipScenario1[[#This Row],[level]])+COUNTIFS(Scenario1[winner2],"shadow",Scenario1[winner2-pw],ShadowEquipScenario1[[#This Row],[level]])+COUNTIFS(Scenario1[loser1],"shadow",Scenario1[loser1-pw],ShadowEquipScenario1[[#This Row],[level]])+COUNTIFS(Scenario1[loser2],"shadow",Scenario1[loser2-pw],ShadowEquipScenario1[[#This Row],[level]])</f>
        <v>40</v>
      </c>
      <c r="S25" s="18">
        <f>COUNTIFS(Scenario1[winner1],"shadow",Scenario1[winner1-cp],ShadowEquipScenario1[[#This Row],[level]])+COUNTIFS(Scenario1[winner2],"shadow",Scenario1[winner2-cp],ShadowEquipScenario1[[#This Row],[level]])+COUNTIFS(Scenario1[loser1],"shadow",Scenario1[loser1-cp],ShadowEquipScenario1[[#This Row],[level]])+COUNTIFS(Scenario1[loser2],"shadow",Scenario1[loser2-cp],ShadowEquipScenario1[[#This Row],[level]])</f>
        <v>16</v>
      </c>
    </row>
    <row r="26" spans="1:20" x14ac:dyDescent="0.25">
      <c r="K26" t="s">
        <v>140</v>
      </c>
      <c r="L26">
        <f>COUNTIF(Scenario1[winner1-ability1],ShadowAbilities1Scenario1[[#This Row],[ability]])+COUNTIF(Scenario1[winner2-ability1],ShadowAbilities1Scenario1[[#This Row],[ability]])+COUNTIF(Scenario1[loser1-ability1],ShadowAbilities1Scenario1[[#This Row],[ability]])+COUNTIF(Scenario1[loser2-ability1],ShadowAbilities1Scenario1[[#This Row],[ability]])</f>
        <v>40</v>
      </c>
      <c r="M26">
        <f>COUNTIF(Scenario1[winner1-ability1],ShadowAbilities1Scenario1[[#This Row],[ability]])+COUNTIF(Scenario1[winner2-ability1],ShadowAbilities1Scenario1[[#This Row],[ability]])</f>
        <v>21</v>
      </c>
      <c r="N26" s="3">
        <f>IF(SUM(ShadowAbilities1Scenario1[[#This Row],[takes]]) &gt; 0,ShadowAbilities1Scenario1[[#This Row],[takes]]/SUM(ShadowAbilities1Scenario1[takes]),0)</f>
        <v>0.38095238095238093</v>
      </c>
      <c r="O26" s="3">
        <f>IF(ShadowAbilities1Scenario1[[#This Row],[takes]]&gt;0,ShadowAbilities1Scenario1[[#This Row],[wins]]/ShadowAbilities1Scenario1[[#This Row],[takes]],0)</f>
        <v>0.52500000000000002</v>
      </c>
      <c r="Q26">
        <v>3</v>
      </c>
      <c r="R26">
        <f>COUNTIFS(Scenario1[winner1],"shadow",Scenario1[winner1-pw],ShadowEquipScenario1[[#This Row],[level]])+COUNTIFS(Scenario1[winner2],"shadow",Scenario1[winner2-pw],ShadowEquipScenario1[[#This Row],[level]])+COUNTIFS(Scenario1[loser1],"shadow",Scenario1[loser1-pw],ShadowEquipScenario1[[#This Row],[level]])+COUNTIFS(Scenario1[loser2],"shadow",Scenario1[loser2-pw],ShadowEquipScenario1[[#This Row],[level]])</f>
        <v>61</v>
      </c>
      <c r="S26" s="18">
        <f>COUNTIFS(Scenario1[winner1],"shadow",Scenario1[winner1-cp],ShadowEquipScenario1[[#This Row],[level]])+COUNTIFS(Scenario1[winner2],"shadow",Scenario1[winner2-cp],ShadowEquipScenario1[[#This Row],[level]])+COUNTIFS(Scenario1[loser1],"shadow",Scenario1[loser1-cp],ShadowEquipScenario1[[#This Row],[level]])+COUNTIFS(Scenario1[loser2],"shadow",Scenario1[loser2-cp],ShadowEquipScenario1[[#This Row],[level]])</f>
        <v>2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" t="s">
        <v>141</v>
      </c>
      <c r="L29" s="2">
        <f>COUNTIF(Scenario1[winner1-ability2],ShadowAbilities2Scenario1[[#This Row],[ability]])+COUNTIF(Scenario1[winner2-ability2],ShadowAbilities2Scenario1[[#This Row],[ability]])+COUNTIF(Scenario1[loser1-ability2],ShadowAbilities2Scenario1[[#This Row],[ability]])+COUNTIF(Scenario1[loser2-ability2],ShadowAbilities2Scenario1[[#This Row],[ability]])</f>
        <v>6</v>
      </c>
      <c r="M29" s="2">
        <f>COUNTIF(Scenario1[winner1-ability2],ShadowAbilities2Scenario1[[#This Row],[ability]])+COUNTIF(Scenario1[winner2-ability2],ShadowAbilities2Scenario1[[#This Row],[ability]])</f>
        <v>5</v>
      </c>
      <c r="N29" s="12">
        <f>IF(SUM(ShadowAbilities2Scenario1[[#This Row],[takes]]) &gt; 0,ShadowAbilities2Scenario1[[#This Row],[takes]]/SUM(ShadowAbilities2Scenario1[takes]),0)</f>
        <v>0.4</v>
      </c>
      <c r="O29" s="12">
        <f>IF(ShadowAbilities2Scenario1[[#This Row],[takes]]&gt;0,ShadowAbilities2Scenario1[[#This Row],[wins]]/ShadowAbilities2Scenario1[[#This Row],[takes]],0)</f>
        <v>0.83333333333333337</v>
      </c>
      <c r="S29" s="18"/>
    </row>
    <row r="30" spans="1:20" x14ac:dyDescent="0.25">
      <c r="K30" t="s">
        <v>92</v>
      </c>
      <c r="L30" s="2">
        <f>COUNTIF(Scenario1[winner1-ability2],ShadowAbilities2Scenario1[[#This Row],[ability]])+COUNTIF(Scenario1[winner2-ability2],ShadowAbilities2Scenario1[[#This Row],[ability]])+COUNTIF(Scenario1[loser1-ability2],ShadowAbilities2Scenario1[[#This Row],[ability]])+COUNTIF(Scenario1[loser2-ability2],ShadowAbilities2Scenario1[[#This Row],[ability]])</f>
        <v>3</v>
      </c>
      <c r="M30" s="2">
        <f>COUNTIF(Scenario1[winner1-ability2],ShadowAbilities2Scenario1[[#This Row],[ability]])+COUNTIF(Scenario1[winner2-ability2],ShadowAbilities2Scenario1[[#This Row],[ability]])</f>
        <v>2</v>
      </c>
      <c r="N30" s="3">
        <f>IF(SUM(ShadowAbilities2Scenario1[[#This Row],[takes]]) &gt; 0,ShadowAbilities2Scenario1[[#This Row],[takes]]/SUM(ShadowAbilities2Scenario1[takes]),0)</f>
        <v>0.2</v>
      </c>
      <c r="O30" s="3">
        <f>IF(ShadowAbilities2Scenario1[[#This Row],[takes]]&gt;0,ShadowAbilities2Scenario1[[#This Row],[wins]]/ShadowAbilities2Scenario1[[#This Row],[takes]],0)</f>
        <v>0.66666666666666663</v>
      </c>
      <c r="S30" s="18"/>
    </row>
    <row r="31" spans="1:20" x14ac:dyDescent="0.25">
      <c r="K31" s="10" t="s">
        <v>76</v>
      </c>
      <c r="L31" s="2">
        <f>COUNTIF(Scenario1[winner1-ability2],ShadowAbilities2Scenario1[[#This Row],[ability]])+COUNTIF(Scenario1[winner2-ability2],ShadowAbilities2Scenario1[[#This Row],[ability]])+COUNTIF(Scenario1[loser1-ability2],ShadowAbilities2Scenario1[[#This Row],[ability]])+COUNTIF(Scenario1[loser2-ability2],ShadowAbilities2Scenario1[[#This Row],[ability]])</f>
        <v>6</v>
      </c>
      <c r="M31" s="2">
        <f>COUNTIF(Scenario1[winner1-ability2],ShadowAbilities2Scenario1[[#This Row],[ability]])+COUNTIF(Scenario1[winner2-ability2],ShadowAbilities2Scenario1[[#This Row],[ability]])</f>
        <v>2</v>
      </c>
      <c r="N31" s="13">
        <f>IF(SUM(ShadowAbilities2Scenario1[[#This Row],[takes]]) &gt; 0,ShadowAbilities2Scenario1[[#This Row],[takes]]/SUM(ShadowAbilities2Scenario1[takes]),0)</f>
        <v>0.4</v>
      </c>
      <c r="O31" s="13">
        <f>IF(ShadowAbilities2Scenario1[[#This Row],[takes]]&gt;0,ShadowAbilities2Scenario1[[#This Row],[wins]]/ShadowAbilities2Scenario1[[#This Row],[takes]],0)</f>
        <v>0.33333333333333331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1" t="s">
        <v>102</v>
      </c>
      <c r="L34" s="1">
        <f>COUNTIF(Scenario1[winner1-ability3],ShadowAbilities3Scenario1[[#This Row],[ability]])+COUNTIF(Scenario1[winner2-ability3],ShadowAbilities3Scenario1[[#This Row],[ability]])+COUNTIF(Scenario1[loser1-ability3],ShadowAbilities3Scenario1[[#This Row],[ability]])+COUNTIF(Scenario1[loser2-ability3],ShadowAbilities3Scenario1[[#This Row],[ability]])</f>
        <v>3</v>
      </c>
      <c r="M34" s="1">
        <f>COUNTIF(Scenario1[winner1-ability3],ShadowAbilities3Scenario1[[#This Row],[ability]])+COUNTIF(Scenario1[winner2-ability3],ShadowAbilities3Scenario1[[#This Row],[ability]])</f>
        <v>2</v>
      </c>
      <c r="N34" s="14">
        <f>IF(SUM(ShadowAbilities3Scenario1[[#This Row],[takes]]) &gt; 0,ShadowAbilities3Scenario1[[#This Row],[takes]]/SUM(ShadowAbilities3Scenario1[takes]),0)</f>
        <v>0.375</v>
      </c>
      <c r="O34" s="14">
        <f>IF(ShadowAbilities3Scenario1[[#This Row],[takes]]&gt;0,ShadowAbilities3Scenario1[[#This Row],[wins]]/ShadowAbilities3Scenario1[[#This Row],[takes]],0)</f>
        <v>0.66666666666666663</v>
      </c>
      <c r="S34" s="18"/>
    </row>
    <row r="35" spans="11:20" x14ac:dyDescent="0.25">
      <c r="K35" s="2" t="s">
        <v>142</v>
      </c>
      <c r="L35" s="2">
        <f>COUNTIF(Scenario1[winner1-ability3],ShadowAbilities3Scenario1[[#This Row],[ability]])+COUNTIF(Scenario1[winner2-ability3],ShadowAbilities3Scenario1[[#This Row],[ability]])+COUNTIF(Scenario1[loser1-ability3],ShadowAbilities3Scenario1[[#This Row],[ability]])+COUNTIF(Scenario1[loser2-ability3],ShadowAbilities3Scenario1[[#This Row],[ability]])</f>
        <v>2</v>
      </c>
      <c r="M35" s="2">
        <f>COUNTIF(Scenario1[winner1-ability3],ShadowAbilities3Scenario1[[#This Row],[ability]])+COUNTIF(Scenario1[winner2-ability3],ShadowAbilities3Scenario1[[#This Row],[ability]])</f>
        <v>1</v>
      </c>
      <c r="N35" s="12">
        <f>IF(SUM(ShadowAbilities3Scenario1[[#This Row],[takes]]) &gt; 0,ShadowAbilities3Scenario1[[#This Row],[takes]]/SUM(ShadowAbilities3Scenario1[takes]),0)</f>
        <v>0.25</v>
      </c>
      <c r="O35" s="12">
        <f>IF(ShadowAbilities3Scenario1[[#This Row],[takes]]&gt;0,ShadowAbilities3Scenario1[[#This Row],[wins]]/ShadowAbilities3Scenario1[[#This Row],[takes]],0)</f>
        <v>0.5</v>
      </c>
      <c r="S35" s="18"/>
    </row>
    <row r="36" spans="11:20" x14ac:dyDescent="0.25">
      <c r="K36" s="11" t="s">
        <v>93</v>
      </c>
      <c r="L36" s="1">
        <f>COUNTIF(Scenario1[winner1-ability3],ShadowAbilities3Scenario1[[#This Row],[ability]])+COUNTIF(Scenario1[winner2-ability3],ShadowAbilities3Scenario1[[#This Row],[ability]])+COUNTIF(Scenario1[loser1-ability3],ShadowAbilities3Scenario1[[#This Row],[ability]])+COUNTIF(Scenario1[loser2-ability3],ShadowAbilities3Scenario1[[#This Row],[ability]])</f>
        <v>3</v>
      </c>
      <c r="M36" s="1">
        <f>COUNTIF(Scenario1[winner1-ability3],ShadowAbilities3Scenario1[[#This Row],[ability]])+COUNTIF(Scenario1[winner2-ability3],ShadowAbilities3Scenario1[[#This Row],[ability]])</f>
        <v>1</v>
      </c>
      <c r="N36" s="15">
        <f>IF(SUM(ShadowAbilities3Scenario1[[#This Row],[takes]]) &gt; 0,ShadowAbilities3Scenario1[[#This Row],[takes]]/SUM(ShadowAbilities3Scenario1[takes]),0)</f>
        <v>0.375</v>
      </c>
      <c r="O36" s="15">
        <f>IF(ShadowAbilities3Scenario1[[#This Row],[takes]]&gt;0,ShadowAbilities3Scenario1[[#This Row],[wins]]/ShadowAbilities3Scenario1[[#This Row],[takes]],0)</f>
        <v>0.33333333333333331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" t="s">
        <v>143</v>
      </c>
      <c r="L39" s="2">
        <f>COUNTIF(Scenario1[winner1-ability4],ShadowAbilities4Scenario1[[#This Row],[ability]])+COUNTIF(Scenario1[winner2-ability4],ShadowAbilities4Scenario1[[#This Row],[ability]])+COUNTIF(Scenario1[loser1-ability4],ShadowAbilities4Scenario1[[#This Row],[ability]])+COUNTIF(Scenario1[loser2-ability4],ShadowAbilities4Scenario1[[#This Row],[ability]])</f>
        <v>1</v>
      </c>
      <c r="M39" s="2">
        <f>COUNTIF(Scenario1[winner1-ability4],ShadowAbilities4Scenario1[[#This Row],[ability]])+COUNTIF(Scenario1[winner2-ability4],ShadowAbilities4Scenario1[[#This Row],[ability]])</f>
        <v>0</v>
      </c>
      <c r="N39" s="12">
        <f>IF(SUM(ShadowAbilities4Scenario1[[#This Row],[takes]]) &gt; 0,ShadowAbilities4Scenario1[[#This Row],[takes]]/SUM(ShadowAbilities4Scenario1[takes]),0)</f>
        <v>0.5</v>
      </c>
      <c r="O39" s="12">
        <f>IF(ShadowAbilities4Scenario1[[#This Row],[takes]]&gt;0,ShadowAbilities4Scenario1[[#This Row],[wins]]/ShadowAbilities4Scenario1[[#This Row],[takes]],0)</f>
        <v>0</v>
      </c>
      <c r="S39" s="18"/>
    </row>
    <row r="40" spans="11:20" x14ac:dyDescent="0.25">
      <c r="K40" s="2" t="s">
        <v>144</v>
      </c>
      <c r="L40" s="2">
        <f>COUNTIF(Scenario1[winner1-ability4],ShadowAbilities4Scenario1[[#This Row],[ability]])+COUNTIF(Scenario1[winner2-ability4],ShadowAbilities4Scenario1[[#This Row],[ability]])+COUNTIF(Scenario1[loser1-ability4],ShadowAbilities4Scenario1[[#This Row],[ability]])+COUNTIF(Scenario1[loser2-ability4],ShadowAbilities4Scenario1[[#This Row],[ability]])</f>
        <v>0</v>
      </c>
      <c r="M40" s="2">
        <f>COUNTIF(Scenario1[winner1-ability4],ShadowAbilities4Scenario1[[#This Row],[ability]])+COUNTIF(Scenario1[winner2-ability4],ShadowAbilities4Scenario1[[#This Row],[ability]])</f>
        <v>0</v>
      </c>
      <c r="N40" s="12">
        <f>IF(SUM(ShadowAbilities4Scenario1[[#This Row],[takes]]) &gt; 0,ShadowAbilities4Scenario1[[#This Row],[takes]]/SUM(ShadowAbilities4Scenario1[takes]),0)</f>
        <v>0</v>
      </c>
      <c r="O40" s="12">
        <f>IF(ShadowAbilities4Scenario1[[#This Row],[takes]]&gt;0,ShadowAbilities4Scenario1[[#This Row],[wins]]/ShadowAbilities4Scenario1[[#This Row],[takes]],0)</f>
        <v>0</v>
      </c>
      <c r="S40" s="18"/>
    </row>
    <row r="41" spans="11:20" ht="15.75" thickBot="1" x14ac:dyDescent="0.3">
      <c r="K41" s="10" t="s">
        <v>94</v>
      </c>
      <c r="L41" s="25">
        <f>COUNTIF(Scenario1[winner1-ability4],ShadowAbilities4Scenario1[[#This Row],[ability]])+COUNTIF(Scenario1[winner2-ability4],ShadowAbilities4Scenario1[[#This Row],[ability]])+COUNTIF(Scenario1[loser1-ability4],ShadowAbilities4Scenario1[[#This Row],[ability]])+COUNTIF(Scenario1[loser2-ability4],ShadowAbilities4Scenario1[[#This Row],[ability]])</f>
        <v>1</v>
      </c>
      <c r="M41" s="25">
        <f>COUNTIF(Scenario1[winner1-ability4],ShadowAbilities4Scenario1[[#This Row],[ability]])+COUNTIF(Scenario1[winner2-ability4],ShadowAbilities4Scenario1[[#This Row],[ability]])</f>
        <v>0</v>
      </c>
      <c r="N41" s="26">
        <f>IF(SUM(ShadowAbilities4Scenario1[[#This Row],[takes]]) &gt; 0,ShadowAbilities4Scenario1[[#This Row],[takes]]/SUM(ShadowAbilities4Scenario1[takes]),0)</f>
        <v>0.5</v>
      </c>
      <c r="O41" s="26">
        <f>IF(ShadowAbilities4Scenario1[[#This Row],[takes]]&gt;0,ShadowAbilities4Scenario1[[#This Row],[wins]]/ShadowAbilities4Scenario1[[#This Row],[takes]],0)</f>
        <v>0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7" t="s">
        <v>184</v>
      </c>
      <c r="L43" s="38"/>
      <c r="M43" s="38"/>
      <c r="N43" s="38"/>
      <c r="O43" s="38"/>
      <c r="P43" s="38"/>
      <c r="Q43" s="38"/>
      <c r="R43" s="38"/>
      <c r="S43" s="39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169</v>
      </c>
      <c r="S44" s="18" t="s">
        <v>164</v>
      </c>
    </row>
    <row r="45" spans="11:20" x14ac:dyDescent="0.25">
      <c r="K45" t="s">
        <v>47</v>
      </c>
      <c r="L45">
        <f>COUNTIF(Scenario2[winner1-ability1],ShadowAbilities1Scenario2[[#This Row],[ability]])+COUNTIF(Scenario2[loser1-ability1],ShadowAbilities1Scenario2[[#This Row],[ability]])</f>
        <v>0</v>
      </c>
      <c r="M45">
        <f>COUNTIF(Scenario2[winner1-ability1],ShadowAbilities1Scenario2[[#This Row],[ability]])</f>
        <v>0</v>
      </c>
      <c r="N45" s="3">
        <f>IF(SUM(ShadowAbilities1Scenario2[[#This Row],[takes]]) &gt; 0,ShadowAbilities1Scenario2[[#This Row],[takes]]/SUM(ShadowAbilities1Scenario2[takes]),0)</f>
        <v>0</v>
      </c>
      <c r="O45" s="3">
        <f>IF(ShadowAbilities1Scenario2[[#This Row],[takes]]&gt;0,ShadowAbilities1Scenario2[[#This Row],[wins]]/ShadowAbilities1Scenario2[[#This Row],[takes]],0)</f>
        <v>0</v>
      </c>
      <c r="Q45">
        <v>1</v>
      </c>
      <c r="R45">
        <f>COUNTIFS(Scenario2[winner1],"shadow",Scenario2[winner1-pw],ShadowEquipScenario2[[#This Row],[level]])+COUNTIFS(Scenario2[loser1],"shadow",Scenario2[loser1-pw],ShadowEquipScenario2[[#This Row],[level]])</f>
        <v>0</v>
      </c>
      <c r="S45" s="18">
        <f>COUNTIFS(Scenario2[winner1],"shadow",Scenario2[winner1-cp],ShadowEquipScenario2[[#This Row],[level]])+COUNTIFS(Scenario2[loser1],"shadow",Scenario2[loser1-cp],ShadowEquipScenario2[[#This Row],[level]])</f>
        <v>9</v>
      </c>
    </row>
    <row r="46" spans="11:20" x14ac:dyDescent="0.25">
      <c r="K46" t="s">
        <v>86</v>
      </c>
      <c r="L46">
        <f>COUNTIF(Scenario2[winner1-ability1],ShadowAbilities1Scenario2[[#This Row],[ability]])+COUNTIF(Scenario2[loser1-ability1],ShadowAbilities1Scenario2[[#This Row],[ability]])</f>
        <v>8</v>
      </c>
      <c r="M46">
        <f>COUNTIF(Scenario2[winner1-ability1],ShadowAbilities1Scenario2[[#This Row],[ability]])</f>
        <v>1</v>
      </c>
      <c r="N46" s="3">
        <f>IF(SUM(ShadowAbilities1Scenario2[[#This Row],[takes]]) &gt; 0,ShadowAbilities1Scenario2[[#This Row],[takes]]/SUM(ShadowAbilities1Scenario2[takes]),0)</f>
        <v>0.5714285714285714</v>
      </c>
      <c r="O46" s="3">
        <f>IF(ShadowAbilities1Scenario2[[#This Row],[takes]]&gt;0,ShadowAbilities1Scenario2[[#This Row],[wins]]/ShadowAbilities1Scenario2[[#This Row],[takes]],0)</f>
        <v>0.125</v>
      </c>
      <c r="Q46">
        <v>2</v>
      </c>
      <c r="R46">
        <f>COUNTIFS(Scenario2[winner1],"shadow",Scenario2[winner1-pw],ShadowEquipScenario2[[#This Row],[level]])+COUNTIFS(Scenario2[loser1],"shadow",Scenario2[loser1-pw],ShadowEquipScenario2[[#This Row],[level]])</f>
        <v>0</v>
      </c>
      <c r="S46" s="18">
        <f>COUNTIFS(Scenario2[winner1],"shadow",Scenario2[winner1-cp],ShadowEquipScenario2[[#This Row],[level]])+COUNTIFS(Scenario2[loser1],"shadow",Scenario2[loser1-cp],ShadowEquipScenario2[[#This Row],[level]])</f>
        <v>2</v>
      </c>
    </row>
    <row r="47" spans="11:20" x14ac:dyDescent="0.25">
      <c r="K47" t="s">
        <v>140</v>
      </c>
      <c r="L47">
        <f>COUNTIF(Scenario2[winner1-ability1],ShadowAbilities1Scenario2[[#This Row],[ability]])+COUNTIF(Scenario2[loser1-ability1],ShadowAbilities1Scenario2[[#This Row],[ability]])</f>
        <v>6</v>
      </c>
      <c r="M47">
        <f>COUNTIF(Scenario2[winner1-ability1],ShadowAbilities1Scenario2[[#This Row],[ability]])</f>
        <v>5</v>
      </c>
      <c r="N47" s="3">
        <f>IF(SUM(ShadowAbilities1Scenario2[[#This Row],[takes]]) &gt; 0,ShadowAbilities1Scenario2[[#This Row],[takes]]/SUM(ShadowAbilities1Scenario2[takes]),0)</f>
        <v>0.42857142857142855</v>
      </c>
      <c r="O47" s="3">
        <f>IF(ShadowAbilities1Scenario2[[#This Row],[takes]]&gt;0,ShadowAbilities1Scenario2[[#This Row],[wins]]/ShadowAbilities1Scenario2[[#This Row],[takes]],0)</f>
        <v>0.83333333333333337</v>
      </c>
      <c r="Q47">
        <v>3</v>
      </c>
      <c r="R47">
        <f>COUNTIFS(Scenario2[winner1],"shadow",Scenario2[winner1-pw],ShadowEquipScenario2[[#This Row],[level]])+COUNTIFS(Scenario2[loser1],"shadow",Scenario2[loser1-pw],ShadowEquipScenario2[[#This Row],[level]])</f>
        <v>14</v>
      </c>
      <c r="S47" s="18">
        <f>COUNTIFS(Scenario2[winner1],"shadow",Scenario2[winner1-cp],ShadowEquipScenario2[[#This Row],[level]])+COUNTIFS(Scenario2[loser1],"shadow",Scenario2[loser1-cp],ShadowEquipScenario2[[#This Row],[level]])</f>
        <v>3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" t="s">
        <v>141</v>
      </c>
      <c r="L50" s="2">
        <f>COUNTIF(Scenario2[winner1-ability2],ShadowAbilities2Scenario2[[#This Row],[ability]])+COUNTIF(Scenario2[loser1-ability2],ShadowAbilities2Scenario2[[#This Row],[ability]])</f>
        <v>5</v>
      </c>
      <c r="M50" s="2">
        <f>COUNTIF(Scenario2[winner1-ability2],ShadowAbilities2Scenario2[[#This Row],[ability]])</f>
        <v>1</v>
      </c>
      <c r="N50" s="12">
        <f>IF(SUM(ShadowAbilities2Scenario2[[#This Row],[takes]]) &gt; 0,ShadowAbilities2Scenario2[[#This Row],[takes]]/SUM(ShadowAbilities2Scenario2[takes]),0)</f>
        <v>0.625</v>
      </c>
      <c r="O50" s="12">
        <f>IF(ShadowAbilities2Scenario2[[#This Row],[takes]]&gt;0,ShadowAbilities2Scenario2[[#This Row],[wins]]/ShadowAbilities2Scenario2[[#This Row],[takes]],0)</f>
        <v>0.2</v>
      </c>
      <c r="S50" s="18"/>
    </row>
    <row r="51" spans="11:19" x14ac:dyDescent="0.25">
      <c r="K51" t="s">
        <v>92</v>
      </c>
      <c r="L51" s="2">
        <f>COUNTIF(Scenario2[winner1-ability2],ShadowAbilities2Scenario2[[#This Row],[ability]])+COUNTIF(Scenario2[loser1-ability2],ShadowAbilities2Scenario2[[#This Row],[ability]])</f>
        <v>0</v>
      </c>
      <c r="M51" s="2">
        <f>COUNTIF(Scenario2[winner1-ability2],ShadowAbilities2Scenario2[[#This Row],[ability]])</f>
        <v>0</v>
      </c>
      <c r="N51" s="3">
        <f>IF(SUM(ShadowAbilities2Scenario2[[#This Row],[takes]]) &gt; 0,ShadowAbilities2Scenario2[[#This Row],[takes]]/SUM(ShadowAbilities2Scenario2[takes]),0)</f>
        <v>0</v>
      </c>
      <c r="O51" s="3">
        <f>IF(ShadowAbilities2Scenario2[[#This Row],[takes]]&gt;0,ShadowAbilities2Scenario2[[#This Row],[wins]]/ShadowAbilities2Scenario2[[#This Row],[takes]],0)</f>
        <v>0</v>
      </c>
      <c r="S51" s="18"/>
    </row>
    <row r="52" spans="11:19" x14ac:dyDescent="0.25">
      <c r="K52" s="10" t="s">
        <v>76</v>
      </c>
      <c r="L52" s="2">
        <f>COUNTIF(Scenario2[winner1-ability2],ShadowAbilities2Scenario2[[#This Row],[ability]])+COUNTIF(Scenario2[loser1-ability2],ShadowAbilities2Scenario2[[#This Row],[ability]])</f>
        <v>3</v>
      </c>
      <c r="M52" s="2">
        <f>COUNTIF(Scenario2[winner1-ability2],ShadowAbilities2Scenario2[[#This Row],[ability]])</f>
        <v>1</v>
      </c>
      <c r="N52" s="13">
        <f>IF(SUM(ShadowAbilities2Scenario2[[#This Row],[takes]]) &gt; 0,ShadowAbilities2Scenario2[[#This Row],[takes]]/SUM(ShadowAbilities2Scenario2[takes]),0)</f>
        <v>0.375</v>
      </c>
      <c r="O52" s="13">
        <f>IF(ShadowAbilities2Scenario2[[#This Row],[takes]]&gt;0,ShadowAbilities2Scenario2[[#This Row],[wins]]/ShadowAbilities2Scenario2[[#This Row],[takes]],0)</f>
        <v>0.33333333333333331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1" t="s">
        <v>102</v>
      </c>
      <c r="L55" s="1">
        <f>COUNTIF(Scenario2[winner1-ability3],ShadowAbilities3Scenario2[[#This Row],[ability]])+COUNTIF(Scenario2[loser1-ability3],ShadowAbilities3Scenario2[[#This Row],[ability]])</f>
        <v>4</v>
      </c>
      <c r="M55" s="1">
        <f>COUNTIF(Scenario2[winner1-ability3],ShadowAbilities3Scenario2[[#This Row],[ability]])</f>
        <v>1</v>
      </c>
      <c r="N55" s="14">
        <f>IF(SUM(ShadowAbilities3Scenario2[[#This Row],[takes]]) &gt; 0,ShadowAbilities3Scenario2[[#This Row],[takes]]/SUM(ShadowAbilities3Scenario2[takes]),0)</f>
        <v>0.66666666666666663</v>
      </c>
      <c r="O55" s="14">
        <f>IF(ShadowAbilities3Scenario2[[#This Row],[takes]]&gt;0,ShadowAbilities3Scenario2[[#This Row],[wins]]/ShadowAbilities3Scenario2[[#This Row],[takes]],0)</f>
        <v>0.25</v>
      </c>
      <c r="S55" s="18"/>
    </row>
    <row r="56" spans="11:19" x14ac:dyDescent="0.25">
      <c r="K56" s="2" t="s">
        <v>142</v>
      </c>
      <c r="L56" s="2">
        <f>COUNTIF(Scenario2[winner1-ability3],ShadowAbilities3Scenario2[[#This Row],[ability]])+COUNTIF(Scenario2[loser1-ability3],ShadowAbilities3Scenario2[[#This Row],[ability]])</f>
        <v>0</v>
      </c>
      <c r="M56" s="2">
        <f>COUNTIF(Scenario2[winner1-ability3],ShadowAbilities3Scenario2[[#This Row],[ability]])</f>
        <v>0</v>
      </c>
      <c r="N56" s="12">
        <f>IF(SUM(ShadowAbilities3Scenario2[[#This Row],[takes]]) &gt; 0,ShadowAbilities3Scenario2[[#This Row],[takes]]/SUM(ShadowAbilities3Scenario2[takes]),0)</f>
        <v>0</v>
      </c>
      <c r="O56" s="12">
        <f>IF(ShadowAbilities3Scenario2[[#This Row],[takes]]&gt;0,ShadowAbilities3Scenario2[[#This Row],[wins]]/ShadowAbilities3Scenario2[[#This Row],[takes]],0)</f>
        <v>0</v>
      </c>
      <c r="S56" s="18"/>
    </row>
    <row r="57" spans="11:19" x14ac:dyDescent="0.25">
      <c r="K57" s="11" t="s">
        <v>93</v>
      </c>
      <c r="L57" s="1">
        <f>COUNTIF(Scenario2[winner1-ability3],ShadowAbilities3Scenario2[[#This Row],[ability]])+COUNTIF(Scenario2[loser1-ability3],ShadowAbilities3Scenario2[[#This Row],[ability]])</f>
        <v>2</v>
      </c>
      <c r="M57" s="1">
        <f>COUNTIF(Scenario2[winner1-ability3],ShadowAbilities3Scenario2[[#This Row],[ability]])</f>
        <v>0</v>
      </c>
      <c r="N57" s="15">
        <f>IF(SUM(ShadowAbilities3Scenario2[[#This Row],[takes]]) &gt; 0,ShadowAbilities3Scenario2[[#This Row],[takes]]/SUM(ShadowAbilities3Scenario2[takes]),0)</f>
        <v>0.33333333333333331</v>
      </c>
      <c r="O57" s="15">
        <f>IF(ShadowAbilities3Scenario2[[#This Row],[takes]]&gt;0,ShadowAbilities3Scenario2[[#This Row],[wins]]/ShadowAbilities3Scenario2[[#This Row],[takes]],0)</f>
        <v>0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" t="s">
        <v>143</v>
      </c>
      <c r="L60" s="2">
        <f>COUNTIF(Scenario2[winner1-ability4],ShadowAbilities4Scenario2[[#This Row],[ability]])+COUNTIF(Scenario2[loser1-ability4],ShadowAbilities4Scenario2[[#This Row],[ability]])</f>
        <v>2</v>
      </c>
      <c r="M60" s="2">
        <f>COUNTIF(Scenario2[winner1-ability4],ShadowAbilities4Scenario2[[#This Row],[ability]])</f>
        <v>0</v>
      </c>
      <c r="N60" s="12">
        <f>IF(SUM(ShadowAbilities4Scenario2[[#This Row],[takes]]) &gt; 0,ShadowAbilities4Scenario2[[#This Row],[takes]]/SUM(ShadowAbilities4Scenario2[takes]),0)</f>
        <v>0.66666666666666663</v>
      </c>
      <c r="O60" s="12">
        <f>IF(ShadowAbilities4Scenario2[[#This Row],[takes]]&gt;0,ShadowAbilities4Scenario2[[#This Row],[wins]]/ShadowAbilities4Scenario2[[#This Row],[takes]],0)</f>
        <v>0</v>
      </c>
      <c r="S60" s="18"/>
    </row>
    <row r="61" spans="11:19" x14ac:dyDescent="0.25">
      <c r="K61" s="2" t="s">
        <v>144</v>
      </c>
      <c r="L61" s="2">
        <f>COUNTIF(Scenario2[winner1-ability4],ShadowAbilities4Scenario2[[#This Row],[ability]])+COUNTIF(Scenario2[loser1-ability4],ShadowAbilities4Scenario2[[#This Row],[ability]])</f>
        <v>1</v>
      </c>
      <c r="M61" s="2">
        <f>COUNTIF(Scenario2[winner1-ability4],ShadowAbilities4Scenario2[[#This Row],[ability]])</f>
        <v>0</v>
      </c>
      <c r="N61" s="12">
        <f>IF(SUM(ShadowAbilities4Scenario2[[#This Row],[takes]]) &gt; 0,ShadowAbilities4Scenario2[[#This Row],[takes]]/SUM(ShadowAbilities4Scenario2[takes]),0)</f>
        <v>0.33333333333333331</v>
      </c>
      <c r="O61" s="12">
        <f>IF(ShadowAbilities4Scenario2[[#This Row],[takes]]&gt;0,ShadowAbilities4Scenario2[[#This Row],[wins]]/ShadowAbilities4Scenario2[[#This Row],[takes]],0)</f>
        <v>0</v>
      </c>
      <c r="S61" s="18"/>
    </row>
    <row r="62" spans="11:19" ht="15.75" thickBot="1" x14ac:dyDescent="0.3">
      <c r="K62" s="10" t="s">
        <v>94</v>
      </c>
      <c r="L62" s="25">
        <f>COUNTIF(Scenario2[winner1-ability4],ShadowAbilities4Scenario2[[#This Row],[ability]])+COUNTIF(Scenario2[loser1-ability4],ShadowAbilities4Scenario2[[#This Row],[ability]])</f>
        <v>0</v>
      </c>
      <c r="M62" s="25">
        <f>COUNTIF(Scenario2[winner1-ability4],ShadowAbilities4Scenario2[[#This Row],[ability]])</f>
        <v>0</v>
      </c>
      <c r="N62" s="26">
        <f>IF(SUM(ShadowAbilities4Scenario2[[#This Row],[takes]]) &gt; 0,ShadowAbilities4Scenario2[[#This Row],[takes]]/SUM(ShadowAbilities4Scenario2[takes]),0)</f>
        <v>0</v>
      </c>
      <c r="O62" s="26">
        <f>IF(ShadowAbilities4Scenario2[[#This Row],[takes]]&gt;0,ShadowAbilities4Scenario2[[#This Row],[wins]]/ShadowAbilities4Scenario2[[#This Row],[takes]],0)</f>
        <v>0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7" t="s">
        <v>209</v>
      </c>
      <c r="L64" s="38"/>
      <c r="M64" s="38"/>
      <c r="N64" s="38"/>
      <c r="O64" s="38"/>
      <c r="P64" s="38"/>
      <c r="Q64" s="38"/>
      <c r="R64" s="38"/>
      <c r="S64" s="39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169</v>
      </c>
      <c r="S65" s="18" t="s">
        <v>164</v>
      </c>
    </row>
    <row r="66" spans="11:19" x14ac:dyDescent="0.25">
      <c r="K66" t="s">
        <v>47</v>
      </c>
      <c r="L66">
        <f>COUNTIF(Scenario3[winner1-ability1],ShadowAbilities1Scenario3[[#This Row],[ability]])+COUNTIF(Scenario3[loser1-ability1],ShadowAbilities1Scenario3[[#This Row],[ability]])+COUNTIF(Scenario3[loser2-ability1],ShadowAbilities1Scenario3[[#This Row],[ability]])</f>
        <v>1</v>
      </c>
      <c r="M66">
        <f>COUNTIF(Scenario3[winner1-ability1],ShadowAbilities1Scenario3[[#This Row],[ability]])</f>
        <v>0</v>
      </c>
      <c r="N66" s="3">
        <f>IF(SUM(ShadowAbilities1Scenario3[[#This Row],[takes]]) &gt; 0,ShadowAbilities1Scenario3[[#This Row],[takes]]/SUM(ShadowAbilities1Scenario3[takes]),0)</f>
        <v>4.7619047619047616E-2</v>
      </c>
      <c r="O66" s="3">
        <f>IF(ShadowAbilities1Scenario3[[#This Row],[takes]]&gt;0,ShadowAbilities1Scenario3[[#This Row],[wins]]/ShadowAbilities1Scenario3[[#This Row],[takes]],0)</f>
        <v>0</v>
      </c>
      <c r="Q66">
        <v>1</v>
      </c>
      <c r="R66">
        <f>COUNTIFS(Scenario3[winner1],"shadow",Scenario3[winner1-pw],ShadowEquipScenario3[[#This Row],[level]])+COUNTIFS(Scenario3[loser1],"shadow",Scenario3[loser1-pw],ShadowEquipScenario3[[#This Row],[level]])+COUNTIFS(Scenario3[loser2],"shadow",Scenario3[loser2-pw],ShadowEquipScenario3[[#This Row],[level]])</f>
        <v>0</v>
      </c>
      <c r="S66" s="18">
        <f>COUNTIFS(Scenario3[winner1],"shadow",Scenario3[winner1-cp],ShadowEquipScenario3[[#This Row],[level]])+COUNTIFS(Scenario3[loser1],"shadow",Scenario3[loser1-cp],ShadowEquipScenario3[[#This Row],[level]])+COUNTIFS(Scenario3[loser2],"shadow",Scenario3[loser2-cp],ShadowEquipScenario3[[#This Row],[level]])</f>
        <v>8</v>
      </c>
    </row>
    <row r="67" spans="11:19" x14ac:dyDescent="0.25">
      <c r="K67" t="s">
        <v>86</v>
      </c>
      <c r="L67">
        <f>COUNTIF(Scenario3[winner1-ability1],ShadowAbilities1Scenario3[[#This Row],[ability]])+COUNTIF(Scenario3[loser1-ability1],ShadowAbilities1Scenario3[[#This Row],[ability]])+COUNTIF(Scenario3[loser2-ability1],ShadowAbilities1Scenario3[[#This Row],[ability]])</f>
        <v>18</v>
      </c>
      <c r="M67">
        <f>COUNTIF(Scenario3[winner1-ability1],ShadowAbilities1Scenario3[[#This Row],[ability]])</f>
        <v>7</v>
      </c>
      <c r="N67" s="3">
        <f>IF(SUM(ShadowAbilities1Scenario3[[#This Row],[takes]]) &gt; 0,ShadowAbilities1Scenario3[[#This Row],[takes]]/SUM(ShadowAbilities1Scenario3[takes]),0)</f>
        <v>0.8571428571428571</v>
      </c>
      <c r="O67" s="3">
        <f>IF(ShadowAbilities1Scenario3[[#This Row],[takes]]&gt;0,ShadowAbilities1Scenario3[[#This Row],[wins]]/ShadowAbilities1Scenario3[[#This Row],[takes]],0)</f>
        <v>0.3888888888888889</v>
      </c>
      <c r="Q67">
        <v>2</v>
      </c>
      <c r="R67">
        <f>COUNTIFS(Scenario3[winner1],"shadow",Scenario3[winner1-pw],ShadowEquipScenario3[[#This Row],[level]])+COUNTIFS(Scenario3[loser1],"shadow",Scenario3[loser1-pw],ShadowEquipScenario3[[#This Row],[level]])+COUNTIFS(Scenario3[loser2],"shadow",Scenario3[loser2-pw],ShadowEquipScenario3[[#This Row],[level]])</f>
        <v>0</v>
      </c>
      <c r="S67" s="18">
        <f>COUNTIFS(Scenario3[winner1],"shadow",Scenario3[winner1-cp],ShadowEquipScenario3[[#This Row],[level]])+COUNTIFS(Scenario3[loser1],"shadow",Scenario3[loser1-cp],ShadowEquipScenario3[[#This Row],[level]])+COUNTIFS(Scenario3[loser2],"shadow",Scenario3[loser2-cp],ShadowEquipScenario3[[#This Row],[level]])</f>
        <v>6</v>
      </c>
    </row>
    <row r="68" spans="11:19" x14ac:dyDescent="0.25">
      <c r="K68" t="s">
        <v>140</v>
      </c>
      <c r="L68">
        <f>COUNTIF(Scenario3[winner1-ability1],ShadowAbilities1Scenario3[[#This Row],[ability]])+COUNTIF(Scenario3[loser1-ability1],ShadowAbilities1Scenario3[[#This Row],[ability]])+COUNTIF(Scenario3[loser2-ability1],ShadowAbilities1Scenario3[[#This Row],[ability]])</f>
        <v>2</v>
      </c>
      <c r="M68">
        <f>COUNTIF(Scenario3[winner1-ability1],ShadowAbilities1Scenario3[[#This Row],[ability]])</f>
        <v>1</v>
      </c>
      <c r="N68" s="3">
        <f>IF(SUM(ShadowAbilities1Scenario3[[#This Row],[takes]]) &gt; 0,ShadowAbilities1Scenario3[[#This Row],[takes]]/SUM(ShadowAbilities1Scenario3[takes]),0)</f>
        <v>9.5238095238095233E-2</v>
      </c>
      <c r="O68" s="3">
        <f>IF(ShadowAbilities1Scenario3[[#This Row],[takes]]&gt;0,ShadowAbilities1Scenario3[[#This Row],[wins]]/ShadowAbilities1Scenario3[[#This Row],[takes]],0)</f>
        <v>0.5</v>
      </c>
      <c r="Q68">
        <v>3</v>
      </c>
      <c r="R68">
        <f>COUNTIFS(Scenario3[winner1],"shadow",Scenario3[winner1-pw],ShadowEquipScenario3[[#This Row],[level]])+COUNTIFS(Scenario3[loser1],"shadow",Scenario3[loser1-pw],ShadowEquipScenario3[[#This Row],[level]])+COUNTIFS(Scenario3[loser2],"shadow",Scenario3[loser2-pw],ShadowEquipScenario3[[#This Row],[level]])</f>
        <v>21</v>
      </c>
      <c r="S68" s="18">
        <f>COUNTIFS(Scenario3[winner1],"shadow",Scenario3[winner1-cp],ShadowEquipScenario3[[#This Row],[level]])+COUNTIFS(Scenario3[loser1],"shadow",Scenario3[loser1-cp],ShadowEquipScenario3[[#This Row],[level]])+COUNTIFS(Scenario3[loser2],"shadow",Scenario3[loser2-cp],ShadowEquipScenario3[[#This Row],[level]])</f>
        <v>7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" t="s">
        <v>141</v>
      </c>
      <c r="L71" s="2">
        <f>COUNTIF(Scenario3[winner1-ability2],ShadowAbilities2Scenario3[[#This Row],[ability]])+COUNTIF(Scenario3[loser1-ability2],ShadowAbilities2Scenario3[[#This Row],[ability]])+COUNTIF(Scenario3[loser2-ability2],ShadowAbilities2Scenario3[[#This Row],[ability]])</f>
        <v>11</v>
      </c>
      <c r="M71" s="2">
        <f>COUNTIF(Scenario3[winner1-ability2],ShadowAbilities2Scenario3[[#This Row],[ability]])</f>
        <v>4</v>
      </c>
      <c r="N71" s="12">
        <f>IF(SUM(ShadowAbilities2Scenario3[[#This Row],[takes]]) &gt; 0,ShadowAbilities2Scenario3[[#This Row],[takes]]/SUM(ShadowAbilities2Scenario3[takes]),0)</f>
        <v>0.55000000000000004</v>
      </c>
      <c r="O71" s="12">
        <f>IF(ShadowAbilities2Scenario3[[#This Row],[takes]]&gt;0,ShadowAbilities2Scenario3[[#This Row],[wins]]/ShadowAbilities2Scenario3[[#This Row],[takes]],0)</f>
        <v>0.36363636363636365</v>
      </c>
      <c r="S71" s="18"/>
    </row>
    <row r="72" spans="11:19" x14ac:dyDescent="0.25">
      <c r="K72" t="s">
        <v>92</v>
      </c>
      <c r="L72" s="2">
        <f>COUNTIF(Scenario3[winner1-ability2],ShadowAbilities2Scenario3[[#This Row],[ability]])+COUNTIF(Scenario3[loser1-ability2],ShadowAbilities2Scenario3[[#This Row],[ability]])+COUNTIF(Scenario3[loser2-ability2],ShadowAbilities2Scenario3[[#This Row],[ability]])</f>
        <v>2</v>
      </c>
      <c r="M72" s="2">
        <f>COUNTIF(Scenario3[winner1-ability2],ShadowAbilities2Scenario3[[#This Row],[ability]])</f>
        <v>2</v>
      </c>
      <c r="N72" s="3">
        <f>IF(SUM(ShadowAbilities2Scenario3[[#This Row],[takes]]) &gt; 0,ShadowAbilities2Scenario3[[#This Row],[takes]]/SUM(ShadowAbilities2Scenario3[takes]),0)</f>
        <v>0.1</v>
      </c>
      <c r="O72" s="3">
        <f>IF(ShadowAbilities2Scenario3[[#This Row],[takes]]&gt;0,ShadowAbilities2Scenario3[[#This Row],[wins]]/ShadowAbilities2Scenario3[[#This Row],[takes]],0)</f>
        <v>1</v>
      </c>
      <c r="S72" s="18"/>
    </row>
    <row r="73" spans="11:19" x14ac:dyDescent="0.25">
      <c r="K73" s="10" t="s">
        <v>76</v>
      </c>
      <c r="L73" s="2">
        <f>COUNTIF(Scenario3[winner1-ability2],ShadowAbilities2Scenario3[[#This Row],[ability]])+COUNTIF(Scenario3[loser1-ability2],ShadowAbilities2Scenario3[[#This Row],[ability]])+COUNTIF(Scenario3[loser2-ability2],ShadowAbilities2Scenario3[[#This Row],[ability]])</f>
        <v>7</v>
      </c>
      <c r="M73" s="2">
        <f>COUNTIF(Scenario3[winner1-ability2],ShadowAbilities2Scenario3[[#This Row],[ability]])</f>
        <v>2</v>
      </c>
      <c r="N73" s="13">
        <f>IF(SUM(ShadowAbilities2Scenario3[[#This Row],[takes]]) &gt; 0,ShadowAbilities2Scenario3[[#This Row],[takes]]/SUM(ShadowAbilities2Scenario3[takes]),0)</f>
        <v>0.35</v>
      </c>
      <c r="O73" s="13">
        <f>IF(ShadowAbilities2Scenario3[[#This Row],[takes]]&gt;0,ShadowAbilities2Scenario3[[#This Row],[wins]]/ShadowAbilities2Scenario3[[#This Row],[takes]],0)</f>
        <v>0.2857142857142857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1" t="s">
        <v>102</v>
      </c>
      <c r="L76" s="1">
        <f>COUNTIF(Scenario3[winner1-ability3],ShadowAbilities3Scenario3[[#This Row],[ability]])+COUNTIF(Scenario3[loser1-ability3],ShadowAbilities3Scenario3[[#This Row],[ability]])+COUNTIF(Scenario3[loser2-ability3],ShadowAbilities3Scenario3[[#This Row],[ability]])</f>
        <v>5</v>
      </c>
      <c r="M76" s="1">
        <f>COUNTIF(Scenario3[winner1-ability3],ShadowAbilities3Scenario3[[#This Row],[ability]])</f>
        <v>1</v>
      </c>
      <c r="N76" s="14">
        <f>IF(SUM(ShadowAbilities3Scenario3[[#This Row],[takes]]) &gt; 0,ShadowAbilities3Scenario3[[#This Row],[takes]]/SUM(ShadowAbilities3Scenario3[takes]),0)</f>
        <v>0.3125</v>
      </c>
      <c r="O76" s="14">
        <f>IF(ShadowAbilities3Scenario3[[#This Row],[takes]]&gt;0,ShadowAbilities3Scenario3[[#This Row],[wins]]/ShadowAbilities3Scenario3[[#This Row],[takes]],0)</f>
        <v>0.2</v>
      </c>
      <c r="S76" s="18"/>
    </row>
    <row r="77" spans="11:19" x14ac:dyDescent="0.25">
      <c r="K77" s="2" t="s">
        <v>142</v>
      </c>
      <c r="L77" s="2">
        <f>COUNTIF(Scenario3[winner1-ability3],ShadowAbilities3Scenario3[[#This Row],[ability]])+COUNTIF(Scenario3[loser1-ability3],ShadowAbilities3Scenario3[[#This Row],[ability]])+COUNTIF(Scenario3[loser2-ability3],ShadowAbilities3Scenario3[[#This Row],[ability]])</f>
        <v>6</v>
      </c>
      <c r="M77" s="2">
        <f>COUNTIF(Scenario3[winner1-ability3],ShadowAbilities3Scenario3[[#This Row],[ability]])</f>
        <v>4</v>
      </c>
      <c r="N77" s="12">
        <f>IF(SUM(ShadowAbilities3Scenario3[[#This Row],[takes]]) &gt; 0,ShadowAbilities3Scenario3[[#This Row],[takes]]/SUM(ShadowAbilities3Scenario3[takes]),0)</f>
        <v>0.375</v>
      </c>
      <c r="O77" s="12">
        <f>IF(ShadowAbilities3Scenario3[[#This Row],[takes]]&gt;0,ShadowAbilities3Scenario3[[#This Row],[wins]]/ShadowAbilities3Scenario3[[#This Row],[takes]],0)</f>
        <v>0.66666666666666663</v>
      </c>
      <c r="S77" s="18"/>
    </row>
    <row r="78" spans="11:19" x14ac:dyDescent="0.25">
      <c r="K78" s="11" t="s">
        <v>93</v>
      </c>
      <c r="L78" s="1">
        <f>COUNTIF(Scenario3[winner1-ability3],ShadowAbilities3Scenario3[[#This Row],[ability]])+COUNTIF(Scenario3[loser1-ability3],ShadowAbilities3Scenario3[[#This Row],[ability]])+COUNTIF(Scenario3[loser2-ability3],ShadowAbilities3Scenario3[[#This Row],[ability]])</f>
        <v>5</v>
      </c>
      <c r="M78" s="1">
        <f>COUNTIF(Scenario3[winner1-ability3],ShadowAbilities3Scenario3[[#This Row],[ability]])</f>
        <v>2</v>
      </c>
      <c r="N78" s="15">
        <f>IF(SUM(ShadowAbilities3Scenario3[[#This Row],[takes]]) &gt; 0,ShadowAbilities3Scenario3[[#This Row],[takes]]/SUM(ShadowAbilities3Scenario3[takes]),0)</f>
        <v>0.3125</v>
      </c>
      <c r="O78" s="15">
        <f>IF(ShadowAbilities3Scenario3[[#This Row],[takes]]&gt;0,ShadowAbilities3Scenario3[[#This Row],[wins]]/ShadowAbilities3Scenario3[[#This Row],[takes]],0)</f>
        <v>0.4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" t="s">
        <v>143</v>
      </c>
      <c r="L81" s="2">
        <f>COUNTIF(Scenario3[winner1-ability4],ShadowAbilities4Scenario3[[#This Row],[ability]])+COUNTIF(Scenario3[loser1-ability4],ShadowAbilities4Scenario3[[#This Row],[ability]])+COUNTIF(Scenario3[loser2-ability4],ShadowAbilities4Scenario3[[#This Row],[ability]])</f>
        <v>3</v>
      </c>
      <c r="M81" s="2">
        <f>COUNTIF(Scenario3[winner1-ability4],ShadowAbilities4Scenario3[[#This Row],[ability]])</f>
        <v>1</v>
      </c>
      <c r="N81" s="12">
        <f>IF(SUM(ShadowAbilities4Scenario3[[#This Row],[takes]]) &gt; 0,ShadowAbilities4Scenario3[[#This Row],[takes]]/SUM(ShadowAbilities4Scenario3[takes]),0)</f>
        <v>0.23076923076923078</v>
      </c>
      <c r="O81" s="12">
        <f>IF(ShadowAbilities4Scenario3[[#This Row],[takes]]&gt;0,ShadowAbilities4Scenario3[[#This Row],[wins]]/ShadowAbilities4Scenario3[[#This Row],[takes]],0)</f>
        <v>0.33333333333333331</v>
      </c>
      <c r="S81" s="18"/>
    </row>
    <row r="82" spans="11:19" x14ac:dyDescent="0.25">
      <c r="K82" s="2" t="s">
        <v>144</v>
      </c>
      <c r="L82" s="2">
        <f>COUNTIF(Scenario3[winner1-ability4],ShadowAbilities4Scenario3[[#This Row],[ability]])+COUNTIF(Scenario3[loser1-ability4],ShadowAbilities4Scenario3[[#This Row],[ability]])+COUNTIF(Scenario3[loser2-ability4],ShadowAbilities4Scenario3[[#This Row],[ability]])</f>
        <v>5</v>
      </c>
      <c r="M82" s="2">
        <f>COUNTIF(Scenario3[winner1-ability4],ShadowAbilities4Scenario3[[#This Row],[ability]])</f>
        <v>3</v>
      </c>
      <c r="N82" s="12">
        <f>IF(SUM(ShadowAbilities4Scenario3[[#This Row],[takes]]) &gt; 0,ShadowAbilities4Scenario3[[#This Row],[takes]]/SUM(ShadowAbilities4Scenario3[takes]),0)</f>
        <v>0.38461538461538464</v>
      </c>
      <c r="O82" s="12">
        <f>IF(ShadowAbilities4Scenario3[[#This Row],[takes]]&gt;0,ShadowAbilities4Scenario3[[#This Row],[wins]]/ShadowAbilities4Scenario3[[#This Row],[takes]],0)</f>
        <v>0.6</v>
      </c>
      <c r="S82" s="18"/>
    </row>
    <row r="83" spans="11:19" ht="15.75" thickBot="1" x14ac:dyDescent="0.3">
      <c r="K83" s="10" t="s">
        <v>94</v>
      </c>
      <c r="L83" s="2">
        <f>COUNTIF(Scenario3[winner1-ability4],ShadowAbilities4Scenario3[[#This Row],[ability]])+COUNTIF(Scenario3[loser1-ability4],ShadowAbilities4Scenario3[[#This Row],[ability]])+COUNTIF(Scenario3[loser2-ability4],ShadowAbilities4Scenario3[[#This Row],[ability]])</f>
        <v>5</v>
      </c>
      <c r="M83" s="2">
        <f>COUNTIF(Scenario3[winner1-ability4],ShadowAbilities4Scenario3[[#This Row],[ability]])</f>
        <v>1</v>
      </c>
      <c r="N83" s="26">
        <f>IF(SUM(ShadowAbilities4Scenario3[[#This Row],[takes]]) &gt; 0,ShadowAbilities4Scenario3[[#This Row],[takes]]/SUM(ShadowAbilities4Scenario3[takes]),0)</f>
        <v>0.38461538461538464</v>
      </c>
      <c r="O83" s="26">
        <f>IF(ShadowAbilities4Scenario3[[#This Row],[takes]]&gt;0,ShadowAbilities4Scenario3[[#This Row],[wins]]/ShadowAbilities4Scenario3[[#This Row],[takes]],0)</f>
        <v>0.2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7" t="s">
        <v>219</v>
      </c>
      <c r="L85" s="38"/>
      <c r="M85" s="38"/>
      <c r="N85" s="38"/>
      <c r="O85" s="38"/>
      <c r="P85" s="38"/>
      <c r="Q85" s="38"/>
      <c r="R85" s="38"/>
      <c r="S85" s="39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169</v>
      </c>
      <c r="S86" s="18" t="s">
        <v>164</v>
      </c>
    </row>
    <row r="87" spans="11:19" x14ac:dyDescent="0.25">
      <c r="K87" t="s">
        <v>47</v>
      </c>
      <c r="L87">
        <f>COUNTIF(Scenario4[winner1-ability1],ShadowAbilities1Scenario4[[#This Row],[ability]])+COUNTIF(Scenario4[loser1-ability1],ShadowAbilities1Scenario4[[#This Row],[ability]])+COUNTIF(Scenario4[loser2-ability1],ShadowAbilities1Scenario4[[#This Row],[ability]])+COUNTIF(Scenario4[loser3-ability1],ShadowAbilities1Scenario4[[#This Row],[ability]])</f>
        <v>7</v>
      </c>
      <c r="M87">
        <f>COUNTIF(Scenario4[winner1-ability1],ShadowAbilities1Scenario4[[#This Row],[ability]])</f>
        <v>2</v>
      </c>
      <c r="N87" s="3">
        <f>IF(SUM(ShadowAbilities1Scenario4[[#This Row],[takes]]) &gt; 0,ShadowAbilities1Scenario4[[#This Row],[takes]]/SUM(ShadowAbilities1Scenario4[takes]),0)</f>
        <v>0.2</v>
      </c>
      <c r="O87" s="3">
        <f>IF(ShadowAbilities1Scenario4[[#This Row],[takes]]&gt;0,ShadowAbilities1Scenario4[[#This Row],[wins]]/ShadowAbilities1Scenario4[[#This Row],[takes]],0)</f>
        <v>0.2857142857142857</v>
      </c>
      <c r="Q87">
        <v>1</v>
      </c>
      <c r="R87">
        <f>COUNTIFS(Scenario4[winner1],"shadow",Scenario4[winner1-pw],ShadowEquipScenario4[[#This Row],[level]])+COUNTIFS(Scenario4[loser1],"shadow",Scenario4[loser1-pw],ShadowEquipScenario4[[#This Row],[level]])+COUNTIFS(Scenario4[loser2],"shadow",Scenario4[loser2-pw],ShadowEquipScenario4[[#This Row],[level]])+COUNTIFS(Scenario4[loser3],"shadow",Scenario4[loser3-pw],ShadowEquipScenario4[[#This Row],[level]])</f>
        <v>0</v>
      </c>
      <c r="S87" s="18">
        <f>COUNTIFS(Scenario4[winner1],"shadow",Scenario4[winner1-cp],ShadowEquipScenario4[[#This Row],[level]])+COUNTIFS(Scenario4[loser1],"shadow",Scenario4[loser1-cp],ShadowEquipScenario4[[#This Row],[level]])+COUNTIFS(Scenario4[loser2],"shadow",Scenario4[loser2-cp],ShadowEquipScenario4[[#This Row],[level]])+COUNTIFS(Scenario4[loser3],"shadow",Scenario4[loser3-cp],ShadowEquipScenario4[[#This Row],[level]])</f>
        <v>5</v>
      </c>
    </row>
    <row r="88" spans="11:19" x14ac:dyDescent="0.25">
      <c r="K88" t="s">
        <v>86</v>
      </c>
      <c r="L88">
        <f>COUNTIF(Scenario4[winner1-ability1],ShadowAbilities1Scenario4[[#This Row],[ability]])+COUNTIF(Scenario4[loser1-ability1],ShadowAbilities1Scenario4[[#This Row],[ability]])+COUNTIF(Scenario4[loser2-ability1],ShadowAbilities1Scenario4[[#This Row],[ability]])+COUNTIF(Scenario4[loser3-ability1],ShadowAbilities1Scenario4[[#This Row],[ability]])</f>
        <v>28</v>
      </c>
      <c r="M88">
        <f>COUNTIF(Scenario4[winner1-ability1],ShadowAbilities1Scenario4[[#This Row],[ability]])</f>
        <v>6</v>
      </c>
      <c r="N88" s="3">
        <f>IF(SUM(ShadowAbilities1Scenario4[[#This Row],[takes]]) &gt; 0,ShadowAbilities1Scenario4[[#This Row],[takes]]/SUM(ShadowAbilities1Scenario4[takes]),0)</f>
        <v>0.8</v>
      </c>
      <c r="O88" s="3">
        <f>IF(ShadowAbilities1Scenario4[[#This Row],[takes]]&gt;0,ShadowAbilities1Scenario4[[#This Row],[wins]]/ShadowAbilities1Scenario4[[#This Row],[takes]],0)</f>
        <v>0.21428571428571427</v>
      </c>
      <c r="Q88">
        <v>2</v>
      </c>
      <c r="R88">
        <f>COUNTIFS(Scenario4[winner1],"shadow",Scenario4[winner1-pw],ShadowEquipScenario4[[#This Row],[level]])+COUNTIFS(Scenario4[loser1],"shadow",Scenario4[loser1-pw],ShadowEquipScenario4[[#This Row],[level]])+COUNTIFS(Scenario4[loser2],"shadow",Scenario4[loser2-pw],ShadowEquipScenario4[[#This Row],[level]])+COUNTIFS(Scenario4[loser3],"shadow",Scenario4[loser3-pw],ShadowEquipScenario4[[#This Row],[level]])</f>
        <v>3</v>
      </c>
      <c r="S88" s="18">
        <f>COUNTIFS(Scenario4[winner1],"shadow",Scenario4[winner1-cp],ShadowEquipScenario4[[#This Row],[level]])+COUNTIFS(Scenario4[loser1],"shadow",Scenario4[loser1-cp],ShadowEquipScenario4[[#This Row],[level]])+COUNTIFS(Scenario4[loser2],"shadow",Scenario4[loser2-cp],ShadowEquipScenario4[[#This Row],[level]])+COUNTIFS(Scenario4[loser3],"shadow",Scenario4[loser3-cp],ShadowEquipScenario4[[#This Row],[level]])</f>
        <v>4</v>
      </c>
    </row>
    <row r="89" spans="11:19" x14ac:dyDescent="0.25">
      <c r="K89" t="s">
        <v>140</v>
      </c>
      <c r="L89">
        <f>COUNTIF(Scenario4[winner1-ability1],ShadowAbilities1Scenario4[[#This Row],[ability]])+COUNTIF(Scenario4[loser1-ability1],ShadowAbilities1Scenario4[[#This Row],[ability]])+COUNTIF(Scenario4[loser2-ability1],ShadowAbilities1Scenario4[[#This Row],[ability]])+COUNTIF(Scenario4[loser3-ability1],ShadowAbilities1Scenario4[[#This Row],[ability]])</f>
        <v>0</v>
      </c>
      <c r="M89">
        <f>COUNTIF(Scenario4[winner1-ability1],ShadowAbilities1Scenario4[[#This Row],[ability]])</f>
        <v>0</v>
      </c>
      <c r="N89" s="3">
        <f>IF(SUM(ShadowAbilities1Scenario4[[#This Row],[takes]]) &gt; 0,ShadowAbilities1Scenario4[[#This Row],[takes]]/SUM(ShadowAbilities1Scenario4[takes]),0)</f>
        <v>0</v>
      </c>
      <c r="O89" s="3">
        <f>IF(ShadowAbilities1Scenario4[[#This Row],[takes]]&gt;0,ShadowAbilities1Scenario4[[#This Row],[wins]]/ShadowAbilities1Scenario4[[#This Row],[takes]],0)</f>
        <v>0</v>
      </c>
      <c r="Q89">
        <v>3</v>
      </c>
      <c r="R89">
        <f>COUNTIFS(Scenario4[winner1],"shadow",Scenario4[winner1-pw],ShadowEquipScenario4[[#This Row],[level]])+COUNTIFS(Scenario4[loser1],"shadow",Scenario4[loser1-pw],ShadowEquipScenario4[[#This Row],[level]])+COUNTIFS(Scenario4[loser2],"shadow",Scenario4[loser2-pw],ShadowEquipScenario4[[#This Row],[level]])+COUNTIFS(Scenario4[loser3],"shadow",Scenario4[loser3-pw],ShadowEquipScenario4[[#This Row],[level]])</f>
        <v>32</v>
      </c>
      <c r="S89" s="18">
        <f>COUNTIFS(Scenario4[winner1],"shadow",Scenario4[winner1-cp],ShadowEquipScenario4[[#This Row],[level]])+COUNTIFS(Scenario4[loser1],"shadow",Scenario4[loser1-cp],ShadowEquipScenario4[[#This Row],[level]])+COUNTIFS(Scenario4[loser2],"shadow",Scenario4[loser2-cp],ShadowEquipScenario4[[#This Row],[level]])+COUNTIFS(Scenario4[loser3],"shadow",Scenario4[loser3-cp],ShadowEquipScenario4[[#This Row],[level]])</f>
        <v>26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" t="s">
        <v>141</v>
      </c>
      <c r="L92" s="2">
        <f>COUNTIF(Scenario4[winner1-ability2],ShadowAbilities2Scenario4[[#This Row],[ability]])+COUNTIF(Scenario4[loser1-ability2],ShadowAbilities2Scenario4[[#This Row],[ability]])+COUNTIF(Scenario4[loser2-ability2],ShadowAbilities2Scenario4[[#This Row],[ability]])+COUNTIF(Scenario4[loser3-ability2],ShadowAbilities2Scenario4[[#This Row],[ability]])</f>
        <v>16</v>
      </c>
      <c r="M92" s="2">
        <f>COUNTIF(Scenario4[winner1-ability2],ShadowAbilities2Scenario4[[#This Row],[ability]])</f>
        <v>2</v>
      </c>
      <c r="N92" s="12">
        <f>IF(SUM(ShadowAbilities2Scenario4[[#This Row],[takes]]) &gt; 0,ShadowAbilities2Scenario4[[#This Row],[takes]]/SUM(ShadowAbilities2Scenario4[takes]),0)</f>
        <v>0.47058823529411764</v>
      </c>
      <c r="O92" s="12">
        <f>IF(ShadowAbilities2Scenario4[[#This Row],[takes]]&gt;0,ShadowAbilities2Scenario4[[#This Row],[wins]]/ShadowAbilities2Scenario4[[#This Row],[takes]],0)</f>
        <v>0.125</v>
      </c>
      <c r="S92" s="18"/>
    </row>
    <row r="93" spans="11:19" x14ac:dyDescent="0.25">
      <c r="K93" t="s">
        <v>92</v>
      </c>
      <c r="L93" s="2">
        <f>COUNTIF(Scenario4[winner1-ability2],ShadowAbilities2Scenario4[[#This Row],[ability]])+COUNTIF(Scenario4[loser1-ability2],ShadowAbilities2Scenario4[[#This Row],[ability]])+COUNTIF(Scenario4[loser2-ability2],ShadowAbilities2Scenario4[[#This Row],[ability]])+COUNTIF(Scenario4[loser3-ability2],ShadowAbilities2Scenario4[[#This Row],[ability]])</f>
        <v>8</v>
      </c>
      <c r="M93" s="2">
        <f>COUNTIF(Scenario4[winner1-ability2],ShadowAbilities2Scenario4[[#This Row],[ability]])</f>
        <v>4</v>
      </c>
      <c r="N93" s="3">
        <f>IF(SUM(ShadowAbilities2Scenario4[[#This Row],[takes]]) &gt; 0,ShadowAbilities2Scenario4[[#This Row],[takes]]/SUM(ShadowAbilities2Scenario4[takes]),0)</f>
        <v>0.23529411764705882</v>
      </c>
      <c r="O93" s="3">
        <f>IF(ShadowAbilities2Scenario4[[#This Row],[takes]]&gt;0,ShadowAbilities2Scenario4[[#This Row],[wins]]/ShadowAbilities2Scenario4[[#This Row],[takes]],0)</f>
        <v>0.5</v>
      </c>
      <c r="S93" s="18"/>
    </row>
    <row r="94" spans="11:19" x14ac:dyDescent="0.25">
      <c r="K94" s="10" t="s">
        <v>76</v>
      </c>
      <c r="L94" s="2">
        <f>COUNTIF(Scenario4[winner1-ability2],ShadowAbilities2Scenario4[[#This Row],[ability]])+COUNTIF(Scenario4[loser1-ability2],ShadowAbilities2Scenario4[[#This Row],[ability]])+COUNTIF(Scenario4[loser2-ability2],ShadowAbilities2Scenario4[[#This Row],[ability]])+COUNTIF(Scenario4[loser3-ability2],ShadowAbilities2Scenario4[[#This Row],[ability]])</f>
        <v>10</v>
      </c>
      <c r="M94" s="2">
        <f>COUNTIF(Scenario4[winner1-ability2],ShadowAbilities2Scenario4[[#This Row],[ability]])</f>
        <v>2</v>
      </c>
      <c r="N94" s="13">
        <f>IF(SUM(ShadowAbilities2Scenario4[[#This Row],[takes]]) &gt; 0,ShadowAbilities2Scenario4[[#This Row],[takes]]/SUM(ShadowAbilities2Scenario4[takes]),0)</f>
        <v>0.29411764705882354</v>
      </c>
      <c r="O94" s="13">
        <f>IF(ShadowAbilities2Scenario4[[#This Row],[takes]]&gt;0,ShadowAbilities2Scenario4[[#This Row],[wins]]/ShadowAbilities2Scenario4[[#This Row],[takes]],0)</f>
        <v>0.2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1" t="s">
        <v>102</v>
      </c>
      <c r="L97" s="1">
        <f>COUNTIF(Scenario4[winner1-ability3],ShadowAbilities3Scenario4[[#This Row],[ability]])+COUNTIF(Scenario4[loser1-ability3],ShadowAbilities3Scenario4[[#This Row],[ability]])+COUNTIF(Scenario4[loser2-ability3],ShadowAbilities3Scenario4[[#This Row],[ability]])+COUNTIF(Scenario4[loser3-ability3],ShadowAbilities3Scenario4[[#This Row],[ability]])</f>
        <v>8</v>
      </c>
      <c r="M97" s="1">
        <f>COUNTIF(Scenario4[winner1-ability3],ShadowAbilities3Scenario4[[#This Row],[ability]])</f>
        <v>3</v>
      </c>
      <c r="N97" s="14">
        <f>IF(SUM(ShadowAbilities3Scenario4[[#This Row],[takes]]) &gt; 0,ShadowAbilities3Scenario4[[#This Row],[takes]]/SUM(ShadowAbilities3Scenario4[takes]),0)</f>
        <v>0.25</v>
      </c>
      <c r="O97" s="14">
        <f>IF(ShadowAbilities3Scenario4[[#This Row],[takes]]&gt;0,ShadowAbilities3Scenario4[[#This Row],[wins]]/ShadowAbilities3Scenario4[[#This Row],[takes]],0)</f>
        <v>0.375</v>
      </c>
      <c r="S97" s="18"/>
    </row>
    <row r="98" spans="11:19" x14ac:dyDescent="0.25">
      <c r="K98" s="2" t="s">
        <v>142</v>
      </c>
      <c r="L98" s="2">
        <f>COUNTIF(Scenario4[winner1-ability3],ShadowAbilities3Scenario4[[#This Row],[ability]])+COUNTIF(Scenario4[loser1-ability3],ShadowAbilities3Scenario4[[#This Row],[ability]])+COUNTIF(Scenario4[loser2-ability3],ShadowAbilities3Scenario4[[#This Row],[ability]])+COUNTIF(Scenario4[loser3-ability3],ShadowAbilities3Scenario4[[#This Row],[ability]])</f>
        <v>23</v>
      </c>
      <c r="M98" s="2">
        <f>COUNTIF(Scenario4[winner1-ability3],ShadowAbilities3Scenario4[[#This Row],[ability]])</f>
        <v>5</v>
      </c>
      <c r="N98" s="12">
        <f>IF(SUM(ShadowAbilities3Scenario4[[#This Row],[takes]]) &gt; 0,ShadowAbilities3Scenario4[[#This Row],[takes]]/SUM(ShadowAbilities3Scenario4[takes]),0)</f>
        <v>0.71875</v>
      </c>
      <c r="O98" s="12">
        <f>IF(ShadowAbilities3Scenario4[[#This Row],[takes]]&gt;0,ShadowAbilities3Scenario4[[#This Row],[wins]]/ShadowAbilities3Scenario4[[#This Row],[takes]],0)</f>
        <v>0.21739130434782608</v>
      </c>
      <c r="S98" s="18"/>
    </row>
    <row r="99" spans="11:19" x14ac:dyDescent="0.25">
      <c r="K99" s="11" t="s">
        <v>93</v>
      </c>
      <c r="L99" s="1">
        <f>COUNTIF(Scenario4[winner1-ability3],ShadowAbilities3Scenario4[[#This Row],[ability]])+COUNTIF(Scenario4[loser1-ability3],ShadowAbilities3Scenario4[[#This Row],[ability]])+COUNTIF(Scenario4[loser2-ability3],ShadowAbilities3Scenario4[[#This Row],[ability]])+COUNTIF(Scenario4[loser3-ability3],ShadowAbilities3Scenario4[[#This Row],[ability]])</f>
        <v>1</v>
      </c>
      <c r="M99" s="1">
        <f>COUNTIF(Scenario4[winner1-ability3],ShadowAbilities3Scenario4[[#This Row],[ability]])</f>
        <v>0</v>
      </c>
      <c r="N99" s="15">
        <f>IF(SUM(ShadowAbilities3Scenario4[[#This Row],[takes]]) &gt; 0,ShadowAbilities3Scenario4[[#This Row],[takes]]/SUM(ShadowAbilities3Scenario4[takes]),0)</f>
        <v>3.125E-2</v>
      </c>
      <c r="O99" s="15">
        <f>IF(ShadowAbilities3Scenario4[[#This Row],[takes]]&gt;0,ShadowAbilities3Scenario4[[#This Row],[wins]]/ShadowAbilities3Scenario4[[#This Row],[takes]],0)</f>
        <v>0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" t="s">
        <v>143</v>
      </c>
      <c r="L102" s="2">
        <f>COUNTIF(Scenario4[winner1-ability4],ShadowAbilities4Scenario4[[#This Row],[ability]])+COUNTIF(Scenario4[loser1-ability4],ShadowAbilities4Scenario4[[#This Row],[ability]])+COUNTIF(Scenario4[loser2-ability4],ShadowAbilities4Scenario4[[#This Row],[ability]])+COUNTIF(Scenario4[loser3-ability4],ShadowAbilities4Scenario4[[#This Row],[ability]])</f>
        <v>13</v>
      </c>
      <c r="M102" s="2">
        <f>COUNTIF(Scenario4[winner1-ability4],ShadowAbilities4Scenario4[[#This Row],[ability]])</f>
        <v>3</v>
      </c>
      <c r="N102" s="12">
        <f>IF(SUM(ShadowAbilities4Scenario4[[#This Row],[takes]]) &gt; 0,ShadowAbilities4Scenario4[[#This Row],[takes]]/SUM(ShadowAbilities4Scenario4[takes]),0)</f>
        <v>0.43333333333333335</v>
      </c>
      <c r="O102" s="12">
        <f>IF(ShadowAbilities4Scenario4[[#This Row],[takes]]&gt;0,ShadowAbilities4Scenario4[[#This Row],[wins]]/ShadowAbilities4Scenario4[[#This Row],[takes]],0)</f>
        <v>0.23076923076923078</v>
      </c>
      <c r="S102" s="18"/>
    </row>
    <row r="103" spans="11:19" x14ac:dyDescent="0.25">
      <c r="K103" s="2" t="s">
        <v>144</v>
      </c>
      <c r="L103" s="2">
        <f>COUNTIF(Scenario4[winner1-ability4],ShadowAbilities4Scenario4[[#This Row],[ability]])+COUNTIF(Scenario4[loser1-ability4],ShadowAbilities4Scenario4[[#This Row],[ability]])+COUNTIF(Scenario4[loser2-ability4],ShadowAbilities4Scenario4[[#This Row],[ability]])+COUNTIF(Scenario4[loser3-ability4],ShadowAbilities4Scenario4[[#This Row],[ability]])</f>
        <v>8</v>
      </c>
      <c r="M103" s="2">
        <f>COUNTIF(Scenario4[winner1-ability4],ShadowAbilities4Scenario4[[#This Row],[ability]])</f>
        <v>3</v>
      </c>
      <c r="N103" s="12">
        <f>IF(SUM(ShadowAbilities4Scenario4[[#This Row],[takes]]) &gt; 0,ShadowAbilities4Scenario4[[#This Row],[takes]]/SUM(ShadowAbilities4Scenario4[takes]),0)</f>
        <v>0.26666666666666666</v>
      </c>
      <c r="O103" s="12">
        <f>IF(ShadowAbilities4Scenario4[[#This Row],[takes]]&gt;0,ShadowAbilities4Scenario4[[#This Row],[wins]]/ShadowAbilities4Scenario4[[#This Row],[takes]],0)</f>
        <v>0.375</v>
      </c>
      <c r="S103" s="18"/>
    </row>
    <row r="104" spans="11:19" ht="15.75" thickBot="1" x14ac:dyDescent="0.3">
      <c r="K104" s="10" t="s">
        <v>94</v>
      </c>
      <c r="L104" s="2">
        <f>COUNTIF(Scenario4[winner1-ability4],ShadowAbilities4Scenario4[[#This Row],[ability]])+COUNTIF(Scenario4[loser1-ability4],ShadowAbilities4Scenario4[[#This Row],[ability]])+COUNTIF(Scenario4[loser2-ability4],ShadowAbilities4Scenario4[[#This Row],[ability]])+COUNTIF(Scenario4[loser3-ability4],ShadowAbilities4Scenario4[[#This Row],[ability]])</f>
        <v>9</v>
      </c>
      <c r="M104" s="2">
        <f>COUNTIF(Scenario4[winner1-ability4],ShadowAbilities4Scenario4[[#This Row],[ability]])</f>
        <v>1</v>
      </c>
      <c r="N104" s="26">
        <f>IF(SUM(ShadowAbilities4Scenario4[[#This Row],[takes]]) &gt; 0,ShadowAbilities4Scenario4[[#This Row],[takes]]/SUM(ShadowAbilities4Scenario4[takes]),0)</f>
        <v>0.3</v>
      </c>
      <c r="O104" s="26">
        <f>IF(ShadowAbilities4Scenario4[[#This Row],[takes]]&gt;0,ShadowAbilities4Scenario4[[#This Row],[wins]]/ShadowAbilities4Scenario4[[#This Row],[takes]],0)</f>
        <v>0.1111111111111111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7" t="s">
        <v>220</v>
      </c>
      <c r="L106" s="38"/>
      <c r="M106" s="38"/>
      <c r="N106" s="38"/>
      <c r="O106" s="38"/>
      <c r="P106" s="38"/>
      <c r="Q106" s="38"/>
      <c r="R106" s="38"/>
      <c r="S106" s="39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169</v>
      </c>
      <c r="S107" s="18" t="s">
        <v>164</v>
      </c>
    </row>
    <row r="108" spans="11:19" x14ac:dyDescent="0.25">
      <c r="K108" t="s">
        <v>47</v>
      </c>
      <c r="L108">
        <f>COUNTIF(Scenario5[winner1-ability1],ShadowAbilities1Scenario5[[#This Row],[ability]])+COUNTIF(Scenario5[winner2-ability1],ShadowAbilities1Scenario5[[#This Row],[ability]])+COUNTIF(Scenario5[loser1-ability1],ShadowAbilities1Scenario5[[#This Row],[ability]])+COUNTIF(Scenario5[loser2-ability1],ShadowAbilities1Scenario5[[#This Row],[ability]])</f>
        <v>4</v>
      </c>
      <c r="M108">
        <f>COUNTIF(Scenario5[winner1-ability1],ShadowAbilities1Scenario5[[#This Row],[ability]])+COUNTIF(Scenario5[winner2-ability1],ShadowAbilities1Scenario5[[#This Row],[ability]])</f>
        <v>2</v>
      </c>
      <c r="N108" s="3">
        <f>IF(SUM(ShadowAbilities1Scenario5[[#This Row],[takes]]) &gt; 0,ShadowAbilities1Scenario5[[#This Row],[takes]]/SUM(ShadowAbilities1Scenario5[takes]),0)</f>
        <v>3.8095238095238099E-2</v>
      </c>
      <c r="O108" s="3">
        <f>IF(ShadowAbilities1Scenario5[[#This Row],[takes]]&gt;0,ShadowAbilities1Scenario5[[#This Row],[wins]]/ShadowAbilities1Scenario5[[#This Row],[takes]],0)</f>
        <v>0.5</v>
      </c>
      <c r="Q108">
        <v>1</v>
      </c>
      <c r="R108">
        <f>COUNTIFS(Scenario5[winner1],"shadow",Scenario5[winner1-pw],ShadowEquipScenario5[[#This Row],[level]])+COUNTIFS(Scenario5[winner2],"shadow",Scenario5[winner2-pw],ShadowEquipScenario5[[#This Row],[level]])+COUNTIFS(Scenario5[loser1],"shadow",Scenario5[loser1-pw],ShadowEquipScenario5[[#This Row],[level]])+COUNTIFS(Scenario5[loser2],"shadow",Scenario5[loser2-pw],ShadowEquipScenario5[[#This Row],[level]])</f>
        <v>2</v>
      </c>
      <c r="S108" s="18">
        <f>COUNTIFS(Scenario5[winner1],"shadow",Scenario5[winner1-cp],ShadowEquipScenario5[[#This Row],[level]])+COUNTIFS(Scenario5[winner2],"shadow",Scenario5[winner2-cp],ShadowEquipScenario5[[#This Row],[level]])+COUNTIFS(Scenario5[loser1],"shadow",Scenario5[loser1-cp],ShadowEquipScenario5[[#This Row],[level]])+COUNTIFS(Scenario5[loser2],"shadow",Scenario5[loser2-cp],ShadowEquipScenario5[[#This Row],[level]])</f>
        <v>75</v>
      </c>
    </row>
    <row r="109" spans="11:19" x14ac:dyDescent="0.25">
      <c r="K109" t="s">
        <v>86</v>
      </c>
      <c r="L109">
        <f>COUNTIF(Scenario5[winner1-ability1],ShadowAbilities1Scenario5[[#This Row],[ability]])+COUNTIF(Scenario5[winner2-ability1],ShadowAbilities1Scenario5[[#This Row],[ability]])+COUNTIF(Scenario5[loser1-ability1],ShadowAbilities1Scenario5[[#This Row],[ability]])+COUNTIF(Scenario5[loser2-ability1],ShadowAbilities1Scenario5[[#This Row],[ability]])</f>
        <v>44</v>
      </c>
      <c r="M109">
        <f>COUNTIF(Scenario5[winner1-ability1],ShadowAbilities1Scenario5[[#This Row],[ability]])+COUNTIF(Scenario5[winner2-ability1],ShadowAbilities1Scenario5[[#This Row],[ability]])</f>
        <v>28</v>
      </c>
      <c r="N109" s="3">
        <f>IF(SUM(ShadowAbilities1Scenario5[[#This Row],[takes]]) &gt; 0,ShadowAbilities1Scenario5[[#This Row],[takes]]/SUM(ShadowAbilities1Scenario5[takes]),0)</f>
        <v>0.41904761904761906</v>
      </c>
      <c r="O109" s="3">
        <f>IF(ShadowAbilities1Scenario5[[#This Row],[takes]]&gt;0,ShadowAbilities1Scenario5[[#This Row],[wins]]/ShadowAbilities1Scenario5[[#This Row],[takes]],0)</f>
        <v>0.63636363636363635</v>
      </c>
      <c r="Q109">
        <v>2</v>
      </c>
      <c r="R109">
        <f>COUNTIFS(Scenario5[winner1],"shadow",Scenario5[winner1-pw],ShadowEquipScenario5[[#This Row],[level]])+COUNTIFS(Scenario5[winner2],"shadow",Scenario5[winner2-pw],ShadowEquipScenario5[[#This Row],[level]])+COUNTIFS(Scenario5[loser1],"shadow",Scenario5[loser1-pw],ShadowEquipScenario5[[#This Row],[level]])+COUNTIFS(Scenario5[loser2],"shadow",Scenario5[loser2-pw],ShadowEquipScenario5[[#This Row],[level]])</f>
        <v>15</v>
      </c>
      <c r="S109" s="18">
        <f>COUNTIFS(Scenario5[winner1],"shadow",Scenario5[winner1-cp],ShadowEquipScenario5[[#This Row],[level]])+COUNTIFS(Scenario5[winner2],"shadow",Scenario5[winner2-cp],ShadowEquipScenario5[[#This Row],[level]])+COUNTIFS(Scenario5[loser1],"shadow",Scenario5[loser1-cp],ShadowEquipScenario5[[#This Row],[level]])+COUNTIFS(Scenario5[loser2],"shadow",Scenario5[loser2-cp],ShadowEquipScenario5[[#This Row],[level]])</f>
        <v>18</v>
      </c>
    </row>
    <row r="110" spans="11:19" x14ac:dyDescent="0.25">
      <c r="K110" t="s">
        <v>140</v>
      </c>
      <c r="L110">
        <f>COUNTIF(Scenario5[winner1-ability1],ShadowAbilities1Scenario5[[#This Row],[ability]])+COUNTIF(Scenario5[winner2-ability1],ShadowAbilities1Scenario5[[#This Row],[ability]])+COUNTIF(Scenario5[loser1-ability1],ShadowAbilities1Scenario5[[#This Row],[ability]])+COUNTIF(Scenario5[loser2-ability1],ShadowAbilities1Scenario5[[#This Row],[ability]])</f>
        <v>57</v>
      </c>
      <c r="M110">
        <f>COUNTIF(Scenario5[winner1-ability1],ShadowAbilities1Scenario5[[#This Row],[ability]])+COUNTIF(Scenario5[winner2-ability1],ShadowAbilities1Scenario5[[#This Row],[ability]])</f>
        <v>34</v>
      </c>
      <c r="N110" s="3">
        <f>IF(SUM(ShadowAbilities1Scenario5[[#This Row],[takes]]) &gt; 0,ShadowAbilities1Scenario5[[#This Row],[takes]]/SUM(ShadowAbilities1Scenario5[takes]),0)</f>
        <v>0.54285714285714282</v>
      </c>
      <c r="O110" s="3">
        <f>IF(ShadowAbilities1Scenario5[[#This Row],[takes]]&gt;0,ShadowAbilities1Scenario5[[#This Row],[wins]]/ShadowAbilities1Scenario5[[#This Row],[takes]],0)</f>
        <v>0.59649122807017541</v>
      </c>
      <c r="Q110">
        <v>3</v>
      </c>
      <c r="R110">
        <f>COUNTIFS(Scenario5[winner1],"shadow",Scenario5[winner1-pw],ShadowEquipScenario5[[#This Row],[level]])+COUNTIFS(Scenario5[winner2],"shadow",Scenario5[winner2-pw],ShadowEquipScenario5[[#This Row],[level]])+COUNTIFS(Scenario5[loser1],"shadow",Scenario5[loser1-pw],ShadowEquipScenario5[[#This Row],[level]])+COUNTIFS(Scenario5[loser2],"shadow",Scenario5[loser2-pw],ShadowEquipScenario5[[#This Row],[level]])</f>
        <v>88</v>
      </c>
      <c r="S110" s="18">
        <f>COUNTIFS(Scenario5[winner1],"shadow",Scenario5[winner1-cp],ShadowEquipScenario5[[#This Row],[level]])+COUNTIFS(Scenario5[winner2],"shadow",Scenario5[winner2-cp],ShadowEquipScenario5[[#This Row],[level]])+COUNTIFS(Scenario5[loser1],"shadow",Scenario5[loser1-cp],ShadowEquipScenario5[[#This Row],[level]])+COUNTIFS(Scenario5[loser2],"shadow",Scenario5[loser2-cp],ShadowEquipScenario5[[#This Row],[level]])</f>
        <v>12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" t="s">
        <v>141</v>
      </c>
      <c r="L113" s="2">
        <f>COUNTIF(Scenario5[winner1-ability2],ShadowAbilities2Scenario5[[#This Row],[ability]])+COUNTIF(Scenario5[winner2-ability2],ShadowAbilities2Scenario5[[#This Row],[ability]])+COUNTIF(Scenario5[loser1-ability2],ShadowAbilities2Scenario5[[#This Row],[ability]])+COUNTIF(Scenario5[loser2-ability2],ShadowAbilities2Scenario5[[#This Row],[ability]])</f>
        <v>34</v>
      </c>
      <c r="M113" s="2">
        <f>COUNTIF(Scenario5[winner1-ability2],ShadowAbilities2Scenario5[[#This Row],[ability]])+COUNTIF(Scenario5[winner2-ability2],ShadowAbilities2Scenario5[[#This Row],[ability]])</f>
        <v>24</v>
      </c>
      <c r="N113" s="12">
        <f>IF(SUM(ShadowAbilities2Scenario5[[#This Row],[takes]]) &gt; 0,ShadowAbilities2Scenario5[[#This Row],[takes]]/SUM(ShadowAbilities2Scenario5[takes]),0)</f>
        <v>0.5</v>
      </c>
      <c r="O113" s="12">
        <f>IF(ShadowAbilities2Scenario5[[#This Row],[takes]]&gt;0,ShadowAbilities2Scenario5[[#This Row],[wins]]/ShadowAbilities2Scenario5[[#This Row],[takes]],0)</f>
        <v>0.70588235294117652</v>
      </c>
      <c r="S113" s="18"/>
    </row>
    <row r="114" spans="11:19" x14ac:dyDescent="0.25">
      <c r="K114" t="s">
        <v>92</v>
      </c>
      <c r="L114" s="2">
        <f>COUNTIF(Scenario5[winner1-ability2],ShadowAbilities2Scenario5[[#This Row],[ability]])+COUNTIF(Scenario5[winner2-ability2],ShadowAbilities2Scenario5[[#This Row],[ability]])+COUNTIF(Scenario5[loser1-ability2],ShadowAbilities2Scenario5[[#This Row],[ability]])+COUNTIF(Scenario5[loser2-ability2],ShadowAbilities2Scenario5[[#This Row],[ability]])</f>
        <v>10</v>
      </c>
      <c r="M114" s="2">
        <f>COUNTIF(Scenario5[winner1-ability2],ShadowAbilities2Scenario5[[#This Row],[ability]])+COUNTIF(Scenario5[winner2-ability2],ShadowAbilities2Scenario5[[#This Row],[ability]])</f>
        <v>6</v>
      </c>
      <c r="N114" s="3">
        <f>IF(SUM(ShadowAbilities2Scenario5[[#This Row],[takes]]) &gt; 0,ShadowAbilities2Scenario5[[#This Row],[takes]]/SUM(ShadowAbilities2Scenario5[takes]),0)</f>
        <v>0.14705882352941177</v>
      </c>
      <c r="O114" s="3">
        <f>IF(ShadowAbilities2Scenario5[[#This Row],[takes]]&gt;0,ShadowAbilities2Scenario5[[#This Row],[wins]]/ShadowAbilities2Scenario5[[#This Row],[takes]],0)</f>
        <v>0.6</v>
      </c>
      <c r="S114" s="18"/>
    </row>
    <row r="115" spans="11:19" x14ac:dyDescent="0.25">
      <c r="K115" s="10" t="s">
        <v>76</v>
      </c>
      <c r="L115" s="2">
        <f>COUNTIF(Scenario5[winner1-ability2],ShadowAbilities2Scenario5[[#This Row],[ability]])+COUNTIF(Scenario5[winner2-ability2],ShadowAbilities2Scenario5[[#This Row],[ability]])+COUNTIF(Scenario5[loser1-ability2],ShadowAbilities2Scenario5[[#This Row],[ability]])+COUNTIF(Scenario5[loser2-ability2],ShadowAbilities2Scenario5[[#This Row],[ability]])</f>
        <v>24</v>
      </c>
      <c r="M115" s="2">
        <f>COUNTIF(Scenario5[winner1-ability2],ShadowAbilities2Scenario5[[#This Row],[ability]])+COUNTIF(Scenario5[winner2-ability2],ShadowAbilities2Scenario5[[#This Row],[ability]])</f>
        <v>18</v>
      </c>
      <c r="N115" s="13">
        <f>IF(SUM(ShadowAbilities2Scenario5[[#This Row],[takes]]) &gt; 0,ShadowAbilities2Scenario5[[#This Row],[takes]]/SUM(ShadowAbilities2Scenario5[takes]),0)</f>
        <v>0.35294117647058826</v>
      </c>
      <c r="O115" s="13">
        <f>IF(ShadowAbilities2Scenario5[[#This Row],[takes]]&gt;0,ShadowAbilities2Scenario5[[#This Row],[wins]]/ShadowAbilities2Scenario5[[#This Row],[takes]],0)</f>
        <v>0.75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1" t="s">
        <v>102</v>
      </c>
      <c r="L118" s="1">
        <f>COUNTIF(Scenario5[winner1-ability3],ShadowAbilities3Scenario5[[#This Row],[ability]])+COUNTIF(Scenario5[winner2-ability3],ShadowAbilities3Scenario5[[#This Row],[ability]])+COUNTIF(Scenario5[loser1-ability3],ShadowAbilities3Scenario5[[#This Row],[ability]])+COUNTIF(Scenario5[loser2-ability3],ShadowAbilities3Scenario5[[#This Row],[ability]])</f>
        <v>13</v>
      </c>
      <c r="M118" s="1">
        <f>COUNTIF(Scenario5[winner1-ability3],ShadowAbilities3Scenario5[[#This Row],[ability]])+COUNTIF(Scenario5[winner2-ability3],ShadowAbilities3Scenario5[[#This Row],[ability]])</f>
        <v>7</v>
      </c>
      <c r="N118" s="14">
        <f>IF(SUM(ShadowAbilities3Scenario5[[#This Row],[takes]]) &gt; 0,ShadowAbilities3Scenario5[[#This Row],[takes]]/SUM(ShadowAbilities3Scenario5[takes]),0)</f>
        <v>0.32500000000000001</v>
      </c>
      <c r="O118" s="14">
        <f>IF(ShadowAbilities3Scenario5[[#This Row],[takes]]&gt;0,ShadowAbilities3Scenario5[[#This Row],[wins]]/ShadowAbilities3Scenario5[[#This Row],[takes]],0)</f>
        <v>0.53846153846153844</v>
      </c>
      <c r="S118" s="18"/>
    </row>
    <row r="119" spans="11:19" x14ac:dyDescent="0.25">
      <c r="K119" s="2" t="s">
        <v>142</v>
      </c>
      <c r="L119" s="2">
        <f>COUNTIF(Scenario5[winner1-ability3],ShadowAbilities3Scenario5[[#This Row],[ability]])+COUNTIF(Scenario5[winner2-ability3],ShadowAbilities3Scenario5[[#This Row],[ability]])+COUNTIF(Scenario5[loser1-ability3],ShadowAbilities3Scenario5[[#This Row],[ability]])+COUNTIF(Scenario5[loser2-ability3],ShadowAbilities3Scenario5[[#This Row],[ability]])</f>
        <v>7</v>
      </c>
      <c r="M119" s="2">
        <f>COUNTIF(Scenario5[winner1-ability3],ShadowAbilities3Scenario5[[#This Row],[ability]])+COUNTIF(Scenario5[winner2-ability3],ShadowAbilities3Scenario5[[#This Row],[ability]])</f>
        <v>6</v>
      </c>
      <c r="N119" s="12">
        <f>IF(SUM(ShadowAbilities3Scenario5[[#This Row],[takes]]) &gt; 0,ShadowAbilities3Scenario5[[#This Row],[takes]]/SUM(ShadowAbilities3Scenario5[takes]),0)</f>
        <v>0.17499999999999999</v>
      </c>
      <c r="O119" s="12">
        <f>IF(ShadowAbilities3Scenario5[[#This Row],[takes]]&gt;0,ShadowAbilities3Scenario5[[#This Row],[wins]]/ShadowAbilities3Scenario5[[#This Row],[takes]],0)</f>
        <v>0.8571428571428571</v>
      </c>
      <c r="S119" s="18"/>
    </row>
    <row r="120" spans="11:19" x14ac:dyDescent="0.25">
      <c r="K120" s="11" t="s">
        <v>93</v>
      </c>
      <c r="L120" s="1">
        <f>COUNTIF(Scenario5[winner1-ability3],ShadowAbilities3Scenario5[[#This Row],[ability]])+COUNTIF(Scenario5[winner2-ability3],ShadowAbilities3Scenario5[[#This Row],[ability]])+COUNTIF(Scenario5[loser1-ability3],ShadowAbilities3Scenario5[[#This Row],[ability]])+COUNTIF(Scenario5[loser2-ability3],ShadowAbilities3Scenario5[[#This Row],[ability]])</f>
        <v>20</v>
      </c>
      <c r="M120" s="1">
        <f>COUNTIF(Scenario5[winner1-ability3],ShadowAbilities3Scenario5[[#This Row],[ability]])+COUNTIF(Scenario5[winner2-ability3],ShadowAbilities3Scenario5[[#This Row],[ability]])</f>
        <v>11</v>
      </c>
      <c r="N120" s="15">
        <f>IF(SUM(ShadowAbilities3Scenario5[[#This Row],[takes]]) &gt; 0,ShadowAbilities3Scenario5[[#This Row],[takes]]/SUM(ShadowAbilities3Scenario5[takes]),0)</f>
        <v>0.5</v>
      </c>
      <c r="O120" s="15">
        <f>IF(ShadowAbilities3Scenario5[[#This Row],[takes]]&gt;0,ShadowAbilities3Scenario5[[#This Row],[wins]]/ShadowAbilities3Scenario5[[#This Row],[takes]],0)</f>
        <v>0.55000000000000004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" t="s">
        <v>143</v>
      </c>
      <c r="L123" s="2">
        <f>COUNTIF(Scenario5[winner1-ability4],ShadowAbilities4Scenario5[[#This Row],[ability]])+COUNTIF(Scenario5[winner2-ability4],ShadowAbilities4Scenario5[[#This Row],[ability]])+COUNTIF(Scenario5[loser1-ability4],ShadowAbilities4Scenario5[[#This Row],[ability]])+COUNTIF(Scenario5[loser2-ability4],ShadowAbilities4Scenario5[[#This Row],[ability]])</f>
        <v>4</v>
      </c>
      <c r="M123" s="2">
        <f>COUNTIF(Scenario5[winner1-ability4],ShadowAbilities4Scenario5[[#This Row],[ability]])+COUNTIF(Scenario5[winner2-ability4],ShadowAbilities4Scenario5[[#This Row],[ability]])</f>
        <v>2</v>
      </c>
      <c r="N123" s="12">
        <f>IF(SUM(ShadowAbilities4Scenario5[[#This Row],[takes]]) &gt; 0,ShadowAbilities4Scenario5[[#This Row],[takes]]/SUM(ShadowAbilities4Scenario5[takes]),0)</f>
        <v>0.17391304347826086</v>
      </c>
      <c r="O123" s="12">
        <f>IF(ShadowAbilities4Scenario5[[#This Row],[takes]]&gt;0,ShadowAbilities4Scenario5[[#This Row],[wins]]/ShadowAbilities4Scenario5[[#This Row],[takes]],0)</f>
        <v>0.5</v>
      </c>
      <c r="S123" s="18"/>
    </row>
    <row r="124" spans="11:19" x14ac:dyDescent="0.25">
      <c r="K124" s="2" t="s">
        <v>144</v>
      </c>
      <c r="L124" s="2">
        <f>COUNTIF(Scenario5[winner1-ability4],ShadowAbilities4Scenario5[[#This Row],[ability]])+COUNTIF(Scenario5[winner2-ability4],ShadowAbilities4Scenario5[[#This Row],[ability]])+COUNTIF(Scenario5[loser1-ability4],ShadowAbilities4Scenario5[[#This Row],[ability]])+COUNTIF(Scenario5[loser2-ability4],ShadowAbilities4Scenario5[[#This Row],[ability]])</f>
        <v>6</v>
      </c>
      <c r="M124" s="2">
        <f>COUNTIF(Scenario5[winner1-ability4],ShadowAbilities4Scenario5[[#This Row],[ability]])+COUNTIF(Scenario5[winner2-ability4],ShadowAbilities4Scenario5[[#This Row],[ability]])</f>
        <v>5</v>
      </c>
      <c r="N124" s="12">
        <f>IF(SUM(ShadowAbilities4Scenario5[[#This Row],[takes]]) &gt; 0,ShadowAbilities4Scenario5[[#This Row],[takes]]/SUM(ShadowAbilities4Scenario5[takes]),0)</f>
        <v>0.2608695652173913</v>
      </c>
      <c r="O124" s="12">
        <f>IF(ShadowAbilities4Scenario5[[#This Row],[takes]]&gt;0,ShadowAbilities4Scenario5[[#This Row],[wins]]/ShadowAbilities4Scenario5[[#This Row],[takes]],0)</f>
        <v>0.83333333333333337</v>
      </c>
      <c r="S124" s="18"/>
    </row>
    <row r="125" spans="11:19" ht="15.75" thickBot="1" x14ac:dyDescent="0.3">
      <c r="K125" s="10" t="s">
        <v>94</v>
      </c>
      <c r="L125" s="2">
        <f>COUNTIF(Scenario5[winner1-ability4],ShadowAbilities4Scenario5[[#This Row],[ability]])+COUNTIF(Scenario5[winner2-ability4],ShadowAbilities4Scenario5[[#This Row],[ability]])+COUNTIF(Scenario5[loser1-ability4],ShadowAbilities4Scenario5[[#This Row],[ability]])+COUNTIF(Scenario5[loser2-ability4],ShadowAbilities4Scenario5[[#This Row],[ability]])</f>
        <v>13</v>
      </c>
      <c r="M125" s="2">
        <f>COUNTIF(Scenario5[winner1-ability4],ShadowAbilities4Scenario5[[#This Row],[ability]])+COUNTIF(Scenario5[winner2-ability4],ShadowAbilities4Scenario5[[#This Row],[ability]])</f>
        <v>7</v>
      </c>
      <c r="N125" s="26">
        <f>IF(SUM(ShadowAbilities4Scenario5[[#This Row],[takes]]) &gt; 0,ShadowAbilities4Scenario5[[#This Row],[takes]]/SUM(ShadowAbilities4Scenario5[takes]),0)</f>
        <v>0.56521739130434778</v>
      </c>
      <c r="O125" s="26">
        <f>IF(ShadowAbilities4Scenario5[[#This Row],[takes]]&gt;0,ShadowAbilities4Scenario5[[#This Row],[wins]]/ShadowAbilities4Scenario5[[#This Row],[takes]],0)</f>
        <v>0.53846153846153844</v>
      </c>
      <c r="P125" s="27"/>
      <c r="Q125" s="27"/>
      <c r="R125" s="27"/>
      <c r="S125" s="28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12"/>
  <sheetViews>
    <sheetView workbookViewId="0">
      <selection activeCell="I16" sqref="I16:M16"/>
    </sheetView>
  </sheetViews>
  <sheetFormatPr defaultRowHeight="15" x14ac:dyDescent="0.25"/>
  <cols>
    <col min="1" max="1" width="10.5703125" bestFit="1" customWidth="1"/>
    <col min="2" max="2" width="11.42578125" bestFit="1" customWidth="1"/>
    <col min="3" max="3" width="13.5703125" bestFit="1" customWidth="1"/>
    <col min="4" max="5" width="11.42578125" bestFit="1" customWidth="1"/>
    <col min="6" max="6" width="13.5703125" bestFit="1" customWidth="1"/>
    <col min="7" max="7" width="9.42578125" bestFit="1" customWidth="1"/>
    <col min="9" max="10" width="11.42578125" bestFit="1" customWidth="1"/>
    <col min="11" max="11" width="9.42578125" bestFit="1" customWidth="1"/>
    <col min="12" max="12" width="7.42578125" bestFit="1" customWidth="1"/>
    <col min="13" max="13" width="10.85546875" bestFit="1" customWidth="1"/>
    <col min="15" max="15" width="25.140625" bestFit="1" customWidth="1"/>
    <col min="16" max="16" width="3" bestFit="1" customWidth="1"/>
    <col min="18" max="18" width="9.28515625" bestFit="1" customWidth="1"/>
  </cols>
  <sheetData>
    <row r="1" spans="1:16" ht="15.75" thickBot="1" x14ac:dyDescent="0.3">
      <c r="A1" s="37" t="s">
        <v>78</v>
      </c>
      <c r="B1" s="38"/>
      <c r="C1" s="38"/>
      <c r="D1" s="38"/>
      <c r="E1" s="38"/>
      <c r="F1" s="38"/>
      <c r="G1" s="39"/>
      <c r="I1" s="37" t="s">
        <v>82</v>
      </c>
      <c r="J1" s="38"/>
      <c r="K1" s="38"/>
      <c r="L1" s="38"/>
      <c r="M1" s="39"/>
      <c r="O1" s="4" t="s">
        <v>157</v>
      </c>
      <c r="P1" s="30">
        <f>MIN(Scenario0[crystals])</f>
        <v>1</v>
      </c>
    </row>
    <row r="2" spans="1:16" ht="15.75" thickBot="1" x14ac:dyDescent="0.3">
      <c r="A2" t="s">
        <v>59</v>
      </c>
      <c r="B2" t="s">
        <v>60</v>
      </c>
      <c r="C2" t="s">
        <v>81</v>
      </c>
      <c r="D2" t="s">
        <v>61</v>
      </c>
      <c r="E2" t="s">
        <v>62</v>
      </c>
      <c r="F2" t="s">
        <v>77</v>
      </c>
      <c r="G2" t="s">
        <v>58</v>
      </c>
      <c r="I2" t="s">
        <v>59</v>
      </c>
      <c r="J2" t="s">
        <v>60</v>
      </c>
      <c r="K2" t="s">
        <v>58</v>
      </c>
      <c r="L2" t="s">
        <v>79</v>
      </c>
      <c r="M2" t="s">
        <v>80</v>
      </c>
      <c r="O2" s="4" t="s">
        <v>107</v>
      </c>
      <c r="P2" s="30">
        <f>AVERAGE(Scenario0[crystals])</f>
        <v>6.4190476190476193</v>
      </c>
    </row>
    <row r="3" spans="1:16" ht="15.75" thickBot="1" x14ac:dyDescent="0.3">
      <c r="A3" t="s">
        <v>53</v>
      </c>
      <c r="B3" t="s">
        <v>56</v>
      </c>
      <c r="C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" t="s">
        <v>48</v>
      </c>
      <c r="E3" t="s">
        <v>33</v>
      </c>
      <c r="F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">
        <f>ScenarioStat0[[#This Row],[team-1-win]]+ScenarioStat0[[#This Row],[team-2-win]]</f>
        <v>1</v>
      </c>
      <c r="I3" t="s">
        <v>53</v>
      </c>
      <c r="J3" t="s">
        <v>56</v>
      </c>
      <c r="K3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3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3</v>
      </c>
      <c r="M3" s="3">
        <f>IF(ScenarioTeams0[[#This Row],[battles]],ScenarioTeams0[[#This Row],[wins]]/ScenarioTeams0[[#This Row],[battles]],0)</f>
        <v>0.2</v>
      </c>
      <c r="O3" s="4" t="s">
        <v>159</v>
      </c>
      <c r="P3" s="30">
        <f>MAX(Scenario0[crystals])</f>
        <v>16</v>
      </c>
    </row>
    <row r="4" spans="1:16" ht="15.75" thickBot="1" x14ac:dyDescent="0.3">
      <c r="A4" t="s">
        <v>53</v>
      </c>
      <c r="B4" t="s">
        <v>56</v>
      </c>
      <c r="C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" t="s">
        <v>48</v>
      </c>
      <c r="E4" t="s">
        <v>43</v>
      </c>
      <c r="F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">
        <f>ScenarioStat0[[#This Row],[team-1-win]]+ScenarioStat0[[#This Row],[team-2-win]]</f>
        <v>1</v>
      </c>
      <c r="I4" t="s">
        <v>53</v>
      </c>
      <c r="J4" t="s">
        <v>48</v>
      </c>
      <c r="K4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4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4</v>
      </c>
      <c r="M4" s="3">
        <f>IF(ScenarioTeams0[[#This Row],[battles]],ScenarioTeams0[[#This Row],[wins]]/ScenarioTeams0[[#This Row],[battles]],0)</f>
        <v>0.26666666666666666</v>
      </c>
    </row>
    <row r="5" spans="1:16" ht="15.75" thickBot="1" x14ac:dyDescent="0.3">
      <c r="A5" t="s">
        <v>53</v>
      </c>
      <c r="B5" t="s">
        <v>56</v>
      </c>
      <c r="C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5" t="s">
        <v>48</v>
      </c>
      <c r="E5" t="s">
        <v>45</v>
      </c>
      <c r="F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">
        <f>ScenarioStat0[[#This Row],[team-1-win]]+ScenarioStat0[[#This Row],[team-2-win]]</f>
        <v>1</v>
      </c>
      <c r="I5" t="s">
        <v>53</v>
      </c>
      <c r="J5" t="s">
        <v>33</v>
      </c>
      <c r="K5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5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10</v>
      </c>
      <c r="M5" s="3">
        <f>IF(ScenarioTeams0[[#This Row],[battles]],ScenarioTeams0[[#This Row],[wins]]/ScenarioTeams0[[#This Row],[battles]],0)</f>
        <v>0.66666666666666663</v>
      </c>
      <c r="O5" s="4" t="s">
        <v>158</v>
      </c>
      <c r="P5" s="30">
        <f>MIN(Scenario0[turns])</f>
        <v>12</v>
      </c>
    </row>
    <row r="6" spans="1:16" ht="15.75" thickBot="1" x14ac:dyDescent="0.3">
      <c r="A6" t="s">
        <v>53</v>
      </c>
      <c r="B6" t="s">
        <v>56</v>
      </c>
      <c r="C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" t="s">
        <v>48</v>
      </c>
      <c r="E6" t="s">
        <v>63</v>
      </c>
      <c r="F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">
        <f>ScenarioStat0[[#This Row],[team-1-win]]+ScenarioStat0[[#This Row],[team-2-win]]</f>
        <v>1</v>
      </c>
      <c r="I6" t="s">
        <v>53</v>
      </c>
      <c r="J6" t="s">
        <v>43</v>
      </c>
      <c r="K6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6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8</v>
      </c>
      <c r="M6" s="3">
        <f>IF(ScenarioTeams0[[#This Row],[battles]],ScenarioTeams0[[#This Row],[wins]]/ScenarioTeams0[[#This Row],[battles]],0)</f>
        <v>0.53333333333333333</v>
      </c>
      <c r="O6" s="5" t="s">
        <v>108</v>
      </c>
      <c r="P6" s="31">
        <f>AVERAGE(Scenario0[turns])</f>
        <v>28.057142857142857</v>
      </c>
    </row>
    <row r="7" spans="1:16" ht="15.75" thickBot="1" x14ac:dyDescent="0.3">
      <c r="A7" t="s">
        <v>53</v>
      </c>
      <c r="B7" t="s">
        <v>56</v>
      </c>
      <c r="C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" t="s">
        <v>48</v>
      </c>
      <c r="E7" t="s">
        <v>38</v>
      </c>
      <c r="F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7">
        <f>ScenarioStat0[[#This Row],[team-1-win]]+ScenarioStat0[[#This Row],[team-2-win]]</f>
        <v>1</v>
      </c>
      <c r="I7" t="s">
        <v>53</v>
      </c>
      <c r="J7" t="s">
        <v>45</v>
      </c>
      <c r="K7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7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10</v>
      </c>
      <c r="M7" s="3">
        <f>IF(ScenarioTeams0[[#This Row],[battles]],ScenarioTeams0[[#This Row],[wins]]/ScenarioTeams0[[#This Row],[battles]],0)</f>
        <v>0.66666666666666663</v>
      </c>
      <c r="O7" s="5" t="s">
        <v>160</v>
      </c>
      <c r="P7" s="31">
        <f>MAX(Scenario0[turns])</f>
        <v>84</v>
      </c>
    </row>
    <row r="8" spans="1:16" ht="15.75" thickBot="1" x14ac:dyDescent="0.3">
      <c r="A8" t="s">
        <v>53</v>
      </c>
      <c r="B8" t="s">
        <v>56</v>
      </c>
      <c r="C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" t="s">
        <v>33</v>
      </c>
      <c r="E8" t="s">
        <v>43</v>
      </c>
      <c r="F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">
        <f>ScenarioStat0[[#This Row],[team-1-win]]+ScenarioStat0[[#This Row],[team-2-win]]</f>
        <v>1</v>
      </c>
      <c r="I8" t="s">
        <v>53</v>
      </c>
      <c r="J8" t="s">
        <v>63</v>
      </c>
      <c r="K8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8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6</v>
      </c>
      <c r="M8" s="3">
        <f>IF(ScenarioTeams0[[#This Row],[battles]],ScenarioTeams0[[#This Row],[wins]]/ScenarioTeams0[[#This Row],[battles]],0)</f>
        <v>0.4</v>
      </c>
    </row>
    <row r="9" spans="1:16" ht="15.75" thickBot="1" x14ac:dyDescent="0.3">
      <c r="A9" t="s">
        <v>53</v>
      </c>
      <c r="B9" t="s">
        <v>56</v>
      </c>
      <c r="C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" t="s">
        <v>33</v>
      </c>
      <c r="E9" t="s">
        <v>45</v>
      </c>
      <c r="F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">
        <f>ScenarioStat0[[#This Row],[team-1-win]]+ScenarioStat0[[#This Row],[team-2-win]]</f>
        <v>1</v>
      </c>
      <c r="I9" t="s">
        <v>53</v>
      </c>
      <c r="J9" t="s">
        <v>38</v>
      </c>
      <c r="K9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9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3</v>
      </c>
      <c r="M9" s="3">
        <f>IF(ScenarioTeams0[[#This Row],[battles]],ScenarioTeams0[[#This Row],[wins]]/ScenarioTeams0[[#This Row],[battles]],0)</f>
        <v>0.2</v>
      </c>
      <c r="O9" s="4" t="s">
        <v>185</v>
      </c>
      <c r="P9" s="30">
        <f>120000*$P$6/1000/60</f>
        <v>56.114285714285714</v>
      </c>
    </row>
    <row r="10" spans="1:16" ht="15.75" thickBot="1" x14ac:dyDescent="0.3">
      <c r="A10" t="s">
        <v>53</v>
      </c>
      <c r="B10" t="s">
        <v>56</v>
      </c>
      <c r="C1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" t="s">
        <v>33</v>
      </c>
      <c r="E10" t="s">
        <v>63</v>
      </c>
      <c r="F1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">
        <f>ScenarioStat0[[#This Row],[team-1-win]]+ScenarioStat0[[#This Row],[team-2-win]]</f>
        <v>1</v>
      </c>
      <c r="I10" t="s">
        <v>56</v>
      </c>
      <c r="J10" t="s">
        <v>48</v>
      </c>
      <c r="K10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0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7</v>
      </c>
      <c r="M10" s="3">
        <f>IF(ScenarioTeams0[[#This Row],[battles]],ScenarioTeams0[[#This Row],[wins]]/ScenarioTeams0[[#This Row],[battles]],0)</f>
        <v>0.46666666666666667</v>
      </c>
      <c r="O10" s="5" t="s">
        <v>186</v>
      </c>
      <c r="P10" s="31">
        <f>P9*COUNTA(ScenarioStat0[hero-1])/60/24</f>
        <v>8.1833333333333336</v>
      </c>
    </row>
    <row r="11" spans="1:16" x14ac:dyDescent="0.25">
      <c r="A11" t="s">
        <v>53</v>
      </c>
      <c r="B11" t="s">
        <v>56</v>
      </c>
      <c r="C1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" t="s">
        <v>33</v>
      </c>
      <c r="E11" t="s">
        <v>38</v>
      </c>
      <c r="F1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">
        <f>ScenarioStat0[[#This Row],[team-1-win]]+ScenarioStat0[[#This Row],[team-2-win]]</f>
        <v>1</v>
      </c>
      <c r="I11" t="s">
        <v>56</v>
      </c>
      <c r="J11" t="s">
        <v>33</v>
      </c>
      <c r="K11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1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6</v>
      </c>
      <c r="M11" s="3">
        <f>IF(ScenarioTeams0[[#This Row],[battles]],ScenarioTeams0[[#This Row],[wins]]/ScenarioTeams0[[#This Row],[battles]],0)</f>
        <v>0.4</v>
      </c>
    </row>
    <row r="12" spans="1:16" x14ac:dyDescent="0.25">
      <c r="A12" t="s">
        <v>53</v>
      </c>
      <c r="B12" t="s">
        <v>56</v>
      </c>
      <c r="C1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" t="s">
        <v>43</v>
      </c>
      <c r="E12" t="s">
        <v>45</v>
      </c>
      <c r="F1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2">
        <f>ScenarioStat0[[#This Row],[team-1-win]]+ScenarioStat0[[#This Row],[team-2-win]]</f>
        <v>1</v>
      </c>
      <c r="I12" t="s">
        <v>56</v>
      </c>
      <c r="J12" t="s">
        <v>43</v>
      </c>
      <c r="K12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2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8</v>
      </c>
      <c r="M12" s="3">
        <f>IF(ScenarioTeams0[[#This Row],[battles]],ScenarioTeams0[[#This Row],[wins]]/ScenarioTeams0[[#This Row],[battles]],0)</f>
        <v>0.53333333333333333</v>
      </c>
    </row>
    <row r="13" spans="1:16" x14ac:dyDescent="0.25">
      <c r="A13" t="s">
        <v>53</v>
      </c>
      <c r="B13" t="s">
        <v>56</v>
      </c>
      <c r="C1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" t="s">
        <v>43</v>
      </c>
      <c r="E13" t="s">
        <v>63</v>
      </c>
      <c r="F1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3">
        <f>ScenarioStat0[[#This Row],[team-1-win]]+ScenarioStat0[[#This Row],[team-2-win]]</f>
        <v>1</v>
      </c>
      <c r="I13" t="s">
        <v>56</v>
      </c>
      <c r="J13" t="s">
        <v>45</v>
      </c>
      <c r="K13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3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3</v>
      </c>
      <c r="M13" s="3">
        <f>IF(ScenarioTeams0[[#This Row],[battles]],ScenarioTeams0[[#This Row],[wins]]/ScenarioTeams0[[#This Row],[battles]],0)</f>
        <v>0.2</v>
      </c>
    </row>
    <row r="14" spans="1:16" x14ac:dyDescent="0.25">
      <c r="A14" t="s">
        <v>53</v>
      </c>
      <c r="B14" t="s">
        <v>56</v>
      </c>
      <c r="C1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" t="s">
        <v>43</v>
      </c>
      <c r="E14" t="s">
        <v>38</v>
      </c>
      <c r="F1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">
        <f>ScenarioStat0[[#This Row],[team-1-win]]+ScenarioStat0[[#This Row],[team-2-win]]</f>
        <v>1</v>
      </c>
      <c r="I14" t="s">
        <v>56</v>
      </c>
      <c r="J14" t="s">
        <v>63</v>
      </c>
      <c r="K14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4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3</v>
      </c>
      <c r="M14" s="3">
        <f>IF(ScenarioTeams0[[#This Row],[battles]],ScenarioTeams0[[#This Row],[wins]]/ScenarioTeams0[[#This Row],[battles]],0)</f>
        <v>0.2</v>
      </c>
    </row>
    <row r="15" spans="1:16" x14ac:dyDescent="0.25">
      <c r="A15" t="s">
        <v>53</v>
      </c>
      <c r="B15" t="s">
        <v>56</v>
      </c>
      <c r="C1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" t="s">
        <v>45</v>
      </c>
      <c r="E15" t="s">
        <v>63</v>
      </c>
      <c r="F1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">
        <f>ScenarioStat0[[#This Row],[team-1-win]]+ScenarioStat0[[#This Row],[team-2-win]]</f>
        <v>1</v>
      </c>
      <c r="I15" t="s">
        <v>56</v>
      </c>
      <c r="J15" t="s">
        <v>38</v>
      </c>
      <c r="K15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5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9</v>
      </c>
      <c r="M15" s="3">
        <f>IF(ScenarioTeams0[[#This Row],[battles]],ScenarioTeams0[[#This Row],[wins]]/ScenarioTeams0[[#This Row],[battles]],0)</f>
        <v>0.6</v>
      </c>
    </row>
    <row r="16" spans="1:16" x14ac:dyDescent="0.25">
      <c r="A16" t="s">
        <v>53</v>
      </c>
      <c r="B16" t="s">
        <v>56</v>
      </c>
      <c r="C1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6" t="s">
        <v>45</v>
      </c>
      <c r="E16" t="s">
        <v>38</v>
      </c>
      <c r="F1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">
        <f>ScenarioStat0[[#This Row],[team-1-win]]+ScenarioStat0[[#This Row],[team-2-win]]</f>
        <v>1</v>
      </c>
      <c r="I16" t="s">
        <v>48</v>
      </c>
      <c r="J16" t="s">
        <v>33</v>
      </c>
      <c r="K16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6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7</v>
      </c>
      <c r="M16" s="3">
        <f>IF(ScenarioTeams0[[#This Row],[battles]],ScenarioTeams0[[#This Row],[wins]]/ScenarioTeams0[[#This Row],[battles]],0)</f>
        <v>0.46666666666666667</v>
      </c>
    </row>
    <row r="17" spans="1:13" x14ac:dyDescent="0.25">
      <c r="A17" t="s">
        <v>53</v>
      </c>
      <c r="B17" t="s">
        <v>56</v>
      </c>
      <c r="C1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" t="s">
        <v>63</v>
      </c>
      <c r="E17" t="s">
        <v>38</v>
      </c>
      <c r="F1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">
        <f>ScenarioStat0[[#This Row],[team-1-win]]+ScenarioStat0[[#This Row],[team-2-win]]</f>
        <v>1</v>
      </c>
      <c r="I17" t="s">
        <v>48</v>
      </c>
      <c r="J17" t="s">
        <v>43</v>
      </c>
      <c r="K17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7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8</v>
      </c>
      <c r="M17" s="3">
        <f>IF(ScenarioTeams0[[#This Row],[battles]],ScenarioTeams0[[#This Row],[wins]]/ScenarioTeams0[[#This Row],[battles]],0)</f>
        <v>0.53333333333333333</v>
      </c>
    </row>
    <row r="18" spans="1:13" x14ac:dyDescent="0.25">
      <c r="A18" t="s">
        <v>53</v>
      </c>
      <c r="B18" t="s">
        <v>48</v>
      </c>
      <c r="C1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" t="s">
        <v>56</v>
      </c>
      <c r="E18" t="s">
        <v>33</v>
      </c>
      <c r="F1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">
        <f>ScenarioStat0[[#This Row],[team-1-win]]+ScenarioStat0[[#This Row],[team-2-win]]</f>
        <v>1</v>
      </c>
      <c r="I18" t="s">
        <v>48</v>
      </c>
      <c r="J18" t="s">
        <v>45</v>
      </c>
      <c r="K18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8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10</v>
      </c>
      <c r="M18" s="3">
        <f>IF(ScenarioTeams0[[#This Row],[battles]],ScenarioTeams0[[#This Row],[wins]]/ScenarioTeams0[[#This Row],[battles]],0)</f>
        <v>0.66666666666666663</v>
      </c>
    </row>
    <row r="19" spans="1:13" x14ac:dyDescent="0.25">
      <c r="A19" t="s">
        <v>53</v>
      </c>
      <c r="B19" t="s">
        <v>48</v>
      </c>
      <c r="C1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" t="s">
        <v>56</v>
      </c>
      <c r="E19" t="s">
        <v>43</v>
      </c>
      <c r="F1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">
        <f>ScenarioStat0[[#This Row],[team-1-win]]+ScenarioStat0[[#This Row],[team-2-win]]</f>
        <v>1</v>
      </c>
      <c r="I19" t="s">
        <v>48</v>
      </c>
      <c r="J19" t="s">
        <v>63</v>
      </c>
      <c r="K19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9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2</v>
      </c>
      <c r="M19" s="3">
        <f>IF(ScenarioTeams0[[#This Row],[battles]],ScenarioTeams0[[#This Row],[wins]]/ScenarioTeams0[[#This Row],[battles]],0)</f>
        <v>0.13333333333333333</v>
      </c>
    </row>
    <row r="20" spans="1:13" x14ac:dyDescent="0.25">
      <c r="A20" t="s">
        <v>53</v>
      </c>
      <c r="B20" t="s">
        <v>48</v>
      </c>
      <c r="C2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" t="s">
        <v>56</v>
      </c>
      <c r="E20" t="s">
        <v>45</v>
      </c>
      <c r="F2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">
        <f>ScenarioStat0[[#This Row],[team-1-win]]+ScenarioStat0[[#This Row],[team-2-win]]</f>
        <v>1</v>
      </c>
      <c r="I20" t="s">
        <v>48</v>
      </c>
      <c r="J20" t="s">
        <v>38</v>
      </c>
      <c r="K20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0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6</v>
      </c>
      <c r="M20" s="3">
        <f>IF(ScenarioTeams0[[#This Row],[battles]],ScenarioTeams0[[#This Row],[wins]]/ScenarioTeams0[[#This Row],[battles]],0)</f>
        <v>0.4</v>
      </c>
    </row>
    <row r="21" spans="1:13" x14ac:dyDescent="0.25">
      <c r="A21" t="s">
        <v>53</v>
      </c>
      <c r="B21" t="s">
        <v>48</v>
      </c>
      <c r="C2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1" t="s">
        <v>56</v>
      </c>
      <c r="E21" t="s">
        <v>63</v>
      </c>
      <c r="F2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1">
        <f>ScenarioStat0[[#This Row],[team-1-win]]+ScenarioStat0[[#This Row],[team-2-win]]</f>
        <v>1</v>
      </c>
      <c r="I21" t="s">
        <v>33</v>
      </c>
      <c r="J21" t="s">
        <v>43</v>
      </c>
      <c r="K21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1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8</v>
      </c>
      <c r="M21" s="3">
        <f>IF(ScenarioTeams0[[#This Row],[battles]],ScenarioTeams0[[#This Row],[wins]]/ScenarioTeams0[[#This Row],[battles]],0)</f>
        <v>0.53333333333333333</v>
      </c>
    </row>
    <row r="22" spans="1:13" x14ac:dyDescent="0.25">
      <c r="A22" t="s">
        <v>53</v>
      </c>
      <c r="B22" t="s">
        <v>48</v>
      </c>
      <c r="C2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2" t="s">
        <v>56</v>
      </c>
      <c r="E22" t="s">
        <v>38</v>
      </c>
      <c r="F2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2">
        <f>ScenarioStat0[[#This Row],[team-1-win]]+ScenarioStat0[[#This Row],[team-2-win]]</f>
        <v>1</v>
      </c>
      <c r="I22" t="s">
        <v>33</v>
      </c>
      <c r="J22" t="s">
        <v>45</v>
      </c>
      <c r="K22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2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8</v>
      </c>
      <c r="M22" s="3">
        <f>IF(ScenarioTeams0[[#This Row],[battles]],ScenarioTeams0[[#This Row],[wins]]/ScenarioTeams0[[#This Row],[battles]],0)</f>
        <v>0.53333333333333333</v>
      </c>
    </row>
    <row r="23" spans="1:13" x14ac:dyDescent="0.25">
      <c r="A23" t="s">
        <v>53</v>
      </c>
      <c r="B23" t="s">
        <v>48</v>
      </c>
      <c r="C2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3" t="s">
        <v>33</v>
      </c>
      <c r="E23" t="s">
        <v>43</v>
      </c>
      <c r="F2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3">
        <f>ScenarioStat0[[#This Row],[team-1-win]]+ScenarioStat0[[#This Row],[team-2-win]]</f>
        <v>1</v>
      </c>
      <c r="I23" t="s">
        <v>33</v>
      </c>
      <c r="J23" t="s">
        <v>63</v>
      </c>
      <c r="K23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3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11</v>
      </c>
      <c r="M23" s="3">
        <f>IF(ScenarioTeams0[[#This Row],[battles]],ScenarioTeams0[[#This Row],[wins]]/ScenarioTeams0[[#This Row],[battles]],0)</f>
        <v>0.73333333333333328</v>
      </c>
    </row>
    <row r="24" spans="1:13" x14ac:dyDescent="0.25">
      <c r="A24" t="s">
        <v>53</v>
      </c>
      <c r="B24" t="s">
        <v>48</v>
      </c>
      <c r="C2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4" t="s">
        <v>33</v>
      </c>
      <c r="E24" t="s">
        <v>45</v>
      </c>
      <c r="F2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4">
        <f>ScenarioStat0[[#This Row],[team-1-win]]+ScenarioStat0[[#This Row],[team-2-win]]</f>
        <v>1</v>
      </c>
      <c r="I24" t="s">
        <v>33</v>
      </c>
      <c r="J24" t="s">
        <v>38</v>
      </c>
      <c r="K24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4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12</v>
      </c>
      <c r="M24" s="3">
        <f>IF(ScenarioTeams0[[#This Row],[battles]],ScenarioTeams0[[#This Row],[wins]]/ScenarioTeams0[[#This Row],[battles]],0)</f>
        <v>0.8</v>
      </c>
    </row>
    <row r="25" spans="1:13" x14ac:dyDescent="0.25">
      <c r="A25" t="s">
        <v>53</v>
      </c>
      <c r="B25" t="s">
        <v>48</v>
      </c>
      <c r="C2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5" t="s">
        <v>33</v>
      </c>
      <c r="E25" t="s">
        <v>63</v>
      </c>
      <c r="F2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5">
        <f>ScenarioStat0[[#This Row],[team-1-win]]+ScenarioStat0[[#This Row],[team-2-win]]</f>
        <v>1</v>
      </c>
      <c r="I25" t="s">
        <v>43</v>
      </c>
      <c r="J25" t="s">
        <v>45</v>
      </c>
      <c r="K25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5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12</v>
      </c>
      <c r="M25" s="3">
        <f>IF(ScenarioTeams0[[#This Row],[battles]],ScenarioTeams0[[#This Row],[wins]]/ScenarioTeams0[[#This Row],[battles]],0)</f>
        <v>0.8</v>
      </c>
    </row>
    <row r="26" spans="1:13" x14ac:dyDescent="0.25">
      <c r="A26" t="s">
        <v>53</v>
      </c>
      <c r="B26" t="s">
        <v>48</v>
      </c>
      <c r="C2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6" t="s">
        <v>33</v>
      </c>
      <c r="E26" t="s">
        <v>38</v>
      </c>
      <c r="F2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6">
        <f>ScenarioStat0[[#This Row],[team-1-win]]+ScenarioStat0[[#This Row],[team-2-win]]</f>
        <v>1</v>
      </c>
      <c r="I26" t="s">
        <v>43</v>
      </c>
      <c r="J26" t="s">
        <v>63</v>
      </c>
      <c r="K26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6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8</v>
      </c>
      <c r="M26" s="3">
        <f>IF(ScenarioTeams0[[#This Row],[battles]],ScenarioTeams0[[#This Row],[wins]]/ScenarioTeams0[[#This Row],[battles]],0)</f>
        <v>0.53333333333333333</v>
      </c>
    </row>
    <row r="27" spans="1:13" x14ac:dyDescent="0.25">
      <c r="A27" t="s">
        <v>53</v>
      </c>
      <c r="B27" t="s">
        <v>48</v>
      </c>
      <c r="C2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7" t="s">
        <v>43</v>
      </c>
      <c r="E27" t="s">
        <v>45</v>
      </c>
      <c r="F2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7">
        <f>ScenarioStat0[[#This Row],[team-1-win]]+ScenarioStat0[[#This Row],[team-2-win]]</f>
        <v>1</v>
      </c>
      <c r="I27" t="s">
        <v>43</v>
      </c>
      <c r="J27" t="s">
        <v>38</v>
      </c>
      <c r="K27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7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12</v>
      </c>
      <c r="M27" s="3">
        <f>IF(ScenarioTeams0[[#This Row],[battles]],ScenarioTeams0[[#This Row],[wins]]/ScenarioTeams0[[#This Row],[battles]],0)</f>
        <v>0.8</v>
      </c>
    </row>
    <row r="28" spans="1:13" x14ac:dyDescent="0.25">
      <c r="A28" t="s">
        <v>53</v>
      </c>
      <c r="B28" t="s">
        <v>48</v>
      </c>
      <c r="C2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8" t="s">
        <v>43</v>
      </c>
      <c r="E28" t="s">
        <v>63</v>
      </c>
      <c r="F2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8">
        <f>ScenarioStat0[[#This Row],[team-1-win]]+ScenarioStat0[[#This Row],[team-2-win]]</f>
        <v>1</v>
      </c>
      <c r="I28" t="s">
        <v>45</v>
      </c>
      <c r="J28" t="s">
        <v>63</v>
      </c>
      <c r="K28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8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8</v>
      </c>
      <c r="M28" s="3">
        <f>IF(ScenarioTeams0[[#This Row],[battles]],ScenarioTeams0[[#This Row],[wins]]/ScenarioTeams0[[#This Row],[battles]],0)</f>
        <v>0.53333333333333333</v>
      </c>
    </row>
    <row r="29" spans="1:13" x14ac:dyDescent="0.25">
      <c r="A29" t="s">
        <v>53</v>
      </c>
      <c r="B29" t="s">
        <v>48</v>
      </c>
      <c r="C2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9" t="s">
        <v>43</v>
      </c>
      <c r="E29" t="s">
        <v>38</v>
      </c>
      <c r="F2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9">
        <f>ScenarioStat0[[#This Row],[team-1-win]]+ScenarioStat0[[#This Row],[team-2-win]]</f>
        <v>1</v>
      </c>
      <c r="I29" t="s">
        <v>45</v>
      </c>
      <c r="J29" t="s">
        <v>38</v>
      </c>
      <c r="K29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9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10</v>
      </c>
      <c r="M29" s="3">
        <f>IF(ScenarioTeams0[[#This Row],[battles]],ScenarioTeams0[[#This Row],[wins]]/ScenarioTeams0[[#This Row],[battles]],0)</f>
        <v>0.66666666666666663</v>
      </c>
    </row>
    <row r="30" spans="1:13" x14ac:dyDescent="0.25">
      <c r="A30" t="s">
        <v>53</v>
      </c>
      <c r="B30" t="s">
        <v>48</v>
      </c>
      <c r="C3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0" t="s">
        <v>45</v>
      </c>
      <c r="E30" t="s">
        <v>63</v>
      </c>
      <c r="F3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0">
        <f>ScenarioStat0[[#This Row],[team-1-win]]+ScenarioStat0[[#This Row],[team-2-win]]</f>
        <v>1</v>
      </c>
      <c r="I30" t="s">
        <v>63</v>
      </c>
      <c r="J30" t="s">
        <v>38</v>
      </c>
      <c r="K30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30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8</v>
      </c>
      <c r="M30" s="3">
        <f>IF(ScenarioTeams0[[#This Row],[battles]],ScenarioTeams0[[#This Row],[wins]]/ScenarioTeams0[[#This Row],[battles]],0)</f>
        <v>0.53333333333333333</v>
      </c>
    </row>
    <row r="31" spans="1:13" x14ac:dyDescent="0.25">
      <c r="A31" t="s">
        <v>53</v>
      </c>
      <c r="B31" t="s">
        <v>48</v>
      </c>
      <c r="C3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1" t="s">
        <v>45</v>
      </c>
      <c r="E31" t="s">
        <v>38</v>
      </c>
      <c r="F3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1">
        <f>ScenarioStat0[[#This Row],[team-1-win]]+ScenarioStat0[[#This Row],[team-2-win]]</f>
        <v>1</v>
      </c>
    </row>
    <row r="32" spans="1:13" x14ac:dyDescent="0.25">
      <c r="A32" t="s">
        <v>53</v>
      </c>
      <c r="B32" t="s">
        <v>48</v>
      </c>
      <c r="C3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2" t="s">
        <v>63</v>
      </c>
      <c r="E32" t="s">
        <v>38</v>
      </c>
      <c r="F3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2">
        <f>ScenarioStat0[[#This Row],[team-1-win]]+ScenarioStat0[[#This Row],[team-2-win]]</f>
        <v>1</v>
      </c>
    </row>
    <row r="33" spans="1:7" x14ac:dyDescent="0.25">
      <c r="A33" t="s">
        <v>53</v>
      </c>
      <c r="B33" t="s">
        <v>33</v>
      </c>
      <c r="C3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3" t="s">
        <v>56</v>
      </c>
      <c r="E33" t="s">
        <v>48</v>
      </c>
      <c r="F3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3">
        <f>ScenarioStat0[[#This Row],[team-1-win]]+ScenarioStat0[[#This Row],[team-2-win]]</f>
        <v>1</v>
      </c>
    </row>
    <row r="34" spans="1:7" x14ac:dyDescent="0.25">
      <c r="A34" t="s">
        <v>53</v>
      </c>
      <c r="B34" t="s">
        <v>33</v>
      </c>
      <c r="C3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4" t="s">
        <v>56</v>
      </c>
      <c r="E34" t="s">
        <v>43</v>
      </c>
      <c r="F3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4">
        <f>ScenarioStat0[[#This Row],[team-1-win]]+ScenarioStat0[[#This Row],[team-2-win]]</f>
        <v>1</v>
      </c>
    </row>
    <row r="35" spans="1:7" x14ac:dyDescent="0.25">
      <c r="A35" t="s">
        <v>53</v>
      </c>
      <c r="B35" t="s">
        <v>33</v>
      </c>
      <c r="C3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5" t="s">
        <v>56</v>
      </c>
      <c r="E35" t="s">
        <v>45</v>
      </c>
      <c r="F3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5">
        <f>ScenarioStat0[[#This Row],[team-1-win]]+ScenarioStat0[[#This Row],[team-2-win]]</f>
        <v>1</v>
      </c>
    </row>
    <row r="36" spans="1:7" x14ac:dyDescent="0.25">
      <c r="A36" t="s">
        <v>53</v>
      </c>
      <c r="B36" t="s">
        <v>33</v>
      </c>
      <c r="C3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6" t="s">
        <v>56</v>
      </c>
      <c r="E36" t="s">
        <v>63</v>
      </c>
      <c r="F3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6">
        <f>ScenarioStat0[[#This Row],[team-1-win]]+ScenarioStat0[[#This Row],[team-2-win]]</f>
        <v>1</v>
      </c>
    </row>
    <row r="37" spans="1:7" x14ac:dyDescent="0.25">
      <c r="A37" t="s">
        <v>53</v>
      </c>
      <c r="B37" t="s">
        <v>33</v>
      </c>
      <c r="C3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7" t="s">
        <v>56</v>
      </c>
      <c r="E37" t="s">
        <v>38</v>
      </c>
      <c r="F3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7">
        <f>ScenarioStat0[[#This Row],[team-1-win]]+ScenarioStat0[[#This Row],[team-2-win]]</f>
        <v>1</v>
      </c>
    </row>
    <row r="38" spans="1:7" x14ac:dyDescent="0.25">
      <c r="A38" t="s">
        <v>53</v>
      </c>
      <c r="B38" t="s">
        <v>33</v>
      </c>
      <c r="C3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8" t="s">
        <v>48</v>
      </c>
      <c r="E38" t="s">
        <v>43</v>
      </c>
      <c r="F3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8">
        <f>ScenarioStat0[[#This Row],[team-1-win]]+ScenarioStat0[[#This Row],[team-2-win]]</f>
        <v>1</v>
      </c>
    </row>
    <row r="39" spans="1:7" x14ac:dyDescent="0.25">
      <c r="A39" t="s">
        <v>53</v>
      </c>
      <c r="B39" t="s">
        <v>33</v>
      </c>
      <c r="C3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9" t="s">
        <v>48</v>
      </c>
      <c r="E39" t="s">
        <v>45</v>
      </c>
      <c r="F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9">
        <f>ScenarioStat0[[#This Row],[team-1-win]]+ScenarioStat0[[#This Row],[team-2-win]]</f>
        <v>1</v>
      </c>
    </row>
    <row r="40" spans="1:7" x14ac:dyDescent="0.25">
      <c r="A40" t="s">
        <v>53</v>
      </c>
      <c r="B40" t="s">
        <v>33</v>
      </c>
      <c r="C4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40" t="s">
        <v>48</v>
      </c>
      <c r="E40" t="s">
        <v>63</v>
      </c>
      <c r="F4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0">
        <f>ScenarioStat0[[#This Row],[team-1-win]]+ScenarioStat0[[#This Row],[team-2-win]]</f>
        <v>1</v>
      </c>
    </row>
    <row r="41" spans="1:7" x14ac:dyDescent="0.25">
      <c r="A41" t="s">
        <v>53</v>
      </c>
      <c r="B41" t="s">
        <v>33</v>
      </c>
      <c r="C4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41" t="s">
        <v>48</v>
      </c>
      <c r="E41" t="s">
        <v>38</v>
      </c>
      <c r="F4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1">
        <f>ScenarioStat0[[#This Row],[team-1-win]]+ScenarioStat0[[#This Row],[team-2-win]]</f>
        <v>1</v>
      </c>
    </row>
    <row r="42" spans="1:7" x14ac:dyDescent="0.25">
      <c r="A42" t="s">
        <v>53</v>
      </c>
      <c r="B42" t="s">
        <v>33</v>
      </c>
      <c r="C4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2" t="s">
        <v>43</v>
      </c>
      <c r="E42" t="s">
        <v>45</v>
      </c>
      <c r="F4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2">
        <f>ScenarioStat0[[#This Row],[team-1-win]]+ScenarioStat0[[#This Row],[team-2-win]]</f>
        <v>1</v>
      </c>
    </row>
    <row r="43" spans="1:7" x14ac:dyDescent="0.25">
      <c r="A43" t="s">
        <v>53</v>
      </c>
      <c r="B43" t="s">
        <v>33</v>
      </c>
      <c r="C4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43" t="s">
        <v>43</v>
      </c>
      <c r="E43" t="s">
        <v>63</v>
      </c>
      <c r="F4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3">
        <f>ScenarioStat0[[#This Row],[team-1-win]]+ScenarioStat0[[#This Row],[team-2-win]]</f>
        <v>1</v>
      </c>
    </row>
    <row r="44" spans="1:7" x14ac:dyDescent="0.25">
      <c r="A44" t="s">
        <v>53</v>
      </c>
      <c r="B44" t="s">
        <v>33</v>
      </c>
      <c r="C4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44" t="s">
        <v>43</v>
      </c>
      <c r="E44" t="s">
        <v>38</v>
      </c>
      <c r="F4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4">
        <f>ScenarioStat0[[#This Row],[team-1-win]]+ScenarioStat0[[#This Row],[team-2-win]]</f>
        <v>1</v>
      </c>
    </row>
    <row r="45" spans="1:7" x14ac:dyDescent="0.25">
      <c r="A45" t="s">
        <v>53</v>
      </c>
      <c r="B45" t="s">
        <v>33</v>
      </c>
      <c r="C4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5" t="s">
        <v>45</v>
      </c>
      <c r="E45" t="s">
        <v>63</v>
      </c>
      <c r="F4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5">
        <f>ScenarioStat0[[#This Row],[team-1-win]]+ScenarioStat0[[#This Row],[team-2-win]]</f>
        <v>1</v>
      </c>
    </row>
    <row r="46" spans="1:7" x14ac:dyDescent="0.25">
      <c r="A46" t="s">
        <v>53</v>
      </c>
      <c r="B46" t="s">
        <v>33</v>
      </c>
      <c r="C4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6" t="s">
        <v>45</v>
      </c>
      <c r="E46" t="s">
        <v>38</v>
      </c>
      <c r="F4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6">
        <f>ScenarioStat0[[#This Row],[team-1-win]]+ScenarioStat0[[#This Row],[team-2-win]]</f>
        <v>1</v>
      </c>
    </row>
    <row r="47" spans="1:7" x14ac:dyDescent="0.25">
      <c r="A47" t="s">
        <v>53</v>
      </c>
      <c r="B47" t="s">
        <v>33</v>
      </c>
      <c r="C4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7" t="s">
        <v>63</v>
      </c>
      <c r="E47" t="s">
        <v>38</v>
      </c>
      <c r="F4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7">
        <f>ScenarioStat0[[#This Row],[team-1-win]]+ScenarioStat0[[#This Row],[team-2-win]]</f>
        <v>1</v>
      </c>
    </row>
    <row r="48" spans="1:7" x14ac:dyDescent="0.25">
      <c r="A48" t="s">
        <v>53</v>
      </c>
      <c r="B48" t="s">
        <v>43</v>
      </c>
      <c r="C4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8" t="s">
        <v>56</v>
      </c>
      <c r="E48" t="s">
        <v>48</v>
      </c>
      <c r="F4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8">
        <f>ScenarioStat0[[#This Row],[team-1-win]]+ScenarioStat0[[#This Row],[team-2-win]]</f>
        <v>1</v>
      </c>
    </row>
    <row r="49" spans="1:7" x14ac:dyDescent="0.25">
      <c r="A49" t="s">
        <v>53</v>
      </c>
      <c r="B49" t="s">
        <v>43</v>
      </c>
      <c r="C4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49" t="s">
        <v>56</v>
      </c>
      <c r="E49" t="s">
        <v>33</v>
      </c>
      <c r="F4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9">
        <f>ScenarioStat0[[#This Row],[team-1-win]]+ScenarioStat0[[#This Row],[team-2-win]]</f>
        <v>1</v>
      </c>
    </row>
    <row r="50" spans="1:7" x14ac:dyDescent="0.25">
      <c r="A50" t="s">
        <v>53</v>
      </c>
      <c r="B50" t="s">
        <v>43</v>
      </c>
      <c r="C5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50" t="s">
        <v>56</v>
      </c>
      <c r="E50" t="s">
        <v>45</v>
      </c>
      <c r="F5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0">
        <f>ScenarioStat0[[#This Row],[team-1-win]]+ScenarioStat0[[#This Row],[team-2-win]]</f>
        <v>1</v>
      </c>
    </row>
    <row r="51" spans="1:7" x14ac:dyDescent="0.25">
      <c r="A51" t="s">
        <v>53</v>
      </c>
      <c r="B51" t="s">
        <v>43</v>
      </c>
      <c r="C5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51" t="s">
        <v>56</v>
      </c>
      <c r="E51" t="s">
        <v>63</v>
      </c>
      <c r="F5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1">
        <f>ScenarioStat0[[#This Row],[team-1-win]]+ScenarioStat0[[#This Row],[team-2-win]]</f>
        <v>1</v>
      </c>
    </row>
    <row r="52" spans="1:7" x14ac:dyDescent="0.25">
      <c r="A52" t="s">
        <v>53</v>
      </c>
      <c r="B52" t="s">
        <v>43</v>
      </c>
      <c r="C5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52" t="s">
        <v>56</v>
      </c>
      <c r="E52" t="s">
        <v>38</v>
      </c>
      <c r="F5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2">
        <f>ScenarioStat0[[#This Row],[team-1-win]]+ScenarioStat0[[#This Row],[team-2-win]]</f>
        <v>1</v>
      </c>
    </row>
    <row r="53" spans="1:7" x14ac:dyDescent="0.25">
      <c r="A53" t="s">
        <v>53</v>
      </c>
      <c r="B53" t="s">
        <v>43</v>
      </c>
      <c r="C5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3" t="s">
        <v>48</v>
      </c>
      <c r="E53" t="s">
        <v>33</v>
      </c>
      <c r="F5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53">
        <f>ScenarioStat0[[#This Row],[team-1-win]]+ScenarioStat0[[#This Row],[team-2-win]]</f>
        <v>1</v>
      </c>
    </row>
    <row r="54" spans="1:7" x14ac:dyDescent="0.25">
      <c r="A54" t="s">
        <v>53</v>
      </c>
      <c r="B54" t="s">
        <v>43</v>
      </c>
      <c r="C5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54" t="s">
        <v>48</v>
      </c>
      <c r="E54" t="s">
        <v>45</v>
      </c>
      <c r="F5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4">
        <f>ScenarioStat0[[#This Row],[team-1-win]]+ScenarioStat0[[#This Row],[team-2-win]]</f>
        <v>1</v>
      </c>
    </row>
    <row r="55" spans="1:7" x14ac:dyDescent="0.25">
      <c r="A55" t="s">
        <v>53</v>
      </c>
      <c r="B55" t="s">
        <v>43</v>
      </c>
      <c r="C5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55" t="s">
        <v>48</v>
      </c>
      <c r="E55" t="s">
        <v>63</v>
      </c>
      <c r="F5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5">
        <f>ScenarioStat0[[#This Row],[team-1-win]]+ScenarioStat0[[#This Row],[team-2-win]]</f>
        <v>1</v>
      </c>
    </row>
    <row r="56" spans="1:7" x14ac:dyDescent="0.25">
      <c r="A56" t="s">
        <v>53</v>
      </c>
      <c r="B56" t="s">
        <v>43</v>
      </c>
      <c r="C5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56" t="s">
        <v>48</v>
      </c>
      <c r="E56" t="s">
        <v>38</v>
      </c>
      <c r="F5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6">
        <f>ScenarioStat0[[#This Row],[team-1-win]]+ScenarioStat0[[#This Row],[team-2-win]]</f>
        <v>1</v>
      </c>
    </row>
    <row r="57" spans="1:7" x14ac:dyDescent="0.25">
      <c r="A57" t="s">
        <v>53</v>
      </c>
      <c r="B57" t="s">
        <v>43</v>
      </c>
      <c r="C5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7" t="s">
        <v>33</v>
      </c>
      <c r="E57" t="s">
        <v>45</v>
      </c>
      <c r="F5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57">
        <f>ScenarioStat0[[#This Row],[team-1-win]]+ScenarioStat0[[#This Row],[team-2-win]]</f>
        <v>1</v>
      </c>
    </row>
    <row r="58" spans="1:7" x14ac:dyDescent="0.25">
      <c r="A58" t="s">
        <v>53</v>
      </c>
      <c r="B58" t="s">
        <v>43</v>
      </c>
      <c r="C5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8" t="s">
        <v>33</v>
      </c>
      <c r="E58" t="s">
        <v>63</v>
      </c>
      <c r="F5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58">
        <f>ScenarioStat0[[#This Row],[team-1-win]]+ScenarioStat0[[#This Row],[team-2-win]]</f>
        <v>1</v>
      </c>
    </row>
    <row r="59" spans="1:7" x14ac:dyDescent="0.25">
      <c r="A59" t="s">
        <v>53</v>
      </c>
      <c r="B59" t="s">
        <v>43</v>
      </c>
      <c r="C5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9" t="s">
        <v>33</v>
      </c>
      <c r="E59" t="s">
        <v>38</v>
      </c>
      <c r="F5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59">
        <f>ScenarioStat0[[#This Row],[team-1-win]]+ScenarioStat0[[#This Row],[team-2-win]]</f>
        <v>1</v>
      </c>
    </row>
    <row r="60" spans="1:7" x14ac:dyDescent="0.25">
      <c r="A60" t="s">
        <v>53</v>
      </c>
      <c r="B60" t="s">
        <v>43</v>
      </c>
      <c r="C6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0" t="s">
        <v>45</v>
      </c>
      <c r="E60" t="s">
        <v>63</v>
      </c>
      <c r="F6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60">
        <f>ScenarioStat0[[#This Row],[team-1-win]]+ScenarioStat0[[#This Row],[team-2-win]]</f>
        <v>1</v>
      </c>
    </row>
    <row r="61" spans="1:7" x14ac:dyDescent="0.25">
      <c r="A61" t="s">
        <v>53</v>
      </c>
      <c r="B61" t="s">
        <v>43</v>
      </c>
      <c r="C6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1" t="s">
        <v>45</v>
      </c>
      <c r="E61" t="s">
        <v>38</v>
      </c>
      <c r="F6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61">
        <f>ScenarioStat0[[#This Row],[team-1-win]]+ScenarioStat0[[#This Row],[team-2-win]]</f>
        <v>1</v>
      </c>
    </row>
    <row r="62" spans="1:7" x14ac:dyDescent="0.25">
      <c r="A62" t="s">
        <v>53</v>
      </c>
      <c r="B62" t="s">
        <v>43</v>
      </c>
      <c r="C6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2" t="s">
        <v>63</v>
      </c>
      <c r="E62" t="s">
        <v>38</v>
      </c>
      <c r="F6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2">
        <f>ScenarioStat0[[#This Row],[team-1-win]]+ScenarioStat0[[#This Row],[team-2-win]]</f>
        <v>1</v>
      </c>
    </row>
    <row r="63" spans="1:7" x14ac:dyDescent="0.25">
      <c r="A63" t="s">
        <v>53</v>
      </c>
      <c r="B63" t="s">
        <v>45</v>
      </c>
      <c r="C6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3" t="s">
        <v>56</v>
      </c>
      <c r="E63" t="s">
        <v>48</v>
      </c>
      <c r="F6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63">
        <f>ScenarioStat0[[#This Row],[team-1-win]]+ScenarioStat0[[#This Row],[team-2-win]]</f>
        <v>1</v>
      </c>
    </row>
    <row r="64" spans="1:7" x14ac:dyDescent="0.25">
      <c r="A64" t="s">
        <v>53</v>
      </c>
      <c r="B64" t="s">
        <v>45</v>
      </c>
      <c r="C6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4" t="s">
        <v>56</v>
      </c>
      <c r="E64" t="s">
        <v>33</v>
      </c>
      <c r="F6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4">
        <f>ScenarioStat0[[#This Row],[team-1-win]]+ScenarioStat0[[#This Row],[team-2-win]]</f>
        <v>1</v>
      </c>
    </row>
    <row r="65" spans="1:7" x14ac:dyDescent="0.25">
      <c r="A65" t="s">
        <v>53</v>
      </c>
      <c r="B65" t="s">
        <v>45</v>
      </c>
      <c r="C6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5" t="s">
        <v>56</v>
      </c>
      <c r="E65" t="s">
        <v>43</v>
      </c>
      <c r="F6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65">
        <f>ScenarioStat0[[#This Row],[team-1-win]]+ScenarioStat0[[#This Row],[team-2-win]]</f>
        <v>1</v>
      </c>
    </row>
    <row r="66" spans="1:7" x14ac:dyDescent="0.25">
      <c r="A66" t="s">
        <v>53</v>
      </c>
      <c r="B66" t="s">
        <v>45</v>
      </c>
      <c r="C6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6" t="s">
        <v>56</v>
      </c>
      <c r="E66" t="s">
        <v>63</v>
      </c>
      <c r="F6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6">
        <f>ScenarioStat0[[#This Row],[team-1-win]]+ScenarioStat0[[#This Row],[team-2-win]]</f>
        <v>1</v>
      </c>
    </row>
    <row r="67" spans="1:7" x14ac:dyDescent="0.25">
      <c r="A67" t="s">
        <v>53</v>
      </c>
      <c r="B67" t="s">
        <v>45</v>
      </c>
      <c r="C6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7" t="s">
        <v>56</v>
      </c>
      <c r="E67" t="s">
        <v>38</v>
      </c>
      <c r="F6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7">
        <f>ScenarioStat0[[#This Row],[team-1-win]]+ScenarioStat0[[#This Row],[team-2-win]]</f>
        <v>1</v>
      </c>
    </row>
    <row r="68" spans="1:7" x14ac:dyDescent="0.25">
      <c r="A68" t="s">
        <v>53</v>
      </c>
      <c r="B68" t="s">
        <v>45</v>
      </c>
      <c r="C6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8" t="s">
        <v>48</v>
      </c>
      <c r="E68" t="s">
        <v>33</v>
      </c>
      <c r="F6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8">
        <f>ScenarioStat0[[#This Row],[team-1-win]]+ScenarioStat0[[#This Row],[team-2-win]]</f>
        <v>1</v>
      </c>
    </row>
    <row r="69" spans="1:7" x14ac:dyDescent="0.25">
      <c r="A69" t="s">
        <v>53</v>
      </c>
      <c r="B69" t="s">
        <v>45</v>
      </c>
      <c r="C6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9" t="s">
        <v>48</v>
      </c>
      <c r="E69" t="s">
        <v>43</v>
      </c>
      <c r="F6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9">
        <f>ScenarioStat0[[#This Row],[team-1-win]]+ScenarioStat0[[#This Row],[team-2-win]]</f>
        <v>1</v>
      </c>
    </row>
    <row r="70" spans="1:7" x14ac:dyDescent="0.25">
      <c r="A70" t="s">
        <v>53</v>
      </c>
      <c r="B70" t="s">
        <v>45</v>
      </c>
      <c r="C7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70" t="s">
        <v>48</v>
      </c>
      <c r="E70" t="s">
        <v>63</v>
      </c>
      <c r="F7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0">
        <f>ScenarioStat0[[#This Row],[team-1-win]]+ScenarioStat0[[#This Row],[team-2-win]]</f>
        <v>1</v>
      </c>
    </row>
    <row r="71" spans="1:7" x14ac:dyDescent="0.25">
      <c r="A71" t="s">
        <v>53</v>
      </c>
      <c r="B71" t="s">
        <v>45</v>
      </c>
      <c r="C7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1" t="s">
        <v>48</v>
      </c>
      <c r="E71" t="s">
        <v>38</v>
      </c>
      <c r="F7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71">
        <f>ScenarioStat0[[#This Row],[team-1-win]]+ScenarioStat0[[#This Row],[team-2-win]]</f>
        <v>1</v>
      </c>
    </row>
    <row r="72" spans="1:7" x14ac:dyDescent="0.25">
      <c r="A72" t="s">
        <v>53</v>
      </c>
      <c r="B72" t="s">
        <v>45</v>
      </c>
      <c r="C7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72" t="s">
        <v>33</v>
      </c>
      <c r="E72" t="s">
        <v>43</v>
      </c>
      <c r="F7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2">
        <f>ScenarioStat0[[#This Row],[team-1-win]]+ScenarioStat0[[#This Row],[team-2-win]]</f>
        <v>1</v>
      </c>
    </row>
    <row r="73" spans="1:7" x14ac:dyDescent="0.25">
      <c r="A73" t="s">
        <v>53</v>
      </c>
      <c r="B73" t="s">
        <v>45</v>
      </c>
      <c r="C7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73" t="s">
        <v>33</v>
      </c>
      <c r="E73" t="s">
        <v>63</v>
      </c>
      <c r="F7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3">
        <f>ScenarioStat0[[#This Row],[team-1-win]]+ScenarioStat0[[#This Row],[team-2-win]]</f>
        <v>1</v>
      </c>
    </row>
    <row r="74" spans="1:7" x14ac:dyDescent="0.25">
      <c r="A74" t="s">
        <v>53</v>
      </c>
      <c r="B74" t="s">
        <v>45</v>
      </c>
      <c r="C7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74" t="s">
        <v>33</v>
      </c>
      <c r="E74" t="s">
        <v>38</v>
      </c>
      <c r="F7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4">
        <f>ScenarioStat0[[#This Row],[team-1-win]]+ScenarioStat0[[#This Row],[team-2-win]]</f>
        <v>1</v>
      </c>
    </row>
    <row r="75" spans="1:7" x14ac:dyDescent="0.25">
      <c r="A75" t="s">
        <v>53</v>
      </c>
      <c r="B75" t="s">
        <v>45</v>
      </c>
      <c r="C7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75" t="s">
        <v>43</v>
      </c>
      <c r="E75" t="s">
        <v>63</v>
      </c>
      <c r="F7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5">
        <f>ScenarioStat0[[#This Row],[team-1-win]]+ScenarioStat0[[#This Row],[team-2-win]]</f>
        <v>1</v>
      </c>
    </row>
    <row r="76" spans="1:7" x14ac:dyDescent="0.25">
      <c r="A76" t="s">
        <v>53</v>
      </c>
      <c r="B76" t="s">
        <v>45</v>
      </c>
      <c r="C7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6" t="s">
        <v>43</v>
      </c>
      <c r="E76" t="s">
        <v>38</v>
      </c>
      <c r="F7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76">
        <f>ScenarioStat0[[#This Row],[team-1-win]]+ScenarioStat0[[#This Row],[team-2-win]]</f>
        <v>1</v>
      </c>
    </row>
    <row r="77" spans="1:7" x14ac:dyDescent="0.25">
      <c r="A77" t="s">
        <v>53</v>
      </c>
      <c r="B77" t="s">
        <v>45</v>
      </c>
      <c r="C7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7" t="s">
        <v>63</v>
      </c>
      <c r="E77" t="s">
        <v>38</v>
      </c>
      <c r="F7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77">
        <f>ScenarioStat0[[#This Row],[team-1-win]]+ScenarioStat0[[#This Row],[team-2-win]]</f>
        <v>1</v>
      </c>
    </row>
    <row r="78" spans="1:7" x14ac:dyDescent="0.25">
      <c r="A78" t="s">
        <v>53</v>
      </c>
      <c r="B78" t="s">
        <v>63</v>
      </c>
      <c r="C7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78" t="s">
        <v>56</v>
      </c>
      <c r="E78" t="s">
        <v>48</v>
      </c>
      <c r="F7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8">
        <f>ScenarioStat0[[#This Row],[team-1-win]]+ScenarioStat0[[#This Row],[team-2-win]]</f>
        <v>1</v>
      </c>
    </row>
    <row r="79" spans="1:7" x14ac:dyDescent="0.25">
      <c r="A79" t="s">
        <v>53</v>
      </c>
      <c r="B79" t="s">
        <v>63</v>
      </c>
      <c r="C7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9" t="s">
        <v>56</v>
      </c>
      <c r="E79" t="s">
        <v>33</v>
      </c>
      <c r="F7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79">
        <f>ScenarioStat0[[#This Row],[team-1-win]]+ScenarioStat0[[#This Row],[team-2-win]]</f>
        <v>1</v>
      </c>
    </row>
    <row r="80" spans="1:7" x14ac:dyDescent="0.25">
      <c r="A80" t="s">
        <v>53</v>
      </c>
      <c r="B80" t="s">
        <v>63</v>
      </c>
      <c r="C8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0" t="s">
        <v>56</v>
      </c>
      <c r="E80" t="s">
        <v>43</v>
      </c>
      <c r="F8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0">
        <f>ScenarioStat0[[#This Row],[team-1-win]]+ScenarioStat0[[#This Row],[team-2-win]]</f>
        <v>1</v>
      </c>
    </row>
    <row r="81" spans="1:7" x14ac:dyDescent="0.25">
      <c r="A81" t="s">
        <v>53</v>
      </c>
      <c r="B81" t="s">
        <v>63</v>
      </c>
      <c r="C8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81" t="s">
        <v>56</v>
      </c>
      <c r="E81" t="s">
        <v>45</v>
      </c>
      <c r="F8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1">
        <f>ScenarioStat0[[#This Row],[team-1-win]]+ScenarioStat0[[#This Row],[team-2-win]]</f>
        <v>1</v>
      </c>
    </row>
    <row r="82" spans="1:7" x14ac:dyDescent="0.25">
      <c r="A82" t="s">
        <v>53</v>
      </c>
      <c r="B82" t="s">
        <v>63</v>
      </c>
      <c r="C8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2" t="s">
        <v>56</v>
      </c>
      <c r="E82" t="s">
        <v>38</v>
      </c>
      <c r="F8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2">
        <f>ScenarioStat0[[#This Row],[team-1-win]]+ScenarioStat0[[#This Row],[team-2-win]]</f>
        <v>1</v>
      </c>
    </row>
    <row r="83" spans="1:7" x14ac:dyDescent="0.25">
      <c r="A83" t="s">
        <v>53</v>
      </c>
      <c r="B83" t="s">
        <v>63</v>
      </c>
      <c r="C8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83" t="s">
        <v>48</v>
      </c>
      <c r="E83" t="s">
        <v>33</v>
      </c>
      <c r="F8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3">
        <f>ScenarioStat0[[#This Row],[team-1-win]]+ScenarioStat0[[#This Row],[team-2-win]]</f>
        <v>1</v>
      </c>
    </row>
    <row r="84" spans="1:7" x14ac:dyDescent="0.25">
      <c r="A84" t="s">
        <v>53</v>
      </c>
      <c r="B84" t="s">
        <v>63</v>
      </c>
      <c r="C8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84" t="s">
        <v>48</v>
      </c>
      <c r="E84" t="s">
        <v>43</v>
      </c>
      <c r="F8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4">
        <f>ScenarioStat0[[#This Row],[team-1-win]]+ScenarioStat0[[#This Row],[team-2-win]]</f>
        <v>1</v>
      </c>
    </row>
    <row r="85" spans="1:7" x14ac:dyDescent="0.25">
      <c r="A85" t="s">
        <v>53</v>
      </c>
      <c r="B85" t="s">
        <v>63</v>
      </c>
      <c r="C8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85" t="s">
        <v>48</v>
      </c>
      <c r="E85" t="s">
        <v>45</v>
      </c>
      <c r="F8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5">
        <f>ScenarioStat0[[#This Row],[team-1-win]]+ScenarioStat0[[#This Row],[team-2-win]]</f>
        <v>1</v>
      </c>
    </row>
    <row r="86" spans="1:7" x14ac:dyDescent="0.25">
      <c r="A86" t="s">
        <v>53</v>
      </c>
      <c r="B86" t="s">
        <v>63</v>
      </c>
      <c r="C8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86" t="s">
        <v>48</v>
      </c>
      <c r="E86" t="s">
        <v>38</v>
      </c>
      <c r="F8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6">
        <f>ScenarioStat0[[#This Row],[team-1-win]]+ScenarioStat0[[#This Row],[team-2-win]]</f>
        <v>1</v>
      </c>
    </row>
    <row r="87" spans="1:7" x14ac:dyDescent="0.25">
      <c r="A87" t="s">
        <v>53</v>
      </c>
      <c r="B87" t="s">
        <v>63</v>
      </c>
      <c r="C8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7" t="s">
        <v>33</v>
      </c>
      <c r="E87" t="s">
        <v>43</v>
      </c>
      <c r="F8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7">
        <f>ScenarioStat0[[#This Row],[team-1-win]]+ScenarioStat0[[#This Row],[team-2-win]]</f>
        <v>1</v>
      </c>
    </row>
    <row r="88" spans="1:7" x14ac:dyDescent="0.25">
      <c r="A88" t="s">
        <v>53</v>
      </c>
      <c r="B88" t="s">
        <v>63</v>
      </c>
      <c r="C8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8" t="s">
        <v>33</v>
      </c>
      <c r="E88" t="s">
        <v>45</v>
      </c>
      <c r="F8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8">
        <f>ScenarioStat0[[#This Row],[team-1-win]]+ScenarioStat0[[#This Row],[team-2-win]]</f>
        <v>1</v>
      </c>
    </row>
    <row r="89" spans="1:7" x14ac:dyDescent="0.25">
      <c r="A89" t="s">
        <v>53</v>
      </c>
      <c r="B89" t="s">
        <v>63</v>
      </c>
      <c r="C8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9" t="s">
        <v>33</v>
      </c>
      <c r="E89" t="s">
        <v>38</v>
      </c>
      <c r="F8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9">
        <f>ScenarioStat0[[#This Row],[team-1-win]]+ScenarioStat0[[#This Row],[team-2-win]]</f>
        <v>1</v>
      </c>
    </row>
    <row r="90" spans="1:7" x14ac:dyDescent="0.25">
      <c r="A90" t="s">
        <v>53</v>
      </c>
      <c r="B90" t="s">
        <v>63</v>
      </c>
      <c r="C9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0" t="s">
        <v>43</v>
      </c>
      <c r="E90" t="s">
        <v>45</v>
      </c>
      <c r="F9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0">
        <f>ScenarioStat0[[#This Row],[team-1-win]]+ScenarioStat0[[#This Row],[team-2-win]]</f>
        <v>1</v>
      </c>
    </row>
    <row r="91" spans="1:7" x14ac:dyDescent="0.25">
      <c r="A91" t="s">
        <v>53</v>
      </c>
      <c r="B91" t="s">
        <v>63</v>
      </c>
      <c r="C9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1" t="s">
        <v>43</v>
      </c>
      <c r="E91" t="s">
        <v>38</v>
      </c>
      <c r="F9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1">
        <f>ScenarioStat0[[#This Row],[team-1-win]]+ScenarioStat0[[#This Row],[team-2-win]]</f>
        <v>1</v>
      </c>
    </row>
    <row r="92" spans="1:7" x14ac:dyDescent="0.25">
      <c r="A92" t="s">
        <v>53</v>
      </c>
      <c r="B92" t="s">
        <v>63</v>
      </c>
      <c r="C9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2" t="s">
        <v>45</v>
      </c>
      <c r="E92" t="s">
        <v>38</v>
      </c>
      <c r="F9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2">
        <f>ScenarioStat0[[#This Row],[team-1-win]]+ScenarioStat0[[#This Row],[team-2-win]]</f>
        <v>1</v>
      </c>
    </row>
    <row r="93" spans="1:7" x14ac:dyDescent="0.25">
      <c r="A93" t="s">
        <v>53</v>
      </c>
      <c r="B93" t="s">
        <v>38</v>
      </c>
      <c r="C9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3" t="s">
        <v>56</v>
      </c>
      <c r="E93" t="s">
        <v>48</v>
      </c>
      <c r="F9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3">
        <f>ScenarioStat0[[#This Row],[team-1-win]]+ScenarioStat0[[#This Row],[team-2-win]]</f>
        <v>1</v>
      </c>
    </row>
    <row r="94" spans="1:7" x14ac:dyDescent="0.25">
      <c r="A94" t="s">
        <v>53</v>
      </c>
      <c r="B94" t="s">
        <v>38</v>
      </c>
      <c r="C9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4" t="s">
        <v>56</v>
      </c>
      <c r="E94" t="s">
        <v>33</v>
      </c>
      <c r="F9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4">
        <f>ScenarioStat0[[#This Row],[team-1-win]]+ScenarioStat0[[#This Row],[team-2-win]]</f>
        <v>1</v>
      </c>
    </row>
    <row r="95" spans="1:7" x14ac:dyDescent="0.25">
      <c r="A95" t="s">
        <v>53</v>
      </c>
      <c r="B95" t="s">
        <v>38</v>
      </c>
      <c r="C9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5" t="s">
        <v>56</v>
      </c>
      <c r="E95" t="s">
        <v>43</v>
      </c>
      <c r="F9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5">
        <f>ScenarioStat0[[#This Row],[team-1-win]]+ScenarioStat0[[#This Row],[team-2-win]]</f>
        <v>1</v>
      </c>
    </row>
    <row r="96" spans="1:7" x14ac:dyDescent="0.25">
      <c r="A96" t="s">
        <v>53</v>
      </c>
      <c r="B96" t="s">
        <v>38</v>
      </c>
      <c r="C9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96" t="s">
        <v>56</v>
      </c>
      <c r="E96" t="s">
        <v>45</v>
      </c>
      <c r="F9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6">
        <f>ScenarioStat0[[#This Row],[team-1-win]]+ScenarioStat0[[#This Row],[team-2-win]]</f>
        <v>1</v>
      </c>
    </row>
    <row r="97" spans="1:7" x14ac:dyDescent="0.25">
      <c r="A97" t="s">
        <v>53</v>
      </c>
      <c r="B97" t="s">
        <v>38</v>
      </c>
      <c r="C9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97" t="s">
        <v>56</v>
      </c>
      <c r="E97" t="s">
        <v>63</v>
      </c>
      <c r="F9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7">
        <f>ScenarioStat0[[#This Row],[team-1-win]]+ScenarioStat0[[#This Row],[team-2-win]]</f>
        <v>1</v>
      </c>
    </row>
    <row r="98" spans="1:7" x14ac:dyDescent="0.25">
      <c r="A98" t="s">
        <v>53</v>
      </c>
      <c r="B98" t="s">
        <v>38</v>
      </c>
      <c r="C9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8" t="s">
        <v>48</v>
      </c>
      <c r="E98" t="s">
        <v>33</v>
      </c>
      <c r="F9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8">
        <f>ScenarioStat0[[#This Row],[team-1-win]]+ScenarioStat0[[#This Row],[team-2-win]]</f>
        <v>1</v>
      </c>
    </row>
    <row r="99" spans="1:7" x14ac:dyDescent="0.25">
      <c r="A99" t="s">
        <v>53</v>
      </c>
      <c r="B99" t="s">
        <v>38</v>
      </c>
      <c r="C9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9" t="s">
        <v>48</v>
      </c>
      <c r="E99" t="s">
        <v>43</v>
      </c>
      <c r="F9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9">
        <f>ScenarioStat0[[#This Row],[team-1-win]]+ScenarioStat0[[#This Row],[team-2-win]]</f>
        <v>1</v>
      </c>
    </row>
    <row r="100" spans="1:7" x14ac:dyDescent="0.25">
      <c r="A100" t="s">
        <v>53</v>
      </c>
      <c r="B100" t="s">
        <v>38</v>
      </c>
      <c r="C10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0" t="s">
        <v>48</v>
      </c>
      <c r="E100" t="s">
        <v>45</v>
      </c>
      <c r="F10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0">
        <f>ScenarioStat0[[#This Row],[team-1-win]]+ScenarioStat0[[#This Row],[team-2-win]]</f>
        <v>1</v>
      </c>
    </row>
    <row r="101" spans="1:7" x14ac:dyDescent="0.25">
      <c r="A101" t="s">
        <v>53</v>
      </c>
      <c r="B101" t="s">
        <v>38</v>
      </c>
      <c r="C10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1" t="s">
        <v>48</v>
      </c>
      <c r="E101" t="s">
        <v>63</v>
      </c>
      <c r="F10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1">
        <f>ScenarioStat0[[#This Row],[team-1-win]]+ScenarioStat0[[#This Row],[team-2-win]]</f>
        <v>1</v>
      </c>
    </row>
    <row r="102" spans="1:7" x14ac:dyDescent="0.25">
      <c r="A102" t="s">
        <v>53</v>
      </c>
      <c r="B102" t="s">
        <v>38</v>
      </c>
      <c r="C10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2" t="s">
        <v>33</v>
      </c>
      <c r="E102" t="s">
        <v>43</v>
      </c>
      <c r="F10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2">
        <f>ScenarioStat0[[#This Row],[team-1-win]]+ScenarioStat0[[#This Row],[team-2-win]]</f>
        <v>1</v>
      </c>
    </row>
    <row r="103" spans="1:7" x14ac:dyDescent="0.25">
      <c r="A103" t="s">
        <v>53</v>
      </c>
      <c r="B103" t="s">
        <v>38</v>
      </c>
      <c r="C10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03" t="s">
        <v>33</v>
      </c>
      <c r="E103" t="s">
        <v>45</v>
      </c>
      <c r="F10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3">
        <f>ScenarioStat0[[#This Row],[team-1-win]]+ScenarioStat0[[#This Row],[team-2-win]]</f>
        <v>1</v>
      </c>
    </row>
    <row r="104" spans="1:7" x14ac:dyDescent="0.25">
      <c r="A104" t="s">
        <v>53</v>
      </c>
      <c r="B104" t="s">
        <v>38</v>
      </c>
      <c r="C10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4" t="s">
        <v>33</v>
      </c>
      <c r="E104" t="s">
        <v>63</v>
      </c>
      <c r="F10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4">
        <f>ScenarioStat0[[#This Row],[team-1-win]]+ScenarioStat0[[#This Row],[team-2-win]]</f>
        <v>1</v>
      </c>
    </row>
    <row r="105" spans="1:7" x14ac:dyDescent="0.25">
      <c r="A105" t="s">
        <v>53</v>
      </c>
      <c r="B105" t="s">
        <v>38</v>
      </c>
      <c r="C10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5" t="s">
        <v>43</v>
      </c>
      <c r="E105" t="s">
        <v>45</v>
      </c>
      <c r="F10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5">
        <f>ScenarioStat0[[#This Row],[team-1-win]]+ScenarioStat0[[#This Row],[team-2-win]]</f>
        <v>1</v>
      </c>
    </row>
    <row r="106" spans="1:7" x14ac:dyDescent="0.25">
      <c r="A106" t="s">
        <v>53</v>
      </c>
      <c r="B106" t="s">
        <v>38</v>
      </c>
      <c r="C10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6" t="s">
        <v>43</v>
      </c>
      <c r="E106" t="s">
        <v>63</v>
      </c>
      <c r="F10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6">
        <f>ScenarioStat0[[#This Row],[team-1-win]]+ScenarioStat0[[#This Row],[team-2-win]]</f>
        <v>1</v>
      </c>
    </row>
    <row r="107" spans="1:7" x14ac:dyDescent="0.25">
      <c r="A107" t="s">
        <v>53</v>
      </c>
      <c r="B107" t="s">
        <v>38</v>
      </c>
      <c r="C10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7" t="s">
        <v>45</v>
      </c>
      <c r="E107" t="s">
        <v>63</v>
      </c>
      <c r="F10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7">
        <f>ScenarioStat0[[#This Row],[team-1-win]]+ScenarioStat0[[#This Row],[team-2-win]]</f>
        <v>1</v>
      </c>
    </row>
    <row r="108" spans="1:7" x14ac:dyDescent="0.25">
      <c r="A108" t="s">
        <v>56</v>
      </c>
      <c r="B108" t="s">
        <v>48</v>
      </c>
      <c r="C10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8" t="s">
        <v>33</v>
      </c>
      <c r="E108" t="s">
        <v>43</v>
      </c>
      <c r="F10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8">
        <f>ScenarioStat0[[#This Row],[team-1-win]]+ScenarioStat0[[#This Row],[team-2-win]]</f>
        <v>1</v>
      </c>
    </row>
    <row r="109" spans="1:7" x14ac:dyDescent="0.25">
      <c r="A109" t="s">
        <v>56</v>
      </c>
      <c r="B109" t="s">
        <v>48</v>
      </c>
      <c r="C10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9" t="s">
        <v>33</v>
      </c>
      <c r="E109" t="s">
        <v>45</v>
      </c>
      <c r="F10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9">
        <f>ScenarioStat0[[#This Row],[team-1-win]]+ScenarioStat0[[#This Row],[team-2-win]]</f>
        <v>1</v>
      </c>
    </row>
    <row r="110" spans="1:7" x14ac:dyDescent="0.25">
      <c r="A110" t="s">
        <v>56</v>
      </c>
      <c r="B110" t="s">
        <v>48</v>
      </c>
      <c r="C11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0" t="s">
        <v>33</v>
      </c>
      <c r="E110" t="s">
        <v>63</v>
      </c>
      <c r="F11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0">
        <f>ScenarioStat0[[#This Row],[team-1-win]]+ScenarioStat0[[#This Row],[team-2-win]]</f>
        <v>1</v>
      </c>
    </row>
    <row r="111" spans="1:7" x14ac:dyDescent="0.25">
      <c r="A111" t="s">
        <v>56</v>
      </c>
      <c r="B111" t="s">
        <v>48</v>
      </c>
      <c r="C11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1" t="s">
        <v>33</v>
      </c>
      <c r="E111" t="s">
        <v>38</v>
      </c>
      <c r="F11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1">
        <f>ScenarioStat0[[#This Row],[team-1-win]]+ScenarioStat0[[#This Row],[team-2-win]]</f>
        <v>1</v>
      </c>
    </row>
    <row r="112" spans="1:7" x14ac:dyDescent="0.25">
      <c r="A112" t="s">
        <v>56</v>
      </c>
      <c r="B112" t="s">
        <v>48</v>
      </c>
      <c r="C11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2" t="s">
        <v>43</v>
      </c>
      <c r="E112" t="s">
        <v>45</v>
      </c>
      <c r="F11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2">
        <f>ScenarioStat0[[#This Row],[team-1-win]]+ScenarioStat0[[#This Row],[team-2-win]]</f>
        <v>1</v>
      </c>
    </row>
    <row r="113" spans="1:7" x14ac:dyDescent="0.25">
      <c r="A113" t="s">
        <v>56</v>
      </c>
      <c r="B113" t="s">
        <v>48</v>
      </c>
      <c r="C11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3" t="s">
        <v>43</v>
      </c>
      <c r="E113" t="s">
        <v>63</v>
      </c>
      <c r="F11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3">
        <f>ScenarioStat0[[#This Row],[team-1-win]]+ScenarioStat0[[#This Row],[team-2-win]]</f>
        <v>1</v>
      </c>
    </row>
    <row r="114" spans="1:7" x14ac:dyDescent="0.25">
      <c r="A114" t="s">
        <v>56</v>
      </c>
      <c r="B114" t="s">
        <v>48</v>
      </c>
      <c r="C11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4" t="s">
        <v>43</v>
      </c>
      <c r="E114" t="s">
        <v>38</v>
      </c>
      <c r="F11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4">
        <f>ScenarioStat0[[#This Row],[team-1-win]]+ScenarioStat0[[#This Row],[team-2-win]]</f>
        <v>1</v>
      </c>
    </row>
    <row r="115" spans="1:7" x14ac:dyDescent="0.25">
      <c r="A115" t="s">
        <v>56</v>
      </c>
      <c r="B115" t="s">
        <v>48</v>
      </c>
      <c r="C11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15" t="s">
        <v>45</v>
      </c>
      <c r="E115" t="s">
        <v>63</v>
      </c>
      <c r="F11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5">
        <f>ScenarioStat0[[#This Row],[team-1-win]]+ScenarioStat0[[#This Row],[team-2-win]]</f>
        <v>1</v>
      </c>
    </row>
    <row r="116" spans="1:7" x14ac:dyDescent="0.25">
      <c r="A116" t="s">
        <v>56</v>
      </c>
      <c r="B116" t="s">
        <v>48</v>
      </c>
      <c r="C11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16" t="s">
        <v>45</v>
      </c>
      <c r="E116" t="s">
        <v>38</v>
      </c>
      <c r="F11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6">
        <f>ScenarioStat0[[#This Row],[team-1-win]]+ScenarioStat0[[#This Row],[team-2-win]]</f>
        <v>1</v>
      </c>
    </row>
    <row r="117" spans="1:7" x14ac:dyDescent="0.25">
      <c r="A117" t="s">
        <v>56</v>
      </c>
      <c r="B117" t="s">
        <v>48</v>
      </c>
      <c r="C11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17" t="s">
        <v>63</v>
      </c>
      <c r="E117" t="s">
        <v>38</v>
      </c>
      <c r="F11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7">
        <f>ScenarioStat0[[#This Row],[team-1-win]]+ScenarioStat0[[#This Row],[team-2-win]]</f>
        <v>1</v>
      </c>
    </row>
    <row r="118" spans="1:7" x14ac:dyDescent="0.25">
      <c r="A118" t="s">
        <v>56</v>
      </c>
      <c r="B118" t="s">
        <v>33</v>
      </c>
      <c r="C11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8" t="s">
        <v>48</v>
      </c>
      <c r="E118" t="s">
        <v>43</v>
      </c>
      <c r="F11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8">
        <f>ScenarioStat0[[#This Row],[team-1-win]]+ScenarioStat0[[#This Row],[team-2-win]]</f>
        <v>1</v>
      </c>
    </row>
    <row r="119" spans="1:7" x14ac:dyDescent="0.25">
      <c r="A119" t="s">
        <v>56</v>
      </c>
      <c r="B119" t="s">
        <v>33</v>
      </c>
      <c r="C11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19" t="s">
        <v>48</v>
      </c>
      <c r="E119" t="s">
        <v>45</v>
      </c>
      <c r="F11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9">
        <f>ScenarioStat0[[#This Row],[team-1-win]]+ScenarioStat0[[#This Row],[team-2-win]]</f>
        <v>1</v>
      </c>
    </row>
    <row r="120" spans="1:7" x14ac:dyDescent="0.25">
      <c r="A120" t="s">
        <v>56</v>
      </c>
      <c r="B120" t="s">
        <v>33</v>
      </c>
      <c r="C12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20" t="s">
        <v>48</v>
      </c>
      <c r="E120" t="s">
        <v>63</v>
      </c>
      <c r="F12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0">
        <f>ScenarioStat0[[#This Row],[team-1-win]]+ScenarioStat0[[#This Row],[team-2-win]]</f>
        <v>1</v>
      </c>
    </row>
    <row r="121" spans="1:7" x14ac:dyDescent="0.25">
      <c r="A121" t="s">
        <v>56</v>
      </c>
      <c r="B121" t="s">
        <v>33</v>
      </c>
      <c r="C12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1" t="s">
        <v>48</v>
      </c>
      <c r="E121" t="s">
        <v>38</v>
      </c>
      <c r="F12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21">
        <f>ScenarioStat0[[#This Row],[team-1-win]]+ScenarioStat0[[#This Row],[team-2-win]]</f>
        <v>1</v>
      </c>
    </row>
    <row r="122" spans="1:7" x14ac:dyDescent="0.25">
      <c r="A122" t="s">
        <v>56</v>
      </c>
      <c r="B122" t="s">
        <v>33</v>
      </c>
      <c r="C12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2" t="s">
        <v>43</v>
      </c>
      <c r="E122" t="s">
        <v>45</v>
      </c>
      <c r="F12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22">
        <f>ScenarioStat0[[#This Row],[team-1-win]]+ScenarioStat0[[#This Row],[team-2-win]]</f>
        <v>1</v>
      </c>
    </row>
    <row r="123" spans="1:7" x14ac:dyDescent="0.25">
      <c r="A123" t="s">
        <v>56</v>
      </c>
      <c r="B123" t="s">
        <v>33</v>
      </c>
      <c r="C12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3" t="s">
        <v>43</v>
      </c>
      <c r="E123" t="s">
        <v>63</v>
      </c>
      <c r="F12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23">
        <f>ScenarioStat0[[#This Row],[team-1-win]]+ScenarioStat0[[#This Row],[team-2-win]]</f>
        <v>1</v>
      </c>
    </row>
    <row r="124" spans="1:7" x14ac:dyDescent="0.25">
      <c r="A124" t="s">
        <v>56</v>
      </c>
      <c r="B124" t="s">
        <v>33</v>
      </c>
      <c r="C12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4" t="s">
        <v>43</v>
      </c>
      <c r="E124" t="s">
        <v>38</v>
      </c>
      <c r="F12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24">
        <f>ScenarioStat0[[#This Row],[team-1-win]]+ScenarioStat0[[#This Row],[team-2-win]]</f>
        <v>1</v>
      </c>
    </row>
    <row r="125" spans="1:7" x14ac:dyDescent="0.25">
      <c r="A125" t="s">
        <v>56</v>
      </c>
      <c r="B125" t="s">
        <v>33</v>
      </c>
      <c r="C12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25" t="s">
        <v>45</v>
      </c>
      <c r="E125" t="s">
        <v>63</v>
      </c>
      <c r="F12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5">
        <f>ScenarioStat0[[#This Row],[team-1-win]]+ScenarioStat0[[#This Row],[team-2-win]]</f>
        <v>1</v>
      </c>
    </row>
    <row r="126" spans="1:7" x14ac:dyDescent="0.25">
      <c r="A126" t="s">
        <v>56</v>
      </c>
      <c r="B126" t="s">
        <v>33</v>
      </c>
      <c r="C12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6" t="s">
        <v>45</v>
      </c>
      <c r="E126" t="s">
        <v>38</v>
      </c>
      <c r="F12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26">
        <f>ScenarioStat0[[#This Row],[team-1-win]]+ScenarioStat0[[#This Row],[team-2-win]]</f>
        <v>1</v>
      </c>
    </row>
    <row r="127" spans="1:7" x14ac:dyDescent="0.25">
      <c r="A127" t="s">
        <v>56</v>
      </c>
      <c r="B127" t="s">
        <v>33</v>
      </c>
      <c r="C12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7" t="s">
        <v>63</v>
      </c>
      <c r="E127" t="s">
        <v>38</v>
      </c>
      <c r="F12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27">
        <f>ScenarioStat0[[#This Row],[team-1-win]]+ScenarioStat0[[#This Row],[team-2-win]]</f>
        <v>1</v>
      </c>
    </row>
    <row r="128" spans="1:7" x14ac:dyDescent="0.25">
      <c r="A128" t="s">
        <v>56</v>
      </c>
      <c r="B128" t="s">
        <v>43</v>
      </c>
      <c r="C12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28" t="s">
        <v>48</v>
      </c>
      <c r="E128" t="s">
        <v>33</v>
      </c>
      <c r="F12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8">
        <f>ScenarioStat0[[#This Row],[team-1-win]]+ScenarioStat0[[#This Row],[team-2-win]]</f>
        <v>1</v>
      </c>
    </row>
    <row r="129" spans="1:7" x14ac:dyDescent="0.25">
      <c r="A129" t="s">
        <v>56</v>
      </c>
      <c r="B129" t="s">
        <v>43</v>
      </c>
      <c r="C12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9" t="s">
        <v>48</v>
      </c>
      <c r="E129" t="s">
        <v>45</v>
      </c>
      <c r="F12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29">
        <f>ScenarioStat0[[#This Row],[team-1-win]]+ScenarioStat0[[#This Row],[team-2-win]]</f>
        <v>1</v>
      </c>
    </row>
    <row r="130" spans="1:7" x14ac:dyDescent="0.25">
      <c r="A130" t="s">
        <v>56</v>
      </c>
      <c r="B130" t="s">
        <v>43</v>
      </c>
      <c r="C13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30" t="s">
        <v>48</v>
      </c>
      <c r="E130" t="s">
        <v>63</v>
      </c>
      <c r="F13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0">
        <f>ScenarioStat0[[#This Row],[team-1-win]]+ScenarioStat0[[#This Row],[team-2-win]]</f>
        <v>1</v>
      </c>
    </row>
    <row r="131" spans="1:7" x14ac:dyDescent="0.25">
      <c r="A131" t="s">
        <v>56</v>
      </c>
      <c r="B131" t="s">
        <v>43</v>
      </c>
      <c r="C13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1" t="s">
        <v>48</v>
      </c>
      <c r="E131" t="s">
        <v>38</v>
      </c>
      <c r="F13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31">
        <f>ScenarioStat0[[#This Row],[team-1-win]]+ScenarioStat0[[#This Row],[team-2-win]]</f>
        <v>1</v>
      </c>
    </row>
    <row r="132" spans="1:7" x14ac:dyDescent="0.25">
      <c r="A132" t="s">
        <v>56</v>
      </c>
      <c r="B132" t="s">
        <v>43</v>
      </c>
      <c r="C13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32" t="s">
        <v>33</v>
      </c>
      <c r="E132" t="s">
        <v>45</v>
      </c>
      <c r="F13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2">
        <f>ScenarioStat0[[#This Row],[team-1-win]]+ScenarioStat0[[#This Row],[team-2-win]]</f>
        <v>1</v>
      </c>
    </row>
    <row r="133" spans="1:7" x14ac:dyDescent="0.25">
      <c r="A133" t="s">
        <v>56</v>
      </c>
      <c r="B133" t="s">
        <v>43</v>
      </c>
      <c r="C13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3" t="s">
        <v>33</v>
      </c>
      <c r="E133" t="s">
        <v>63</v>
      </c>
      <c r="F13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33">
        <f>ScenarioStat0[[#This Row],[team-1-win]]+ScenarioStat0[[#This Row],[team-2-win]]</f>
        <v>1</v>
      </c>
    </row>
    <row r="134" spans="1:7" x14ac:dyDescent="0.25">
      <c r="A134" t="s">
        <v>56</v>
      </c>
      <c r="B134" t="s">
        <v>43</v>
      </c>
      <c r="C13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4" t="s">
        <v>33</v>
      </c>
      <c r="E134" t="s">
        <v>38</v>
      </c>
      <c r="F13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34">
        <f>ScenarioStat0[[#This Row],[team-1-win]]+ScenarioStat0[[#This Row],[team-2-win]]</f>
        <v>1</v>
      </c>
    </row>
    <row r="135" spans="1:7" x14ac:dyDescent="0.25">
      <c r="A135" t="s">
        <v>56</v>
      </c>
      <c r="B135" t="s">
        <v>43</v>
      </c>
      <c r="C13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5" t="s">
        <v>45</v>
      </c>
      <c r="E135" t="s">
        <v>63</v>
      </c>
      <c r="F13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35">
        <f>ScenarioStat0[[#This Row],[team-1-win]]+ScenarioStat0[[#This Row],[team-2-win]]</f>
        <v>1</v>
      </c>
    </row>
    <row r="136" spans="1:7" x14ac:dyDescent="0.25">
      <c r="A136" t="s">
        <v>56</v>
      </c>
      <c r="B136" t="s">
        <v>43</v>
      </c>
      <c r="C13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6" t="s">
        <v>45</v>
      </c>
      <c r="E136" t="s">
        <v>38</v>
      </c>
      <c r="F13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36">
        <f>ScenarioStat0[[#This Row],[team-1-win]]+ScenarioStat0[[#This Row],[team-2-win]]</f>
        <v>1</v>
      </c>
    </row>
    <row r="137" spans="1:7" x14ac:dyDescent="0.25">
      <c r="A137" t="s">
        <v>56</v>
      </c>
      <c r="B137" t="s">
        <v>43</v>
      </c>
      <c r="C13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37" t="s">
        <v>63</v>
      </c>
      <c r="E137" t="s">
        <v>38</v>
      </c>
      <c r="F13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7">
        <f>ScenarioStat0[[#This Row],[team-1-win]]+ScenarioStat0[[#This Row],[team-2-win]]</f>
        <v>1</v>
      </c>
    </row>
    <row r="138" spans="1:7" x14ac:dyDescent="0.25">
      <c r="A138" t="s">
        <v>56</v>
      </c>
      <c r="B138" t="s">
        <v>45</v>
      </c>
      <c r="C13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8" t="s">
        <v>48</v>
      </c>
      <c r="E138" t="s">
        <v>33</v>
      </c>
      <c r="F13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38">
        <f>ScenarioStat0[[#This Row],[team-1-win]]+ScenarioStat0[[#This Row],[team-2-win]]</f>
        <v>1</v>
      </c>
    </row>
    <row r="139" spans="1:7" x14ac:dyDescent="0.25">
      <c r="A139" t="s">
        <v>56</v>
      </c>
      <c r="B139" t="s">
        <v>45</v>
      </c>
      <c r="C13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9" t="s">
        <v>48</v>
      </c>
      <c r="E139" t="s">
        <v>43</v>
      </c>
      <c r="F13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39">
        <f>ScenarioStat0[[#This Row],[team-1-win]]+ScenarioStat0[[#This Row],[team-2-win]]</f>
        <v>1</v>
      </c>
    </row>
    <row r="140" spans="1:7" x14ac:dyDescent="0.25">
      <c r="A140" t="s">
        <v>56</v>
      </c>
      <c r="B140" t="s">
        <v>45</v>
      </c>
      <c r="C14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40" t="s">
        <v>48</v>
      </c>
      <c r="E140" t="s">
        <v>63</v>
      </c>
      <c r="F14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0">
        <f>ScenarioStat0[[#This Row],[team-1-win]]+ScenarioStat0[[#This Row],[team-2-win]]</f>
        <v>1</v>
      </c>
    </row>
    <row r="141" spans="1:7" x14ac:dyDescent="0.25">
      <c r="A141" t="s">
        <v>56</v>
      </c>
      <c r="B141" t="s">
        <v>45</v>
      </c>
      <c r="C14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1" t="s">
        <v>48</v>
      </c>
      <c r="E141" t="s">
        <v>38</v>
      </c>
      <c r="F14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1">
        <f>ScenarioStat0[[#This Row],[team-1-win]]+ScenarioStat0[[#This Row],[team-2-win]]</f>
        <v>1</v>
      </c>
    </row>
    <row r="142" spans="1:7" x14ac:dyDescent="0.25">
      <c r="A142" t="s">
        <v>56</v>
      </c>
      <c r="B142" t="s">
        <v>45</v>
      </c>
      <c r="C14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2" t="s">
        <v>33</v>
      </c>
      <c r="E142" t="s">
        <v>43</v>
      </c>
      <c r="F14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2">
        <f>ScenarioStat0[[#This Row],[team-1-win]]+ScenarioStat0[[#This Row],[team-2-win]]</f>
        <v>1</v>
      </c>
    </row>
    <row r="143" spans="1:7" x14ac:dyDescent="0.25">
      <c r="A143" t="s">
        <v>56</v>
      </c>
      <c r="B143" t="s">
        <v>45</v>
      </c>
      <c r="C14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3" t="s">
        <v>33</v>
      </c>
      <c r="E143" t="s">
        <v>63</v>
      </c>
      <c r="F14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3">
        <f>ScenarioStat0[[#This Row],[team-1-win]]+ScenarioStat0[[#This Row],[team-2-win]]</f>
        <v>1</v>
      </c>
    </row>
    <row r="144" spans="1:7" x14ac:dyDescent="0.25">
      <c r="A144" t="s">
        <v>56</v>
      </c>
      <c r="B144" t="s">
        <v>45</v>
      </c>
      <c r="C14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4" t="s">
        <v>33</v>
      </c>
      <c r="E144" t="s">
        <v>38</v>
      </c>
      <c r="F14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4">
        <f>ScenarioStat0[[#This Row],[team-1-win]]+ScenarioStat0[[#This Row],[team-2-win]]</f>
        <v>1</v>
      </c>
    </row>
    <row r="145" spans="1:7" x14ac:dyDescent="0.25">
      <c r="A145" t="s">
        <v>56</v>
      </c>
      <c r="B145" t="s">
        <v>45</v>
      </c>
      <c r="C14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45" t="s">
        <v>43</v>
      </c>
      <c r="E145" t="s">
        <v>63</v>
      </c>
      <c r="F14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5">
        <f>ScenarioStat0[[#This Row],[team-1-win]]+ScenarioStat0[[#This Row],[team-2-win]]</f>
        <v>1</v>
      </c>
    </row>
    <row r="146" spans="1:7" x14ac:dyDescent="0.25">
      <c r="A146" t="s">
        <v>56</v>
      </c>
      <c r="B146" t="s">
        <v>45</v>
      </c>
      <c r="C14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6" t="s">
        <v>43</v>
      </c>
      <c r="E146" t="s">
        <v>38</v>
      </c>
      <c r="F14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6">
        <f>ScenarioStat0[[#This Row],[team-1-win]]+ScenarioStat0[[#This Row],[team-2-win]]</f>
        <v>1</v>
      </c>
    </row>
    <row r="147" spans="1:7" x14ac:dyDescent="0.25">
      <c r="A147" t="s">
        <v>56</v>
      </c>
      <c r="B147" t="s">
        <v>45</v>
      </c>
      <c r="C14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47" t="s">
        <v>63</v>
      </c>
      <c r="E147" t="s">
        <v>38</v>
      </c>
      <c r="F14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7">
        <f>ScenarioStat0[[#This Row],[team-1-win]]+ScenarioStat0[[#This Row],[team-2-win]]</f>
        <v>1</v>
      </c>
    </row>
    <row r="148" spans="1:7" x14ac:dyDescent="0.25">
      <c r="A148" t="s">
        <v>56</v>
      </c>
      <c r="B148" t="s">
        <v>63</v>
      </c>
      <c r="C14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8" t="s">
        <v>48</v>
      </c>
      <c r="E148" t="s">
        <v>33</v>
      </c>
      <c r="F14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8">
        <f>ScenarioStat0[[#This Row],[team-1-win]]+ScenarioStat0[[#This Row],[team-2-win]]</f>
        <v>1</v>
      </c>
    </row>
    <row r="149" spans="1:7" x14ac:dyDescent="0.25">
      <c r="A149" t="s">
        <v>56</v>
      </c>
      <c r="B149" t="s">
        <v>63</v>
      </c>
      <c r="C14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49" t="s">
        <v>48</v>
      </c>
      <c r="E149" t="s">
        <v>43</v>
      </c>
      <c r="F14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9">
        <f>ScenarioStat0[[#This Row],[team-1-win]]+ScenarioStat0[[#This Row],[team-2-win]]</f>
        <v>1</v>
      </c>
    </row>
    <row r="150" spans="1:7" x14ac:dyDescent="0.25">
      <c r="A150" t="s">
        <v>56</v>
      </c>
      <c r="B150" t="s">
        <v>63</v>
      </c>
      <c r="C15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0" t="s">
        <v>48</v>
      </c>
      <c r="E150" t="s">
        <v>45</v>
      </c>
      <c r="F15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0">
        <f>ScenarioStat0[[#This Row],[team-1-win]]+ScenarioStat0[[#This Row],[team-2-win]]</f>
        <v>1</v>
      </c>
    </row>
    <row r="151" spans="1:7" x14ac:dyDescent="0.25">
      <c r="A151" t="s">
        <v>56</v>
      </c>
      <c r="B151" t="s">
        <v>63</v>
      </c>
      <c r="C15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51" t="s">
        <v>48</v>
      </c>
      <c r="E151" t="s">
        <v>38</v>
      </c>
      <c r="F15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1">
        <f>ScenarioStat0[[#This Row],[team-1-win]]+ScenarioStat0[[#This Row],[team-2-win]]</f>
        <v>1</v>
      </c>
    </row>
    <row r="152" spans="1:7" x14ac:dyDescent="0.25">
      <c r="A152" t="s">
        <v>56</v>
      </c>
      <c r="B152" t="s">
        <v>63</v>
      </c>
      <c r="C15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2" t="s">
        <v>33</v>
      </c>
      <c r="E152" t="s">
        <v>43</v>
      </c>
      <c r="F15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2">
        <f>ScenarioStat0[[#This Row],[team-1-win]]+ScenarioStat0[[#This Row],[team-2-win]]</f>
        <v>1</v>
      </c>
    </row>
    <row r="153" spans="1:7" x14ac:dyDescent="0.25">
      <c r="A153" t="s">
        <v>56</v>
      </c>
      <c r="B153" t="s">
        <v>63</v>
      </c>
      <c r="C15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3" t="s">
        <v>33</v>
      </c>
      <c r="E153" t="s">
        <v>45</v>
      </c>
      <c r="F15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3">
        <f>ScenarioStat0[[#This Row],[team-1-win]]+ScenarioStat0[[#This Row],[team-2-win]]</f>
        <v>1</v>
      </c>
    </row>
    <row r="154" spans="1:7" x14ac:dyDescent="0.25">
      <c r="A154" t="s">
        <v>56</v>
      </c>
      <c r="B154" t="s">
        <v>63</v>
      </c>
      <c r="C15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4" t="s">
        <v>33</v>
      </c>
      <c r="E154" t="s">
        <v>38</v>
      </c>
      <c r="F15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4">
        <f>ScenarioStat0[[#This Row],[team-1-win]]+ScenarioStat0[[#This Row],[team-2-win]]</f>
        <v>1</v>
      </c>
    </row>
    <row r="155" spans="1:7" x14ac:dyDescent="0.25">
      <c r="A155" t="s">
        <v>56</v>
      </c>
      <c r="B155" t="s">
        <v>63</v>
      </c>
      <c r="C15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5" t="s">
        <v>43</v>
      </c>
      <c r="E155" t="s">
        <v>45</v>
      </c>
      <c r="F15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5">
        <f>ScenarioStat0[[#This Row],[team-1-win]]+ScenarioStat0[[#This Row],[team-2-win]]</f>
        <v>1</v>
      </c>
    </row>
    <row r="156" spans="1:7" x14ac:dyDescent="0.25">
      <c r="A156" t="s">
        <v>56</v>
      </c>
      <c r="B156" t="s">
        <v>63</v>
      </c>
      <c r="C15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6" t="s">
        <v>43</v>
      </c>
      <c r="E156" t="s">
        <v>38</v>
      </c>
      <c r="F15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6">
        <f>ScenarioStat0[[#This Row],[team-1-win]]+ScenarioStat0[[#This Row],[team-2-win]]</f>
        <v>1</v>
      </c>
    </row>
    <row r="157" spans="1:7" x14ac:dyDescent="0.25">
      <c r="A157" t="s">
        <v>56</v>
      </c>
      <c r="B157" t="s">
        <v>63</v>
      </c>
      <c r="C15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7" t="s">
        <v>45</v>
      </c>
      <c r="E157" t="s">
        <v>38</v>
      </c>
      <c r="F15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7">
        <f>ScenarioStat0[[#This Row],[team-1-win]]+ScenarioStat0[[#This Row],[team-2-win]]</f>
        <v>1</v>
      </c>
    </row>
    <row r="158" spans="1:7" x14ac:dyDescent="0.25">
      <c r="A158" t="s">
        <v>56</v>
      </c>
      <c r="B158" t="s">
        <v>38</v>
      </c>
      <c r="C15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58" t="s">
        <v>48</v>
      </c>
      <c r="E158" t="s">
        <v>33</v>
      </c>
      <c r="F15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8">
        <f>ScenarioStat0[[#This Row],[team-1-win]]+ScenarioStat0[[#This Row],[team-2-win]]</f>
        <v>1</v>
      </c>
    </row>
    <row r="159" spans="1:7" x14ac:dyDescent="0.25">
      <c r="A159" t="s">
        <v>56</v>
      </c>
      <c r="B159" t="s">
        <v>38</v>
      </c>
      <c r="C15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59" t="s">
        <v>48</v>
      </c>
      <c r="E159" t="s">
        <v>43</v>
      </c>
      <c r="F15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9">
        <f>ScenarioStat0[[#This Row],[team-1-win]]+ScenarioStat0[[#This Row],[team-2-win]]</f>
        <v>1</v>
      </c>
    </row>
    <row r="160" spans="1:7" x14ac:dyDescent="0.25">
      <c r="A160" t="s">
        <v>56</v>
      </c>
      <c r="B160" t="s">
        <v>38</v>
      </c>
      <c r="C16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0" t="s">
        <v>48</v>
      </c>
      <c r="E160" t="s">
        <v>45</v>
      </c>
      <c r="F16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60">
        <f>ScenarioStat0[[#This Row],[team-1-win]]+ScenarioStat0[[#This Row],[team-2-win]]</f>
        <v>1</v>
      </c>
    </row>
    <row r="161" spans="1:7" x14ac:dyDescent="0.25">
      <c r="A161" t="s">
        <v>56</v>
      </c>
      <c r="B161" t="s">
        <v>38</v>
      </c>
      <c r="C16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61" t="s">
        <v>48</v>
      </c>
      <c r="E161" t="s">
        <v>63</v>
      </c>
      <c r="F16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1">
        <f>ScenarioStat0[[#This Row],[team-1-win]]+ScenarioStat0[[#This Row],[team-2-win]]</f>
        <v>1</v>
      </c>
    </row>
    <row r="162" spans="1:7" x14ac:dyDescent="0.25">
      <c r="A162" t="s">
        <v>56</v>
      </c>
      <c r="B162" t="s">
        <v>38</v>
      </c>
      <c r="C16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62" t="s">
        <v>33</v>
      </c>
      <c r="E162" t="s">
        <v>43</v>
      </c>
      <c r="F16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2">
        <f>ScenarioStat0[[#This Row],[team-1-win]]+ScenarioStat0[[#This Row],[team-2-win]]</f>
        <v>1</v>
      </c>
    </row>
    <row r="163" spans="1:7" x14ac:dyDescent="0.25">
      <c r="A163" t="s">
        <v>56</v>
      </c>
      <c r="B163" t="s">
        <v>38</v>
      </c>
      <c r="C16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3" t="s">
        <v>33</v>
      </c>
      <c r="E163" t="s">
        <v>45</v>
      </c>
      <c r="F16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63">
        <f>ScenarioStat0[[#This Row],[team-1-win]]+ScenarioStat0[[#This Row],[team-2-win]]</f>
        <v>1</v>
      </c>
    </row>
    <row r="164" spans="1:7" x14ac:dyDescent="0.25">
      <c r="A164" t="s">
        <v>56</v>
      </c>
      <c r="B164" t="s">
        <v>38</v>
      </c>
      <c r="C16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4" t="s">
        <v>33</v>
      </c>
      <c r="E164" t="s">
        <v>63</v>
      </c>
      <c r="F16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64">
        <f>ScenarioStat0[[#This Row],[team-1-win]]+ScenarioStat0[[#This Row],[team-2-win]]</f>
        <v>1</v>
      </c>
    </row>
    <row r="165" spans="1:7" x14ac:dyDescent="0.25">
      <c r="A165" t="s">
        <v>56</v>
      </c>
      <c r="B165" t="s">
        <v>38</v>
      </c>
      <c r="C16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65" t="s">
        <v>43</v>
      </c>
      <c r="E165" t="s">
        <v>45</v>
      </c>
      <c r="F16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5">
        <f>ScenarioStat0[[#This Row],[team-1-win]]+ScenarioStat0[[#This Row],[team-2-win]]</f>
        <v>1</v>
      </c>
    </row>
    <row r="166" spans="1:7" x14ac:dyDescent="0.25">
      <c r="A166" t="s">
        <v>56</v>
      </c>
      <c r="B166" t="s">
        <v>38</v>
      </c>
      <c r="C16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66" t="s">
        <v>43</v>
      </c>
      <c r="E166" t="s">
        <v>63</v>
      </c>
      <c r="F16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6">
        <f>ScenarioStat0[[#This Row],[team-1-win]]+ScenarioStat0[[#This Row],[team-2-win]]</f>
        <v>1</v>
      </c>
    </row>
    <row r="167" spans="1:7" x14ac:dyDescent="0.25">
      <c r="A167" t="s">
        <v>56</v>
      </c>
      <c r="B167" t="s">
        <v>38</v>
      </c>
      <c r="C16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67" t="s">
        <v>45</v>
      </c>
      <c r="E167" t="s">
        <v>63</v>
      </c>
      <c r="F16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7">
        <f>ScenarioStat0[[#This Row],[team-1-win]]+ScenarioStat0[[#This Row],[team-2-win]]</f>
        <v>1</v>
      </c>
    </row>
    <row r="168" spans="1:7" x14ac:dyDescent="0.25">
      <c r="A168" t="s">
        <v>48</v>
      </c>
      <c r="B168" t="s">
        <v>33</v>
      </c>
      <c r="C16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8" t="s">
        <v>43</v>
      </c>
      <c r="E168" t="s">
        <v>45</v>
      </c>
      <c r="F16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68">
        <f>ScenarioStat0[[#This Row],[team-1-win]]+ScenarioStat0[[#This Row],[team-2-win]]</f>
        <v>1</v>
      </c>
    </row>
    <row r="169" spans="1:7" x14ac:dyDescent="0.25">
      <c r="A169" t="s">
        <v>48</v>
      </c>
      <c r="B169" t="s">
        <v>33</v>
      </c>
      <c r="C16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9" t="s">
        <v>43</v>
      </c>
      <c r="E169" t="s">
        <v>63</v>
      </c>
      <c r="F16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69">
        <f>ScenarioStat0[[#This Row],[team-1-win]]+ScenarioStat0[[#This Row],[team-2-win]]</f>
        <v>1</v>
      </c>
    </row>
    <row r="170" spans="1:7" x14ac:dyDescent="0.25">
      <c r="A170" t="s">
        <v>48</v>
      </c>
      <c r="B170" t="s">
        <v>33</v>
      </c>
      <c r="C17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0" t="s">
        <v>43</v>
      </c>
      <c r="E170" t="s">
        <v>38</v>
      </c>
      <c r="F17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0">
        <f>ScenarioStat0[[#This Row],[team-1-win]]+ScenarioStat0[[#This Row],[team-2-win]]</f>
        <v>1</v>
      </c>
    </row>
    <row r="171" spans="1:7" x14ac:dyDescent="0.25">
      <c r="A171" t="s">
        <v>48</v>
      </c>
      <c r="B171" t="s">
        <v>33</v>
      </c>
      <c r="C17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71" t="s">
        <v>45</v>
      </c>
      <c r="E171" t="s">
        <v>63</v>
      </c>
      <c r="F17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1">
        <f>ScenarioStat0[[#This Row],[team-1-win]]+ScenarioStat0[[#This Row],[team-2-win]]</f>
        <v>1</v>
      </c>
    </row>
    <row r="172" spans="1:7" x14ac:dyDescent="0.25">
      <c r="A172" t="s">
        <v>48</v>
      </c>
      <c r="B172" t="s">
        <v>33</v>
      </c>
      <c r="C17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2" t="s">
        <v>45</v>
      </c>
      <c r="E172" t="s">
        <v>38</v>
      </c>
      <c r="F17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2">
        <f>ScenarioStat0[[#This Row],[team-1-win]]+ScenarioStat0[[#This Row],[team-2-win]]</f>
        <v>1</v>
      </c>
    </row>
    <row r="173" spans="1:7" x14ac:dyDescent="0.25">
      <c r="A173" t="s">
        <v>48</v>
      </c>
      <c r="B173" t="s">
        <v>33</v>
      </c>
      <c r="C17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73" t="s">
        <v>63</v>
      </c>
      <c r="E173" t="s">
        <v>38</v>
      </c>
      <c r="F17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3">
        <f>ScenarioStat0[[#This Row],[team-1-win]]+ScenarioStat0[[#This Row],[team-2-win]]</f>
        <v>1</v>
      </c>
    </row>
    <row r="174" spans="1:7" x14ac:dyDescent="0.25">
      <c r="A174" t="s">
        <v>48</v>
      </c>
      <c r="B174" t="s">
        <v>43</v>
      </c>
      <c r="C17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74" t="s">
        <v>33</v>
      </c>
      <c r="E174" t="s">
        <v>45</v>
      </c>
      <c r="F17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4">
        <f>ScenarioStat0[[#This Row],[team-1-win]]+ScenarioStat0[[#This Row],[team-2-win]]</f>
        <v>1</v>
      </c>
    </row>
    <row r="175" spans="1:7" x14ac:dyDescent="0.25">
      <c r="A175" t="s">
        <v>48</v>
      </c>
      <c r="B175" t="s">
        <v>43</v>
      </c>
      <c r="C17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75" t="s">
        <v>33</v>
      </c>
      <c r="E175" t="s">
        <v>63</v>
      </c>
      <c r="F17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5">
        <f>ScenarioStat0[[#This Row],[team-1-win]]+ScenarioStat0[[#This Row],[team-2-win]]</f>
        <v>1</v>
      </c>
    </row>
    <row r="176" spans="1:7" x14ac:dyDescent="0.25">
      <c r="A176" t="s">
        <v>48</v>
      </c>
      <c r="B176" t="s">
        <v>43</v>
      </c>
      <c r="C17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76" t="s">
        <v>33</v>
      </c>
      <c r="E176" t="s">
        <v>38</v>
      </c>
      <c r="F17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6">
        <f>ScenarioStat0[[#This Row],[team-1-win]]+ScenarioStat0[[#This Row],[team-2-win]]</f>
        <v>1</v>
      </c>
    </row>
    <row r="177" spans="1:7" x14ac:dyDescent="0.25">
      <c r="A177" t="s">
        <v>48</v>
      </c>
      <c r="B177" t="s">
        <v>43</v>
      </c>
      <c r="C17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7" t="s">
        <v>45</v>
      </c>
      <c r="E177" t="s">
        <v>63</v>
      </c>
      <c r="F17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7">
        <f>ScenarioStat0[[#This Row],[team-1-win]]+ScenarioStat0[[#This Row],[team-2-win]]</f>
        <v>1</v>
      </c>
    </row>
    <row r="178" spans="1:7" x14ac:dyDescent="0.25">
      <c r="A178" t="s">
        <v>48</v>
      </c>
      <c r="B178" t="s">
        <v>43</v>
      </c>
      <c r="C17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78" t="s">
        <v>45</v>
      </c>
      <c r="E178" t="s">
        <v>38</v>
      </c>
      <c r="F17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8">
        <f>ScenarioStat0[[#This Row],[team-1-win]]+ScenarioStat0[[#This Row],[team-2-win]]</f>
        <v>1</v>
      </c>
    </row>
    <row r="179" spans="1:7" x14ac:dyDescent="0.25">
      <c r="A179" t="s">
        <v>48</v>
      </c>
      <c r="B179" t="s">
        <v>43</v>
      </c>
      <c r="C17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9" t="s">
        <v>63</v>
      </c>
      <c r="E179" t="s">
        <v>38</v>
      </c>
      <c r="F17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9">
        <f>ScenarioStat0[[#This Row],[team-1-win]]+ScenarioStat0[[#This Row],[team-2-win]]</f>
        <v>1</v>
      </c>
    </row>
    <row r="180" spans="1:7" x14ac:dyDescent="0.25">
      <c r="A180" t="s">
        <v>48</v>
      </c>
      <c r="B180" t="s">
        <v>45</v>
      </c>
      <c r="C18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80" t="s">
        <v>33</v>
      </c>
      <c r="E180" t="s">
        <v>43</v>
      </c>
      <c r="F18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0">
        <f>ScenarioStat0[[#This Row],[team-1-win]]+ScenarioStat0[[#This Row],[team-2-win]]</f>
        <v>1</v>
      </c>
    </row>
    <row r="181" spans="1:7" x14ac:dyDescent="0.25">
      <c r="A181" t="s">
        <v>48</v>
      </c>
      <c r="B181" t="s">
        <v>45</v>
      </c>
      <c r="C18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81" t="s">
        <v>33</v>
      </c>
      <c r="E181" t="s">
        <v>63</v>
      </c>
      <c r="F18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1">
        <f>ScenarioStat0[[#This Row],[team-1-win]]+ScenarioStat0[[#This Row],[team-2-win]]</f>
        <v>1</v>
      </c>
    </row>
    <row r="182" spans="1:7" x14ac:dyDescent="0.25">
      <c r="A182" t="s">
        <v>48</v>
      </c>
      <c r="B182" t="s">
        <v>45</v>
      </c>
      <c r="C18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82" t="s">
        <v>33</v>
      </c>
      <c r="E182" t="s">
        <v>38</v>
      </c>
      <c r="F18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2">
        <f>ScenarioStat0[[#This Row],[team-1-win]]+ScenarioStat0[[#This Row],[team-2-win]]</f>
        <v>1</v>
      </c>
    </row>
    <row r="183" spans="1:7" x14ac:dyDescent="0.25">
      <c r="A183" t="s">
        <v>48</v>
      </c>
      <c r="B183" t="s">
        <v>45</v>
      </c>
      <c r="C18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83" t="s">
        <v>43</v>
      </c>
      <c r="E183" t="s">
        <v>63</v>
      </c>
      <c r="F18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3">
        <f>ScenarioStat0[[#This Row],[team-1-win]]+ScenarioStat0[[#This Row],[team-2-win]]</f>
        <v>1</v>
      </c>
    </row>
    <row r="184" spans="1:7" x14ac:dyDescent="0.25">
      <c r="A184" t="s">
        <v>48</v>
      </c>
      <c r="B184" t="s">
        <v>45</v>
      </c>
      <c r="C18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84" t="s">
        <v>43</v>
      </c>
      <c r="E184" t="s">
        <v>38</v>
      </c>
      <c r="F18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4">
        <f>ScenarioStat0[[#This Row],[team-1-win]]+ScenarioStat0[[#This Row],[team-2-win]]</f>
        <v>1</v>
      </c>
    </row>
    <row r="185" spans="1:7" x14ac:dyDescent="0.25">
      <c r="A185" t="s">
        <v>48</v>
      </c>
      <c r="B185" t="s">
        <v>45</v>
      </c>
      <c r="C18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85" t="s">
        <v>63</v>
      </c>
      <c r="E185" t="s">
        <v>38</v>
      </c>
      <c r="F18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5">
        <f>ScenarioStat0[[#This Row],[team-1-win]]+ScenarioStat0[[#This Row],[team-2-win]]</f>
        <v>1</v>
      </c>
    </row>
    <row r="186" spans="1:7" x14ac:dyDescent="0.25">
      <c r="A186" t="s">
        <v>48</v>
      </c>
      <c r="B186" t="s">
        <v>63</v>
      </c>
      <c r="C18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86" t="s">
        <v>33</v>
      </c>
      <c r="E186" t="s">
        <v>43</v>
      </c>
      <c r="F18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6">
        <f>ScenarioStat0[[#This Row],[team-1-win]]+ScenarioStat0[[#This Row],[team-2-win]]</f>
        <v>1</v>
      </c>
    </row>
    <row r="187" spans="1:7" x14ac:dyDescent="0.25">
      <c r="A187" t="s">
        <v>48</v>
      </c>
      <c r="B187" t="s">
        <v>63</v>
      </c>
      <c r="C18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7" t="s">
        <v>33</v>
      </c>
      <c r="E187" t="s">
        <v>45</v>
      </c>
      <c r="F18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7">
        <f>ScenarioStat0[[#This Row],[team-1-win]]+ScenarioStat0[[#This Row],[team-2-win]]</f>
        <v>1</v>
      </c>
    </row>
    <row r="188" spans="1:7" x14ac:dyDescent="0.25">
      <c r="A188" t="s">
        <v>48</v>
      </c>
      <c r="B188" t="s">
        <v>63</v>
      </c>
      <c r="C18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8" t="s">
        <v>33</v>
      </c>
      <c r="E188" t="s">
        <v>38</v>
      </c>
      <c r="F18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8">
        <f>ScenarioStat0[[#This Row],[team-1-win]]+ScenarioStat0[[#This Row],[team-2-win]]</f>
        <v>1</v>
      </c>
    </row>
    <row r="189" spans="1:7" x14ac:dyDescent="0.25">
      <c r="A189" t="s">
        <v>48</v>
      </c>
      <c r="B189" t="s">
        <v>63</v>
      </c>
      <c r="C18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9" t="s">
        <v>43</v>
      </c>
      <c r="E189" t="s">
        <v>45</v>
      </c>
      <c r="F18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9">
        <f>ScenarioStat0[[#This Row],[team-1-win]]+ScenarioStat0[[#This Row],[team-2-win]]</f>
        <v>1</v>
      </c>
    </row>
    <row r="190" spans="1:7" x14ac:dyDescent="0.25">
      <c r="A190" t="s">
        <v>48</v>
      </c>
      <c r="B190" t="s">
        <v>63</v>
      </c>
      <c r="C19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0" t="s">
        <v>43</v>
      </c>
      <c r="E190" t="s">
        <v>38</v>
      </c>
      <c r="F19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0">
        <f>ScenarioStat0[[#This Row],[team-1-win]]+ScenarioStat0[[#This Row],[team-2-win]]</f>
        <v>1</v>
      </c>
    </row>
    <row r="191" spans="1:7" x14ac:dyDescent="0.25">
      <c r="A191" t="s">
        <v>48</v>
      </c>
      <c r="B191" t="s">
        <v>63</v>
      </c>
      <c r="C19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1" t="s">
        <v>45</v>
      </c>
      <c r="E191" t="s">
        <v>38</v>
      </c>
      <c r="F19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1">
        <f>ScenarioStat0[[#This Row],[team-1-win]]+ScenarioStat0[[#This Row],[team-2-win]]</f>
        <v>1</v>
      </c>
    </row>
    <row r="192" spans="1:7" x14ac:dyDescent="0.25">
      <c r="A192" t="s">
        <v>48</v>
      </c>
      <c r="B192" t="s">
        <v>38</v>
      </c>
      <c r="C19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2" t="s">
        <v>33</v>
      </c>
      <c r="E192" t="s">
        <v>43</v>
      </c>
      <c r="F19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2">
        <f>ScenarioStat0[[#This Row],[team-1-win]]+ScenarioStat0[[#This Row],[team-2-win]]</f>
        <v>1</v>
      </c>
    </row>
    <row r="193" spans="1:7" x14ac:dyDescent="0.25">
      <c r="A193" t="s">
        <v>48</v>
      </c>
      <c r="B193" t="s">
        <v>38</v>
      </c>
      <c r="C19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93" t="s">
        <v>33</v>
      </c>
      <c r="E193" t="s">
        <v>45</v>
      </c>
      <c r="F19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3">
        <f>ScenarioStat0[[#This Row],[team-1-win]]+ScenarioStat0[[#This Row],[team-2-win]]</f>
        <v>1</v>
      </c>
    </row>
    <row r="194" spans="1:7" x14ac:dyDescent="0.25">
      <c r="A194" t="s">
        <v>48</v>
      </c>
      <c r="B194" t="s">
        <v>38</v>
      </c>
      <c r="C19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4" t="s">
        <v>33</v>
      </c>
      <c r="E194" t="s">
        <v>63</v>
      </c>
      <c r="F19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4">
        <f>ScenarioStat0[[#This Row],[team-1-win]]+ScenarioStat0[[#This Row],[team-2-win]]</f>
        <v>1</v>
      </c>
    </row>
    <row r="195" spans="1:7" x14ac:dyDescent="0.25">
      <c r="A195" t="s">
        <v>48</v>
      </c>
      <c r="B195" t="s">
        <v>38</v>
      </c>
      <c r="C19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5" t="s">
        <v>43</v>
      </c>
      <c r="E195" t="s">
        <v>45</v>
      </c>
      <c r="F19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5">
        <f>ScenarioStat0[[#This Row],[team-1-win]]+ScenarioStat0[[#This Row],[team-2-win]]</f>
        <v>1</v>
      </c>
    </row>
    <row r="196" spans="1:7" x14ac:dyDescent="0.25">
      <c r="A196" t="s">
        <v>48</v>
      </c>
      <c r="B196" t="s">
        <v>38</v>
      </c>
      <c r="C19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6" t="s">
        <v>43</v>
      </c>
      <c r="E196" t="s">
        <v>63</v>
      </c>
      <c r="F19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6">
        <f>ScenarioStat0[[#This Row],[team-1-win]]+ScenarioStat0[[#This Row],[team-2-win]]</f>
        <v>1</v>
      </c>
    </row>
    <row r="197" spans="1:7" x14ac:dyDescent="0.25">
      <c r="A197" t="s">
        <v>48</v>
      </c>
      <c r="B197" t="s">
        <v>38</v>
      </c>
      <c r="C19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7" t="s">
        <v>45</v>
      </c>
      <c r="E197" t="s">
        <v>63</v>
      </c>
      <c r="F19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7">
        <f>ScenarioStat0[[#This Row],[team-1-win]]+ScenarioStat0[[#This Row],[team-2-win]]</f>
        <v>1</v>
      </c>
    </row>
    <row r="198" spans="1:7" x14ac:dyDescent="0.25">
      <c r="A198" t="s">
        <v>33</v>
      </c>
      <c r="B198" t="s">
        <v>43</v>
      </c>
      <c r="C19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8" t="s">
        <v>45</v>
      </c>
      <c r="E198" t="s">
        <v>63</v>
      </c>
      <c r="F19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8">
        <f>ScenarioStat0[[#This Row],[team-1-win]]+ScenarioStat0[[#This Row],[team-2-win]]</f>
        <v>1</v>
      </c>
    </row>
    <row r="199" spans="1:7" x14ac:dyDescent="0.25">
      <c r="A199" t="s">
        <v>33</v>
      </c>
      <c r="B199" t="s">
        <v>43</v>
      </c>
      <c r="C19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9" t="s">
        <v>45</v>
      </c>
      <c r="E199" t="s">
        <v>38</v>
      </c>
      <c r="F19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9">
        <f>ScenarioStat0[[#This Row],[team-1-win]]+ScenarioStat0[[#This Row],[team-2-win]]</f>
        <v>1</v>
      </c>
    </row>
    <row r="200" spans="1:7" x14ac:dyDescent="0.25">
      <c r="A200" t="s">
        <v>33</v>
      </c>
      <c r="B200" t="s">
        <v>43</v>
      </c>
      <c r="C20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0" t="s">
        <v>63</v>
      </c>
      <c r="E200" t="s">
        <v>38</v>
      </c>
      <c r="F20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00">
        <f>ScenarioStat0[[#This Row],[team-1-win]]+ScenarioStat0[[#This Row],[team-2-win]]</f>
        <v>1</v>
      </c>
    </row>
    <row r="201" spans="1:7" x14ac:dyDescent="0.25">
      <c r="A201" t="s">
        <v>33</v>
      </c>
      <c r="B201" t="s">
        <v>45</v>
      </c>
      <c r="C20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1" t="s">
        <v>43</v>
      </c>
      <c r="E201" t="s">
        <v>63</v>
      </c>
      <c r="F20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01">
        <f>ScenarioStat0[[#This Row],[team-1-win]]+ScenarioStat0[[#This Row],[team-2-win]]</f>
        <v>1</v>
      </c>
    </row>
    <row r="202" spans="1:7" x14ac:dyDescent="0.25">
      <c r="A202" t="s">
        <v>33</v>
      </c>
      <c r="B202" t="s">
        <v>45</v>
      </c>
      <c r="C20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2" t="s">
        <v>43</v>
      </c>
      <c r="E202" t="s">
        <v>38</v>
      </c>
      <c r="F20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02">
        <f>ScenarioStat0[[#This Row],[team-1-win]]+ScenarioStat0[[#This Row],[team-2-win]]</f>
        <v>1</v>
      </c>
    </row>
    <row r="203" spans="1:7" x14ac:dyDescent="0.25">
      <c r="A203" t="s">
        <v>33</v>
      </c>
      <c r="B203" t="s">
        <v>45</v>
      </c>
      <c r="C20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3" t="s">
        <v>63</v>
      </c>
      <c r="E203" t="s">
        <v>38</v>
      </c>
      <c r="F20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3">
        <f>ScenarioStat0[[#This Row],[team-1-win]]+ScenarioStat0[[#This Row],[team-2-win]]</f>
        <v>1</v>
      </c>
    </row>
    <row r="204" spans="1:7" x14ac:dyDescent="0.25">
      <c r="A204" t="s">
        <v>33</v>
      </c>
      <c r="B204" t="s">
        <v>63</v>
      </c>
      <c r="C20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4" t="s">
        <v>43</v>
      </c>
      <c r="E204" t="s">
        <v>45</v>
      </c>
      <c r="F20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04">
        <f>ScenarioStat0[[#This Row],[team-1-win]]+ScenarioStat0[[#This Row],[team-2-win]]</f>
        <v>1</v>
      </c>
    </row>
    <row r="205" spans="1:7" x14ac:dyDescent="0.25">
      <c r="A205" t="s">
        <v>33</v>
      </c>
      <c r="B205" t="s">
        <v>63</v>
      </c>
      <c r="C20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5" t="s">
        <v>43</v>
      </c>
      <c r="E205" t="s">
        <v>38</v>
      </c>
      <c r="F20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5">
        <f>ScenarioStat0[[#This Row],[team-1-win]]+ScenarioStat0[[#This Row],[team-2-win]]</f>
        <v>1</v>
      </c>
    </row>
    <row r="206" spans="1:7" x14ac:dyDescent="0.25">
      <c r="A206" t="s">
        <v>33</v>
      </c>
      <c r="B206" t="s">
        <v>63</v>
      </c>
      <c r="C20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6" t="s">
        <v>45</v>
      </c>
      <c r="E206" t="s">
        <v>38</v>
      </c>
      <c r="F20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6">
        <f>ScenarioStat0[[#This Row],[team-1-win]]+ScenarioStat0[[#This Row],[team-2-win]]</f>
        <v>1</v>
      </c>
    </row>
    <row r="207" spans="1:7" x14ac:dyDescent="0.25">
      <c r="A207" t="s">
        <v>33</v>
      </c>
      <c r="B207" t="s">
        <v>38</v>
      </c>
      <c r="C20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7" t="s">
        <v>43</v>
      </c>
      <c r="E207" t="s">
        <v>45</v>
      </c>
      <c r="F20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7">
        <f>ScenarioStat0[[#This Row],[team-1-win]]+ScenarioStat0[[#This Row],[team-2-win]]</f>
        <v>1</v>
      </c>
    </row>
    <row r="208" spans="1:7" x14ac:dyDescent="0.25">
      <c r="A208" t="s">
        <v>33</v>
      </c>
      <c r="B208" t="s">
        <v>38</v>
      </c>
      <c r="C20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8" t="s">
        <v>43</v>
      </c>
      <c r="E208" t="s">
        <v>63</v>
      </c>
      <c r="F20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8">
        <f>ScenarioStat0[[#This Row],[team-1-win]]+ScenarioStat0[[#This Row],[team-2-win]]</f>
        <v>1</v>
      </c>
    </row>
    <row r="209" spans="1:7" x14ac:dyDescent="0.25">
      <c r="A209" t="s">
        <v>33</v>
      </c>
      <c r="B209" t="s">
        <v>38</v>
      </c>
      <c r="C20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9" t="s">
        <v>45</v>
      </c>
      <c r="E209" t="s">
        <v>63</v>
      </c>
      <c r="F20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9">
        <f>ScenarioStat0[[#This Row],[team-1-win]]+ScenarioStat0[[#This Row],[team-2-win]]</f>
        <v>1</v>
      </c>
    </row>
    <row r="210" spans="1:7" x14ac:dyDescent="0.25">
      <c r="A210" t="s">
        <v>43</v>
      </c>
      <c r="B210" t="s">
        <v>45</v>
      </c>
      <c r="C21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10" t="s">
        <v>63</v>
      </c>
      <c r="E210" t="s">
        <v>38</v>
      </c>
      <c r="F21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10">
        <f>ScenarioStat0[[#This Row],[team-1-win]]+ScenarioStat0[[#This Row],[team-2-win]]</f>
        <v>1</v>
      </c>
    </row>
    <row r="211" spans="1:7" x14ac:dyDescent="0.25">
      <c r="A211" t="s">
        <v>43</v>
      </c>
      <c r="B211" t="s">
        <v>63</v>
      </c>
      <c r="C21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11" t="s">
        <v>45</v>
      </c>
      <c r="E211" t="s">
        <v>38</v>
      </c>
      <c r="F21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11">
        <f>ScenarioStat0[[#This Row],[team-1-win]]+ScenarioStat0[[#This Row],[team-2-win]]</f>
        <v>1</v>
      </c>
    </row>
    <row r="212" spans="1:7" x14ac:dyDescent="0.25">
      <c r="A212" t="s">
        <v>43</v>
      </c>
      <c r="B212" t="s">
        <v>38</v>
      </c>
      <c r="C21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12" t="s">
        <v>45</v>
      </c>
      <c r="E212" t="s">
        <v>63</v>
      </c>
      <c r="F21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12">
        <f>ScenarioStat0[[#This Row],[team-1-win]]+ScenarioStat0[[#This Row],[team-2-win]]</f>
        <v>1</v>
      </c>
    </row>
  </sheetData>
  <mergeCells count="2">
    <mergeCell ref="A1:G1"/>
    <mergeCell ref="I1:M1"/>
  </mergeCells>
  <phoneticPr fontId="3" type="noConversion"/>
  <conditionalFormatting sqref="M3:M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7AFB-004D-4175-994B-08B8CCB00629}">
  <dimension ref="A1:V125"/>
  <sheetViews>
    <sheetView workbookViewId="0">
      <selection activeCell="D28" sqref="D28"/>
    </sheetView>
  </sheetViews>
  <sheetFormatPr defaultRowHeight="15" x14ac:dyDescent="0.25"/>
  <cols>
    <col min="1" max="1" width="19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10.7109375" bestFit="1" customWidth="1"/>
    <col min="9" max="9" width="12.85546875" bestFit="1" customWidth="1"/>
    <col min="10" max="10" width="3.85546875" customWidth="1"/>
    <col min="11" max="11" width="19.85546875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4" customWidth="1"/>
    <col min="17" max="17" width="7.7109375" bestFit="1" customWidth="1"/>
    <col min="18" max="18" width="10.710937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9"/>
      <c r="K1" s="37" t="s">
        <v>182</v>
      </c>
      <c r="L1" s="38"/>
      <c r="M1" s="38"/>
      <c r="N1" s="38"/>
      <c r="O1" s="38"/>
      <c r="P1" s="38"/>
      <c r="Q1" s="38"/>
      <c r="R1" s="38"/>
      <c r="S1" s="39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170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170</v>
      </c>
      <c r="S2" s="18" t="s">
        <v>164</v>
      </c>
      <c r="U2" t="s">
        <v>203</v>
      </c>
      <c r="V2" s="3">
        <f>H4/SUM(LightbringerEquip[hammer])</f>
        <v>0.2805194805194805</v>
      </c>
    </row>
    <row r="3" spans="1:22" x14ac:dyDescent="0.25">
      <c r="A3" t="s">
        <v>72</v>
      </c>
      <c r="B3">
        <f>L3+L24+L45+L66+L87+L108</f>
        <v>164</v>
      </c>
      <c r="C3">
        <f>M3+M24+M45+M66+M87+M108</f>
        <v>62</v>
      </c>
      <c r="D3" s="3">
        <f>IF(SUM(LightbringerAbilities1[[#This Row],[takes]]) &gt; 0,LightbringerAbilities1[[#This Row],[takes]]/SUM(LightbringerAbilities1[takes]),0)</f>
        <v>0.42597402597402595</v>
      </c>
      <c r="E3" s="3">
        <f>IF(LightbringerAbilities1[[#This Row],[takes]]&gt;0,LightbringerAbilities1[[#This Row],[wins]]/LightbringerAbilities1[[#This Row],[takes]],0)</f>
        <v>0.37804878048780488</v>
      </c>
      <c r="G3">
        <v>1</v>
      </c>
      <c r="H3">
        <f>R3+R24+R45+R66+R87+R108</f>
        <v>189</v>
      </c>
      <c r="I3" s="18">
        <f>S3+S24+S45+S66+S87+S108</f>
        <v>283</v>
      </c>
      <c r="K3" t="s">
        <v>72</v>
      </c>
      <c r="L3">
        <f>COUNTIF(Scenario0[winner1-ability1],LightbringerAbilities1Scenario0[[#This Row],[ability]])+COUNTIF(Scenario0[winner2-ability1],LightbringerAbilities1Scenario0[[#This Row],[ability]])+COUNTIF(Scenario0[loser1-ability1],LightbringerAbilities1Scenario0[[#This Row],[ability]])+COUNTIF(Scenario0[loser2-ability1],LightbringerAbilities1Scenario0[[#This Row],[ability]])</f>
        <v>38</v>
      </c>
      <c r="M3">
        <f>COUNTIF(Scenario0[winner1-ability1],LightbringerAbilities1Scenario0[[#This Row],[ability]])+COUNTIF(Scenario0[winner2-ability1],LightbringerAbilities1Scenario0[[#This Row],[ability]])</f>
        <v>10</v>
      </c>
      <c r="N3" s="3">
        <f>IF(SUM(LightbringerAbilities1Scenario0[[#This Row],[takes]]) &gt; 0,LightbringerAbilities1Scenario0[[#This Row],[takes]]/SUM(LightbringerAbilities1Scenario0[takes]),0)</f>
        <v>0.3619047619047619</v>
      </c>
      <c r="O3" s="3">
        <f>IF(LightbringerAbilities1Scenario0[[#This Row],[takes]]&gt;0,LightbringerAbilities1Scenario0[[#This Row],[wins]]/LightbringerAbilities1Scenario0[[#This Row],[takes]],0)</f>
        <v>0.26315789473684209</v>
      </c>
      <c r="Q3">
        <v>1</v>
      </c>
      <c r="R3">
        <f>COUNTIFS(Scenario0[winner1],"lightbringer",Scenario0[winner1-pw],LightbringerEquipScenario0[[#This Row],[level]])+COUNTIFS(Scenario0[winner2],"lightbringer",Scenario0[winner2-pw],LightbringerEquipScenario0[[#This Row],[level]])+COUNTIFS(Scenario0[loser1],"lightbringer",Scenario0[loser1-pw],LightbringerEquipScenario0[[#This Row],[level]])+COUNTIFS(Scenario0[loser2],"lightbringer",Scenario0[loser2-pw],LightbringerEquipScenario0[[#This Row],[level]])</f>
        <v>73</v>
      </c>
      <c r="S3" s="18">
        <f>COUNTIFS(Scenario0[winner1],"lightbringer",Scenario0[winner1-cp],LightbringerEquipScenario0[[#This Row],[level]])+COUNTIFS(Scenario0[winner2],"lightbringer",Scenario0[winner2-cp],LightbringerEquipScenario0[[#This Row],[level]])+COUNTIFS(Scenario0[loser1],"lightbringer",Scenario0[loser1-cp],LightbringerEquipScenario0[[#This Row],[level]])+COUNTIFS(Scenario0[loser2],"lightbringer",Scenario0[loser2-cp],LightbringerEquipScenario0[[#This Row],[level]])</f>
        <v>95</v>
      </c>
      <c r="U3" t="s">
        <v>204</v>
      </c>
      <c r="V3" s="16">
        <f>H5/SUM(LightbringerEquip[hammer])</f>
        <v>0.22857142857142856</v>
      </c>
    </row>
    <row r="4" spans="1:22" x14ac:dyDescent="0.25">
      <c r="A4" t="s">
        <v>145</v>
      </c>
      <c r="B4">
        <f t="shared" ref="B4:B5" si="0">L4+L25+L46+L67+L88+L109</f>
        <v>84</v>
      </c>
      <c r="C4">
        <f t="shared" ref="C4:C5" si="1">M4+M25+M46+M67+M88+M109</f>
        <v>50</v>
      </c>
      <c r="D4" s="3">
        <f>IF(SUM(LightbringerAbilities1[[#This Row],[takes]]) &gt; 0,LightbringerAbilities1[[#This Row],[takes]]/SUM(LightbringerAbilities1[takes]),0)</f>
        <v>0.21818181818181817</v>
      </c>
      <c r="E4" s="3">
        <f>IF(LightbringerAbilities1[[#This Row],[takes]]&gt;0,LightbringerAbilities1[[#This Row],[wins]]/LightbringerAbilities1[[#This Row],[takes]],0)</f>
        <v>0.59523809523809523</v>
      </c>
      <c r="G4">
        <v>2</v>
      </c>
      <c r="H4">
        <f t="shared" ref="H4:H5" si="2">R4+R25+R46+R67+R88+R109</f>
        <v>108</v>
      </c>
      <c r="I4" s="18">
        <f t="shared" ref="I4:I5" si="3">S4+S25+S46+S67+S88+S109</f>
        <v>51</v>
      </c>
      <c r="K4" t="s">
        <v>145</v>
      </c>
      <c r="L4">
        <f>COUNTIF(Scenario0[winner1-ability1],LightbringerAbilities1Scenario0[[#This Row],[ability]])+COUNTIF(Scenario0[winner2-ability1],LightbringerAbilities1Scenario0[[#This Row],[ability]])+COUNTIF(Scenario0[loser1-ability1],LightbringerAbilities1Scenario0[[#This Row],[ability]])+COUNTIF(Scenario0[loser2-ability1],LightbringerAbilities1Scenario0[[#This Row],[ability]])</f>
        <v>5</v>
      </c>
      <c r="M4">
        <f>COUNTIF(Scenario0[winner1-ability1],LightbringerAbilities1Scenario0[[#This Row],[ability]])+COUNTIF(Scenario0[winner2-ability1],LightbringerAbilities1Scenario0[[#This Row],[ability]])</f>
        <v>4</v>
      </c>
      <c r="N4" s="3">
        <f>IF(SUM(LightbringerAbilities1Scenario0[[#This Row],[takes]]) &gt; 0,LightbringerAbilities1Scenario0[[#This Row],[takes]]/SUM(LightbringerAbilities1Scenario0[takes]),0)</f>
        <v>4.7619047619047616E-2</v>
      </c>
      <c r="O4" s="3">
        <f>IF(LightbringerAbilities1Scenario0[[#This Row],[takes]]&gt;0,LightbringerAbilities1Scenario0[[#This Row],[wins]]/LightbringerAbilities1Scenario0[[#This Row],[takes]],0)</f>
        <v>0.8</v>
      </c>
      <c r="Q4">
        <v>2</v>
      </c>
      <c r="R4">
        <f>COUNTIFS(Scenario0[winner1],"lightbringer",Scenario0[winner1-pw],LightbringerEquipScenario0[[#This Row],[level]])+COUNTIFS(Scenario0[winner2],"lightbringer",Scenario0[winner2-pw],LightbringerEquipScenario0[[#This Row],[level]])+COUNTIFS(Scenario0[loser1],"lightbringer",Scenario0[loser1-pw],LightbringerEquipScenario0[[#This Row],[level]])+COUNTIFS(Scenario0[loser2],"lightbringer",Scenario0[loser2-pw],LightbringerEquipScenario0[[#This Row],[level]])</f>
        <v>25</v>
      </c>
      <c r="S4" s="18">
        <f>COUNTIFS(Scenario0[winner1],"lightbringer",Scenario0[winner1-cp],LightbringerEquipScenario0[[#This Row],[level]])+COUNTIFS(Scenario0[winner2],"lightbringer",Scenario0[winner2-cp],LightbringerEquipScenario0[[#This Row],[level]])+COUNTIFS(Scenario0[loser1],"lightbringer",Scenario0[loser1-cp],LightbringerEquipScenario0[[#This Row],[level]])+COUNTIFS(Scenario0[loser2],"lightbringer",Scenario0[loser2-cp],LightbringerEquipScenario0[[#This Row],[level]])</f>
        <v>8</v>
      </c>
      <c r="U4" t="s">
        <v>179</v>
      </c>
      <c r="V4" s="3">
        <f>LightbringerEquip[[#This Row],[chestpiece]]/SUM(LightbringerEquip[chestpiece])</f>
        <v>0.13246753246753246</v>
      </c>
    </row>
    <row r="5" spans="1:22" x14ac:dyDescent="0.25">
      <c r="A5" t="s">
        <v>103</v>
      </c>
      <c r="B5">
        <f t="shared" si="0"/>
        <v>137</v>
      </c>
      <c r="C5">
        <f t="shared" si="1"/>
        <v>76</v>
      </c>
      <c r="D5" s="3">
        <f>IF(SUM(LightbringerAbilities1[[#This Row],[takes]]) &gt; 0,LightbringerAbilities1[[#This Row],[takes]]/SUM(LightbringerAbilities1[takes]),0)</f>
        <v>0.35584415584415585</v>
      </c>
      <c r="E5" s="3">
        <f>IF(LightbringerAbilities1[[#This Row],[takes]]&gt;0,LightbringerAbilities1[[#This Row],[wins]]/LightbringerAbilities1[[#This Row],[takes]],0)</f>
        <v>0.55474452554744524</v>
      </c>
      <c r="G5">
        <v>3</v>
      </c>
      <c r="H5">
        <f t="shared" si="2"/>
        <v>88</v>
      </c>
      <c r="I5" s="18">
        <f t="shared" si="3"/>
        <v>51</v>
      </c>
      <c r="K5" t="s">
        <v>103</v>
      </c>
      <c r="L5">
        <f>COUNTIF(Scenario0[winner1-ability1],LightbringerAbilities1Scenario0[[#This Row],[ability]])+COUNTIF(Scenario0[winner2-ability1],LightbringerAbilities1Scenario0[[#This Row],[ability]])+COUNTIF(Scenario0[loser1-ability1],LightbringerAbilities1Scenario0[[#This Row],[ability]])+COUNTIF(Scenario0[loser2-ability1],LightbringerAbilities1Scenario0[[#This Row],[ability]])</f>
        <v>62</v>
      </c>
      <c r="M5">
        <f>COUNTIF(Scenario0[winner1-ability1],LightbringerAbilities1Scenario0[[#This Row],[ability]])+COUNTIF(Scenario0[winner2-ability1],LightbringerAbilities1Scenario0[[#This Row],[ability]])</f>
        <v>32</v>
      </c>
      <c r="N5" s="3">
        <f>IF(SUM(LightbringerAbilities1Scenario0[[#This Row],[takes]]) &gt; 0,LightbringerAbilities1Scenario0[[#This Row],[takes]]/SUM(LightbringerAbilities1Scenario0[takes]),0)</f>
        <v>0.59047619047619049</v>
      </c>
      <c r="O5" s="3">
        <f>IF(LightbringerAbilities1Scenario0[[#This Row],[takes]]&gt;0,LightbringerAbilities1Scenario0[[#This Row],[wins]]/LightbringerAbilities1Scenario0[[#This Row],[takes]],0)</f>
        <v>0.5161290322580645</v>
      </c>
      <c r="Q5">
        <v>3</v>
      </c>
      <c r="R5">
        <f>COUNTIFS(Scenario0[winner1],"lightbringer",Scenario0[winner1-pw],LightbringerEquipScenario0[[#This Row],[level]])+COUNTIFS(Scenario0[winner2],"lightbringer",Scenario0[winner2-pw],LightbringerEquipScenario0[[#This Row],[level]])+COUNTIFS(Scenario0[loser1],"lightbringer",Scenario0[loser1-pw],LightbringerEquipScenario0[[#This Row],[level]])+COUNTIFS(Scenario0[loser2],"lightbringer",Scenario0[loser2-pw],LightbringerEquipScenario0[[#This Row],[level]])</f>
        <v>7</v>
      </c>
      <c r="S5" s="18">
        <f>COUNTIFS(Scenario0[winner1],"lightbringer",Scenario0[winner1-cp],LightbringerEquipScenario0[[#This Row],[level]])+COUNTIFS(Scenario0[winner2],"lightbringer",Scenario0[winner2-cp],LightbringerEquipScenario0[[#This Row],[level]])+COUNTIFS(Scenario0[loser1],"lightbringer",Scenario0[loser1-cp],LightbringerEquipScenario0[[#This Row],[level]])+COUNTIFS(Scenario0[loser2],"lightbringer",Scenario0[loser2-cp],LightbringerEquipScenario0[[#This Row],[level]])</f>
        <v>2</v>
      </c>
      <c r="U5" t="s">
        <v>180</v>
      </c>
      <c r="V5" s="16">
        <f>LightbringerEquip[[#This Row],[chestpiece]]/SUM(LightbringerEquip[chestpiece])</f>
        <v>0.13246753246753246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SUM(LightbringerAbilities2[takes])/SUM(LightbringerAbilities1[takes])</f>
        <v>0.83636363636363631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SUM(LightbringerAbilities3[takes])/SUM(LightbringerAbilities1[takes])</f>
        <v>0.53506493506493502</v>
      </c>
    </row>
    <row r="8" spans="1:22" x14ac:dyDescent="0.25">
      <c r="A8" s="2" t="s">
        <v>95</v>
      </c>
      <c r="B8" s="2">
        <f>L8+L29+L50+L71+L92+L113</f>
        <v>153</v>
      </c>
      <c r="C8" s="2">
        <f>M8+M29+M50+M71+M92+M113</f>
        <v>91</v>
      </c>
      <c r="D8" s="12">
        <f>IF(SUM(LightbringerAbilities2[[#This Row],[takes]]) &gt; 0,LightbringerAbilities2[[#This Row],[takes]]/SUM(LightbringerAbilities2[takes]),0)</f>
        <v>0.4751552795031056</v>
      </c>
      <c r="E8" s="12">
        <f>IF(LightbringerAbilities2[[#This Row],[takes]]&gt;0,LightbringerAbilities2[[#This Row],[wins]]/LightbringerAbilities2[[#This Row],[takes]],0)</f>
        <v>0.59477124183006536</v>
      </c>
      <c r="I8" s="18"/>
      <c r="K8" s="2" t="s">
        <v>95</v>
      </c>
      <c r="L8" s="2">
        <f>COUNTIF(Scenario0[winner1-ability2],LightbringerAbilities2Scenario0[[#This Row],[ability]])+COUNTIF(Scenario0[winner2-ability2],LightbringerAbilities2Scenario0[[#This Row],[ability]])+COUNTIF(Scenario0[loser1-ability2],LightbringerAbilities2Scenario0[[#This Row],[ability]])+COUNTIF(Scenario0[loser2-ability2],LightbringerAbilities2Scenario0[[#This Row],[ability]])</f>
        <v>30</v>
      </c>
      <c r="M8" s="2">
        <f>COUNTIF(Scenario0[winner1-ability2],LightbringerAbilities2Scenario0[[#This Row],[ability]])+COUNTIF(Scenario0[winner2-ability2],LightbringerAbilities2Scenario0[[#This Row],[ability]])</f>
        <v>20</v>
      </c>
      <c r="N8" s="12">
        <f>IF(SUM(LightbringerAbilities2Scenario0[[#This Row],[takes]]) &gt; 0,LightbringerAbilities2Scenario0[[#This Row],[takes]]/SUM(LightbringerAbilities2Scenario0[takes]),0)</f>
        <v>0.5</v>
      </c>
      <c r="O8" s="12">
        <f>IF(LightbringerAbilities2Scenario0[[#This Row],[takes]]&gt;0,LightbringerAbilities2Scenario0[[#This Row],[wins]]/LightbringerAbilities2Scenario0[[#This Row],[takes]],0)</f>
        <v>0.66666666666666663</v>
      </c>
      <c r="S8" s="18"/>
      <c r="U8" t="s">
        <v>178</v>
      </c>
      <c r="V8" s="16">
        <f>SUM(LightbringerAbilities4[takes])/SUM(LightbringerAbilities1[takes])</f>
        <v>0.33246753246753247</v>
      </c>
    </row>
    <row r="9" spans="1:22" x14ac:dyDescent="0.25">
      <c r="A9" t="s">
        <v>146</v>
      </c>
      <c r="B9" s="2">
        <f t="shared" ref="B9:B10" si="4">L9+L30+L51+L72+L93+L114</f>
        <v>141</v>
      </c>
      <c r="C9" s="2">
        <f t="shared" ref="C9:C10" si="5">M9+M30+M51+M72+M93+M114</f>
        <v>67</v>
      </c>
      <c r="D9" s="3">
        <f>IF(SUM(LightbringerAbilities2[[#This Row],[takes]]) &gt; 0,LightbringerAbilities2[[#This Row],[takes]]/SUM(LightbringerAbilities2[takes]),0)</f>
        <v>0.43788819875776397</v>
      </c>
      <c r="E9" s="3">
        <f>IF(LightbringerAbilities2[[#This Row],[takes]]&gt;0,LightbringerAbilities2[[#This Row],[wins]]/LightbringerAbilities2[[#This Row],[takes]],0)</f>
        <v>0.47517730496453903</v>
      </c>
      <c r="I9" s="18"/>
      <c r="K9" t="s">
        <v>146</v>
      </c>
      <c r="L9" s="2">
        <f>COUNTIF(Scenario0[winner1-ability2],LightbringerAbilities2Scenario0[[#This Row],[ability]])+COUNTIF(Scenario0[winner2-ability2],LightbringerAbilities2Scenario0[[#This Row],[ability]])+COUNTIF(Scenario0[loser1-ability2],LightbringerAbilities2Scenario0[[#This Row],[ability]])+COUNTIF(Scenario0[loser2-ability2],LightbringerAbilities2Scenario0[[#This Row],[ability]])</f>
        <v>12</v>
      </c>
      <c r="M9" s="2">
        <f>COUNTIF(Scenario0[winner1-ability2],LightbringerAbilities2Scenario0[[#This Row],[ability]])+COUNTIF(Scenario0[winner2-ability2],LightbringerAbilities2Scenario0[[#This Row],[ability]])</f>
        <v>5</v>
      </c>
      <c r="N9" s="3">
        <f>IF(SUM(LightbringerAbilities2Scenario0[[#This Row],[takes]]) &gt; 0,LightbringerAbilities2Scenario0[[#This Row],[takes]]/SUM(LightbringerAbilities2Scenario0[takes]),0)</f>
        <v>0.2</v>
      </c>
      <c r="O9" s="3">
        <f>IF(LightbringerAbilities2Scenario0[[#This Row],[takes]]&gt;0,LightbringerAbilities2Scenario0[[#This Row],[wins]]/LightbringerAbilities2Scenario0[[#This Row],[takes]],0)</f>
        <v>0.41666666666666669</v>
      </c>
      <c r="S9" s="18"/>
      <c r="U9" t="s">
        <v>194</v>
      </c>
      <c r="V9" s="33">
        <f>(SUM(LightbringerAbilities2[takes])+SUM(LightbringerAbilities3[takes])+SUM(LightbringerAbilities4[takes])+SUM(H4:H5)+SUM(I4:I5))/SUM(LightbringerAbilities1[takes])</f>
        <v>2.4779220779220781</v>
      </c>
    </row>
    <row r="10" spans="1:22" x14ac:dyDescent="0.25">
      <c r="A10" s="10" t="s">
        <v>91</v>
      </c>
      <c r="B10" s="2">
        <f t="shared" si="4"/>
        <v>28</v>
      </c>
      <c r="C10" s="2">
        <f t="shared" si="5"/>
        <v>10</v>
      </c>
      <c r="D10" s="13">
        <f>IF(SUM(LightbringerAbilities2[[#This Row],[takes]]) &gt; 0,LightbringerAbilities2[[#This Row],[takes]]/SUM(LightbringerAbilities2[takes]),0)</f>
        <v>8.6956521739130432E-2</v>
      </c>
      <c r="E10" s="13">
        <f>IF(LightbringerAbilities2[[#This Row],[takes]]&gt;0,LightbringerAbilities2[[#This Row],[wins]]/LightbringerAbilities2[[#This Row],[takes]],0)</f>
        <v>0.35714285714285715</v>
      </c>
      <c r="I10" s="18"/>
      <c r="K10" s="10" t="s">
        <v>91</v>
      </c>
      <c r="L10" s="2">
        <f>COUNTIF(Scenario0[winner1-ability2],LightbringerAbilities2Scenario0[[#This Row],[ability]])+COUNTIF(Scenario0[winner2-ability2],LightbringerAbilities2Scenario0[[#This Row],[ability]])+COUNTIF(Scenario0[loser1-ability2],LightbringerAbilities2Scenario0[[#This Row],[ability]])+COUNTIF(Scenario0[loser2-ability2],LightbringerAbilities2Scenario0[[#This Row],[ability]])</f>
        <v>18</v>
      </c>
      <c r="M10" s="2">
        <f>COUNTIF(Scenario0[winner1-ability2],LightbringerAbilities2Scenario0[[#This Row],[ability]])+COUNTIF(Scenario0[winner2-ability2],LightbringerAbilities2Scenario0[[#This Row],[ability]])</f>
        <v>6</v>
      </c>
      <c r="N10" s="13">
        <f>IF(SUM(LightbringerAbilities2Scenario0[[#This Row],[takes]]) &gt; 0,LightbringerAbilities2Scenario0[[#This Row],[takes]]/SUM(LightbringerAbilities2Scenario0[takes]),0)</f>
        <v>0.3</v>
      </c>
      <c r="O10" s="13">
        <f>IF(LightbringerAbilities2Scenario0[[#This Row],[takes]]&gt;0,LightbringerAbilities2Scenario0[[#This Row],[wins]]/LightbringerAbilities2Scenario0[[#This Row],[takes]],0)</f>
        <v>0.33333333333333331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104</v>
      </c>
      <c r="B13" s="1">
        <f>L13+L34+L55+L76+L97+L118</f>
        <v>102</v>
      </c>
      <c r="C13" s="1">
        <f>M13+M34+M55+M76+M97+M118</f>
        <v>52</v>
      </c>
      <c r="D13" s="14">
        <f>IF(SUM(LightbringerAbilities3[[#This Row],[takes]]) &gt; 0,LightbringerAbilities3[[#This Row],[takes]]/SUM(LightbringerAbilities3[takes]),0)</f>
        <v>0.49514563106796117</v>
      </c>
      <c r="E13" s="14">
        <f>IF(LightbringerAbilities3[[#This Row],[takes]]&gt;0,LightbringerAbilities3[[#This Row],[wins]]/LightbringerAbilities3[[#This Row],[takes]],0)</f>
        <v>0.50980392156862742</v>
      </c>
      <c r="I13" s="18"/>
      <c r="K13" s="1" t="s">
        <v>104</v>
      </c>
      <c r="L13" s="1">
        <f>COUNTIF(Scenario0[winner1-ability3],LightbringerAbilities3Scenario0[[#This Row],[ability]])+COUNTIF(Scenario0[winner2-ability3],LightbringerAbilities3Scenario0[[#This Row],[ability]])+COUNTIF(Scenario0[loser1-ability3],LightbringerAbilities3Scenario0[[#This Row],[ability]])+COUNTIF(Scenario0[loser2-ability3],LightbringerAbilities3Scenario0[[#This Row],[ability]])</f>
        <v>7</v>
      </c>
      <c r="M13" s="1">
        <f>COUNTIF(Scenario0[winner1-ability3],LightbringerAbilities3Scenario0[[#This Row],[ability]])+COUNTIF(Scenario0[winner2-ability3],LightbringerAbilities3Scenario0[[#This Row],[ability]])</f>
        <v>3</v>
      </c>
      <c r="N13" s="14">
        <f>IF(SUM(LightbringerAbilities3Scenario0[[#This Row],[takes]]) &gt; 0,LightbringerAbilities3Scenario0[[#This Row],[takes]]/SUM(LightbringerAbilities3Scenario0[takes]),0)</f>
        <v>0.58333333333333337</v>
      </c>
      <c r="O13" s="14">
        <f>IF(LightbringerAbilities3Scenario0[[#This Row],[takes]]&gt;0,LightbringerAbilities3Scenario0[[#This Row],[wins]]/LightbringerAbilities3Scenario0[[#This Row],[takes]],0)</f>
        <v>0.42857142857142855</v>
      </c>
      <c r="S13" s="18"/>
    </row>
    <row r="14" spans="1:22" x14ac:dyDescent="0.25">
      <c r="A14" s="2" t="s">
        <v>147</v>
      </c>
      <c r="B14" s="2">
        <f t="shared" ref="B14:B15" si="6">L14+L35+L56+L77+L98+L119</f>
        <v>69</v>
      </c>
      <c r="C14" s="2">
        <f t="shared" ref="C14:C15" si="7">M14+M35+M56+M77+M98+M119</f>
        <v>37</v>
      </c>
      <c r="D14" s="12">
        <f>IF(SUM(LightbringerAbilities3[[#This Row],[takes]]) &gt; 0,LightbringerAbilities3[[#This Row],[takes]]/SUM(LightbringerAbilities3[takes]),0)</f>
        <v>0.33495145631067963</v>
      </c>
      <c r="E14" s="12">
        <f>IF(LightbringerAbilities3[[#This Row],[takes]]&gt;0,LightbringerAbilities3[[#This Row],[wins]]/LightbringerAbilities3[[#This Row],[takes]],0)</f>
        <v>0.53623188405797106</v>
      </c>
      <c r="I14" s="18"/>
      <c r="K14" s="2" t="s">
        <v>147</v>
      </c>
      <c r="L14" s="2">
        <f>COUNTIF(Scenario0[winner1-ability3],LightbringerAbilities3Scenario0[[#This Row],[ability]])+COUNTIF(Scenario0[winner2-ability3],LightbringerAbilities3Scenario0[[#This Row],[ability]])+COUNTIF(Scenario0[loser1-ability3],LightbringerAbilities3Scenario0[[#This Row],[ability]])+COUNTIF(Scenario0[loser2-ability3],LightbringerAbilities3Scenario0[[#This Row],[ability]])</f>
        <v>4</v>
      </c>
      <c r="M14" s="2">
        <f>COUNTIF(Scenario0[winner1-ability3],LightbringerAbilities3Scenario0[[#This Row],[ability]])+COUNTIF(Scenario0[winner2-ability3],LightbringerAbilities3Scenario0[[#This Row],[ability]])</f>
        <v>2</v>
      </c>
      <c r="N14" s="12">
        <f>IF(SUM(LightbringerAbilities3Scenario0[[#This Row],[takes]]) &gt; 0,LightbringerAbilities3Scenario0[[#This Row],[takes]]/SUM(LightbringerAbilities3Scenario0[takes]),0)</f>
        <v>0.33333333333333331</v>
      </c>
      <c r="O14" s="12">
        <f>IF(LightbringerAbilities3Scenario0[[#This Row],[takes]]&gt;0,LightbringerAbilities3Scenario0[[#This Row],[wins]]/LightbringerAbilities3Scenario0[[#This Row],[takes]],0)</f>
        <v>0.5</v>
      </c>
      <c r="S14" s="18"/>
    </row>
    <row r="15" spans="1:22" x14ac:dyDescent="0.25">
      <c r="A15" s="11" t="s">
        <v>148</v>
      </c>
      <c r="B15" s="1">
        <f t="shared" si="6"/>
        <v>35</v>
      </c>
      <c r="C15" s="1">
        <f t="shared" si="7"/>
        <v>23</v>
      </c>
      <c r="D15" s="15">
        <f>IF(SUM(LightbringerAbilities3[[#This Row],[takes]]) &gt; 0,LightbringerAbilities3[[#This Row],[takes]]/SUM(LightbringerAbilities3[takes]),0)</f>
        <v>0.16990291262135923</v>
      </c>
      <c r="E15" s="15">
        <f>IF(LightbringerAbilities3[[#This Row],[takes]]&gt;0,LightbringerAbilities3[[#This Row],[wins]]/LightbringerAbilities3[[#This Row],[takes]],0)</f>
        <v>0.65714285714285714</v>
      </c>
      <c r="I15" s="18"/>
      <c r="K15" s="11" t="s">
        <v>148</v>
      </c>
      <c r="L15" s="1">
        <f>COUNTIF(Scenario0[winner1-ability3],LightbringerAbilities3Scenario0[[#This Row],[ability]])+COUNTIF(Scenario0[winner2-ability3],LightbringerAbilities3Scenario0[[#This Row],[ability]])+COUNTIF(Scenario0[loser1-ability3],LightbringerAbilities3Scenario0[[#This Row],[ability]])+COUNTIF(Scenario0[loser2-ability3],LightbringerAbilities3Scenario0[[#This Row],[ability]])</f>
        <v>1</v>
      </c>
      <c r="M15" s="1">
        <f>COUNTIF(Scenario0[winner1-ability3],LightbringerAbilities3Scenario0[[#This Row],[ability]])+COUNTIF(Scenario0[winner2-ability3],LightbringerAbilities3Scenario0[[#This Row],[ability]])</f>
        <v>1</v>
      </c>
      <c r="N15" s="15">
        <f>IF(SUM(LightbringerAbilities3Scenario0[[#This Row],[takes]]) &gt; 0,LightbringerAbilities3Scenario0[[#This Row],[takes]]/SUM(LightbringerAbilities3Scenario0[takes]),0)</f>
        <v>8.3333333333333329E-2</v>
      </c>
      <c r="O15" s="15">
        <f>IF(LightbringerAbilities3Scenario0[[#This Row],[takes]]&gt;0,LightbringerAbilities3Scenario0[[#This Row],[wins]]/LightbringerAbilities3Scenario0[[#This Row],[takes]],0)</f>
        <v>1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149</v>
      </c>
      <c r="B18" s="2">
        <f>L18+L39+L60+L81+L102+L123</f>
        <v>38</v>
      </c>
      <c r="C18" s="2">
        <f>M18+M39+M60+M81+M102+M123</f>
        <v>29</v>
      </c>
      <c r="D18" s="12">
        <f>IF(SUM(LightbringerAbilities4[[#This Row],[takes]]) &gt; 0,LightbringerAbilities4[[#This Row],[takes]]/SUM(LightbringerAbilities4[takes]),0)</f>
        <v>0.296875</v>
      </c>
      <c r="E18" s="12">
        <f>IF(LightbringerAbilities4[[#This Row],[takes]]&gt;0,LightbringerAbilities4[[#This Row],[wins]]/LightbringerAbilities4[[#This Row],[takes]],0)</f>
        <v>0.76315789473684215</v>
      </c>
      <c r="I18" s="18"/>
      <c r="K18" s="2" t="s">
        <v>149</v>
      </c>
      <c r="L18" s="2">
        <f>COUNTIF(Scenario0[winner1-ability4],LightbringerAbilities4Scenario0[[#This Row],[ability]])+COUNTIF(Scenario0[winner2-ability4],LightbringerAbilities4Scenario0[[#This Row],[ability]])+COUNTIF(Scenario0[loser1-ability4],LightbringerAbilities4Scenario0[[#This Row],[ability]])+COUNTIF(Scenario0[loser2-ability4],LightbringerAbilities4Scenario0[[#This Row],[ability]])</f>
        <v>0</v>
      </c>
      <c r="M18" s="2">
        <f>COUNTIF(Scenario0[winner1-ability4],LightbringerAbilities4Scenario0[[#This Row],[ability]])+COUNTIF(Scenario0[winner2-ability4],LightbringerAbilities4Scenario0[[#This Row],[ability]])</f>
        <v>0</v>
      </c>
      <c r="N18" s="12">
        <f>IF(SUM(LightbringerAbilities4Scenario0[[#This Row],[takes]]) &gt; 0,LightbringerAbilities4Scenario0[[#This Row],[takes]]/SUM(LightbringerAbilities4Scenario0[takes]),0)</f>
        <v>0</v>
      </c>
      <c r="O18" s="12">
        <f>IF(LightbringerAbilities4Scenario0[[#This Row],[takes]]&gt;0,LightbringerAbilities4Scenario0[[#This Row],[wins]]/LightbringerAbilities4Scenario0[[#This Row],[takes]],0)</f>
        <v>0</v>
      </c>
      <c r="S18" s="18"/>
    </row>
    <row r="19" spans="1:20" x14ac:dyDescent="0.25">
      <c r="A19" s="2" t="s">
        <v>150</v>
      </c>
      <c r="B19" s="2">
        <f t="shared" ref="B19:B20" si="8">L19+L40+L61+L82+L103+L124</f>
        <v>35</v>
      </c>
      <c r="C19" s="2">
        <f t="shared" ref="C19:C20" si="9">M19+M40+M61+M82+M103+M124</f>
        <v>19</v>
      </c>
      <c r="D19" s="12">
        <f>IF(SUM(LightbringerAbilities4[[#This Row],[takes]]) &gt; 0,LightbringerAbilities4[[#This Row],[takes]]/SUM(LightbringerAbilities4[takes]),0)</f>
        <v>0.2734375</v>
      </c>
      <c r="E19" s="12">
        <f>IF(LightbringerAbilities4[[#This Row],[takes]]&gt;0,LightbringerAbilities4[[#This Row],[wins]]/LightbringerAbilities4[[#This Row],[takes]],0)</f>
        <v>0.54285714285714282</v>
      </c>
      <c r="I19" s="18"/>
      <c r="K19" s="2" t="s">
        <v>150</v>
      </c>
      <c r="L19" s="2">
        <f>COUNTIF(Scenario0[winner1-ability4],LightbringerAbilities4Scenario0[[#This Row],[ability]])+COUNTIF(Scenario0[winner2-ability4],LightbringerAbilities4Scenario0[[#This Row],[ability]])+COUNTIF(Scenario0[loser1-ability4],LightbringerAbilities4Scenario0[[#This Row],[ability]])+COUNTIF(Scenario0[loser2-ability4],LightbringerAbilities4Scenario0[[#This Row],[ability]])</f>
        <v>0</v>
      </c>
      <c r="M19" s="2">
        <f>COUNTIF(Scenario0[winner1-ability4],LightbringerAbilities4Scenario0[[#This Row],[ability]])+COUNTIF(Scenario0[winner2-ability4],LightbringerAbilities4Scenario0[[#This Row],[ability]])</f>
        <v>0</v>
      </c>
      <c r="N19" s="12">
        <f>IF(SUM(LightbringerAbilities4Scenario0[[#This Row],[takes]]) &gt; 0,LightbringerAbilities4Scenario0[[#This Row],[takes]]/SUM(LightbringerAbilities4Scenario0[takes]),0)</f>
        <v>0</v>
      </c>
      <c r="O19" s="12">
        <f>IF(LightbringerAbilities4Scenario0[[#This Row],[takes]]&gt;0,LightbringerAbilities4Scenario0[[#This Row],[wins]]/LightbringerAbilities4Scenario0[[#This Row],[takes]],0)</f>
        <v>0</v>
      </c>
      <c r="S19" s="18"/>
    </row>
    <row r="20" spans="1:20" ht="15.75" thickBot="1" x14ac:dyDescent="0.3">
      <c r="A20" s="10" t="s">
        <v>151</v>
      </c>
      <c r="B20" s="2">
        <f t="shared" si="8"/>
        <v>55</v>
      </c>
      <c r="C20" s="2">
        <f t="shared" si="9"/>
        <v>29</v>
      </c>
      <c r="D20" s="26">
        <f>IF(SUM(LightbringerAbilities4[[#This Row],[takes]]) &gt; 0,LightbringerAbilities4[[#This Row],[takes]]/SUM(LightbringerAbilities4[takes]),0)</f>
        <v>0.4296875</v>
      </c>
      <c r="E20" s="26">
        <f>IF(LightbringerAbilities4[[#This Row],[takes]]&gt;0,LightbringerAbilities4[[#This Row],[wins]]/LightbringerAbilities4[[#This Row],[takes]],0)</f>
        <v>0.52727272727272723</v>
      </c>
      <c r="F20" s="27"/>
      <c r="G20" s="27"/>
      <c r="H20" s="27"/>
      <c r="I20" s="28"/>
      <c r="K20" s="10" t="s">
        <v>151</v>
      </c>
      <c r="L20" s="25">
        <f>COUNTIF(Scenario0[winner1-ability4],LightbringerAbilities4Scenario0[[#This Row],[ability]])+COUNTIF(Scenario0[winner2-ability4],LightbringerAbilities4Scenario0[[#This Row],[ability]])+COUNTIF(Scenario0[loser1-ability4],LightbringerAbilities4Scenario0[[#This Row],[ability]])+COUNTIF(Scenario0[loser2-ability4],LightbringerAbilities4Scenario0[[#This Row],[ability]])</f>
        <v>4</v>
      </c>
      <c r="M20" s="25">
        <f>COUNTIF(Scenario0[winner1-ability4],LightbringerAbilities4Scenario0[[#This Row],[ability]])+COUNTIF(Scenario0[winner2-ability4],LightbringerAbilities4Scenario0[[#This Row],[ability]])</f>
        <v>3</v>
      </c>
      <c r="N20" s="26">
        <f>IF(SUM(LightbringerAbilities4Scenario0[[#This Row],[takes]]) &gt; 0,LightbringerAbilities4Scenario0[[#This Row],[takes]]/SUM(LightbringerAbilities4Scenario0[takes]),0)</f>
        <v>1</v>
      </c>
      <c r="O20" s="26">
        <f>IF(LightbringerAbilities4Scenario0[[#This Row],[takes]]&gt;0,LightbringerAbilities4Scenario0[[#This Row],[wins]]/LightbringerAbilities4Scenario0[[#This Row],[takes]],0)</f>
        <v>0.75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7" t="s">
        <v>183</v>
      </c>
      <c r="L22" s="38"/>
      <c r="M22" s="38"/>
      <c r="N22" s="38"/>
      <c r="O22" s="38"/>
      <c r="P22" s="38"/>
      <c r="Q22" s="38"/>
      <c r="R22" s="38"/>
      <c r="S22" s="39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170</v>
      </c>
      <c r="S23" s="18" t="s">
        <v>164</v>
      </c>
    </row>
    <row r="24" spans="1:20" x14ac:dyDescent="0.25">
      <c r="K24" t="s">
        <v>72</v>
      </c>
      <c r="L24">
        <f>COUNTIF(Scenario1[winner1-ability1],LightbringerAbilities1Scenario1[[#This Row],[ability]])+COUNTIF(Scenario1[winner2-ability1],LightbringerAbilities1Scenario1[[#This Row],[ability]])+COUNTIF(Scenario1[loser1-ability1],LightbringerAbilities1Scenario1[[#This Row],[ability]])+COUNTIF(Scenario1[loser2-ability1],LightbringerAbilities1Scenario1[[#This Row],[ability]])</f>
        <v>51</v>
      </c>
      <c r="M24">
        <f>COUNTIF(Scenario1[winner1-ability1],LightbringerAbilities1Scenario1[[#This Row],[ability]])+COUNTIF(Scenario1[winner2-ability1],LightbringerAbilities1Scenario1[[#This Row],[ability]])</f>
        <v>18</v>
      </c>
      <c r="N24" s="3">
        <f>IF(SUM(LightbringerAbilities1Scenario1[[#This Row],[takes]]) &gt; 0,LightbringerAbilities1Scenario1[[#This Row],[takes]]/SUM(LightbringerAbilities1Scenario1[takes]),0)</f>
        <v>0.48571428571428571</v>
      </c>
      <c r="O24" s="3">
        <f>IF(LightbringerAbilities1Scenario1[[#This Row],[takes]]&gt;0,LightbringerAbilities1Scenario1[[#This Row],[wins]]/LightbringerAbilities1Scenario1[[#This Row],[takes]],0)</f>
        <v>0.35294117647058826</v>
      </c>
      <c r="Q24">
        <v>1</v>
      </c>
      <c r="R24">
        <f>COUNTIFS(Scenario1[winner1],"lightbringer",Scenario1[winner1-pw],LightbringerEquipScenario1[[#This Row],[level]])+COUNTIFS(Scenario1[winner2],"lightbringer",Scenario1[winner2-pw],LightbringerEquipScenario1[[#This Row],[level]])+COUNTIFS(Scenario1[loser1],"lightbringer",Scenario1[loser1-pw],LightbringerEquipScenario1[[#This Row],[level]])+COUNTIFS(Scenario1[loser2],"lightbringer",Scenario1[loser2-pw],LightbringerEquipScenario1[[#This Row],[level]])</f>
        <v>51</v>
      </c>
      <c r="S24" s="18">
        <f>COUNTIFS(Scenario1[winner1],"lightbringer",Scenario1[winner1-cp],LightbringerEquipScenario1[[#This Row],[level]])+COUNTIFS(Scenario1[winner2],"lightbringer",Scenario1[winner2-cp],LightbringerEquipScenario1[[#This Row],[level]])+COUNTIFS(Scenario1[loser1],"lightbringer",Scenario1[loser1-cp],LightbringerEquipScenario1[[#This Row],[level]])+COUNTIFS(Scenario1[loser2],"lightbringer",Scenario1[loser2-cp],LightbringerEquipScenario1[[#This Row],[level]])</f>
        <v>88</v>
      </c>
    </row>
    <row r="25" spans="1:20" x14ac:dyDescent="0.25">
      <c r="K25" t="s">
        <v>145</v>
      </c>
      <c r="L25">
        <f>COUNTIF(Scenario1[winner1-ability1],LightbringerAbilities1Scenario1[[#This Row],[ability]])+COUNTIF(Scenario1[winner2-ability1],LightbringerAbilities1Scenario1[[#This Row],[ability]])+COUNTIF(Scenario1[loser1-ability1],LightbringerAbilities1Scenario1[[#This Row],[ability]])+COUNTIF(Scenario1[loser2-ability1],LightbringerAbilities1Scenario1[[#This Row],[ability]])</f>
        <v>21</v>
      </c>
      <c r="M25">
        <f>COUNTIF(Scenario1[winner1-ability1],LightbringerAbilities1Scenario1[[#This Row],[ability]])+COUNTIF(Scenario1[winner2-ability1],LightbringerAbilities1Scenario1[[#This Row],[ability]])</f>
        <v>14</v>
      </c>
      <c r="N25" s="3">
        <f>IF(SUM(LightbringerAbilities1Scenario1[[#This Row],[takes]]) &gt; 0,LightbringerAbilities1Scenario1[[#This Row],[takes]]/SUM(LightbringerAbilities1Scenario1[takes]),0)</f>
        <v>0.2</v>
      </c>
      <c r="O25" s="3">
        <f>IF(LightbringerAbilities1Scenario1[[#This Row],[takes]]&gt;0,LightbringerAbilities1Scenario1[[#This Row],[wins]]/LightbringerAbilities1Scenario1[[#This Row],[takes]],0)</f>
        <v>0.66666666666666663</v>
      </c>
      <c r="Q25">
        <v>2</v>
      </c>
      <c r="R25">
        <f>COUNTIFS(Scenario1[winner1],"lightbringer",Scenario1[winner1-pw],LightbringerEquipScenario1[[#This Row],[level]])+COUNTIFS(Scenario1[winner2],"lightbringer",Scenario1[winner2-pw],LightbringerEquipScenario1[[#This Row],[level]])+COUNTIFS(Scenario1[loser1],"lightbringer",Scenario1[loser1-pw],LightbringerEquipScenario1[[#This Row],[level]])+COUNTIFS(Scenario1[loser2],"lightbringer",Scenario1[loser2-pw],LightbringerEquipScenario1[[#This Row],[level]])</f>
        <v>36</v>
      </c>
      <c r="S25" s="18">
        <f>COUNTIFS(Scenario1[winner1],"lightbringer",Scenario1[winner1-cp],LightbringerEquipScenario1[[#This Row],[level]])+COUNTIFS(Scenario1[winner2],"lightbringer",Scenario1[winner2-cp],LightbringerEquipScenario1[[#This Row],[level]])+COUNTIFS(Scenario1[loser1],"lightbringer",Scenario1[loser1-cp],LightbringerEquipScenario1[[#This Row],[level]])+COUNTIFS(Scenario1[loser2],"lightbringer",Scenario1[loser2-cp],LightbringerEquipScenario1[[#This Row],[level]])</f>
        <v>13</v>
      </c>
    </row>
    <row r="26" spans="1:20" x14ac:dyDescent="0.25">
      <c r="K26" t="s">
        <v>103</v>
      </c>
      <c r="L26">
        <f>COUNTIF(Scenario1[winner1-ability1],LightbringerAbilities1Scenario1[[#This Row],[ability]])+COUNTIF(Scenario1[winner2-ability1],LightbringerAbilities1Scenario1[[#This Row],[ability]])+COUNTIF(Scenario1[loser1-ability1],LightbringerAbilities1Scenario1[[#This Row],[ability]])+COUNTIF(Scenario1[loser2-ability1],LightbringerAbilities1Scenario1[[#This Row],[ability]])</f>
        <v>33</v>
      </c>
      <c r="M26">
        <f>COUNTIF(Scenario1[winner1-ability1],LightbringerAbilities1Scenario1[[#This Row],[ability]])+COUNTIF(Scenario1[winner2-ability1],LightbringerAbilities1Scenario1[[#This Row],[ability]])</f>
        <v>21</v>
      </c>
      <c r="N26" s="3">
        <f>IF(SUM(LightbringerAbilities1Scenario1[[#This Row],[takes]]) &gt; 0,LightbringerAbilities1Scenario1[[#This Row],[takes]]/SUM(LightbringerAbilities1Scenario1[takes]),0)</f>
        <v>0.31428571428571428</v>
      </c>
      <c r="O26" s="3">
        <f>IF(LightbringerAbilities1Scenario1[[#This Row],[takes]]&gt;0,LightbringerAbilities1Scenario1[[#This Row],[wins]]/LightbringerAbilities1Scenario1[[#This Row],[takes]],0)</f>
        <v>0.63636363636363635</v>
      </c>
      <c r="Q26">
        <v>3</v>
      </c>
      <c r="R26">
        <f>COUNTIFS(Scenario1[winner1],"lightbringer",Scenario1[winner1-pw],LightbringerEquipScenario1[[#This Row],[level]])+COUNTIFS(Scenario1[winner2],"lightbringer",Scenario1[winner2-pw],LightbringerEquipScenario1[[#This Row],[level]])+COUNTIFS(Scenario1[loser1],"lightbringer",Scenario1[loser1-pw],LightbringerEquipScenario1[[#This Row],[level]])+COUNTIFS(Scenario1[loser2],"lightbringer",Scenario1[loser2-pw],LightbringerEquipScenario1[[#This Row],[level]])</f>
        <v>18</v>
      </c>
      <c r="S26" s="18">
        <f>COUNTIFS(Scenario1[winner1],"lightbringer",Scenario1[winner1-cp],LightbringerEquipScenario1[[#This Row],[level]])+COUNTIFS(Scenario1[winner2],"lightbringer",Scenario1[winner2-cp],LightbringerEquipScenario1[[#This Row],[level]])+COUNTIFS(Scenario1[loser1],"lightbringer",Scenario1[loser1-cp],LightbringerEquipScenario1[[#This Row],[level]])+COUNTIFS(Scenario1[loser2],"lightbringer",Scenario1[loser2-cp],LightbringerEquipScenario1[[#This Row],[level]])</f>
        <v>4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" t="s">
        <v>95</v>
      </c>
      <c r="L29" s="2">
        <f>COUNTIF(Scenario1[winner1-ability2],LightbringerAbilities2Scenario1[[#This Row],[ability]])+COUNTIF(Scenario1[winner2-ability2],LightbringerAbilities2Scenario1[[#This Row],[ability]])+COUNTIF(Scenario1[loser1-ability2],LightbringerAbilities2Scenario1[[#This Row],[ability]])+COUNTIF(Scenario1[loser2-ability2],LightbringerAbilities2Scenario1[[#This Row],[ability]])</f>
        <v>62</v>
      </c>
      <c r="M29" s="2">
        <f>COUNTIF(Scenario1[winner1-ability2],LightbringerAbilities2Scenario1[[#This Row],[ability]])+COUNTIF(Scenario1[winner2-ability2],LightbringerAbilities2Scenario1[[#This Row],[ability]])</f>
        <v>35</v>
      </c>
      <c r="N29" s="12">
        <f>IF(SUM(LightbringerAbilities2Scenario1[[#This Row],[takes]]) &gt; 0,LightbringerAbilities2Scenario1[[#This Row],[takes]]/SUM(LightbringerAbilities2Scenario1[takes]),0)</f>
        <v>0.68131868131868134</v>
      </c>
      <c r="O29" s="12">
        <f>IF(LightbringerAbilities2Scenario1[[#This Row],[takes]]&gt;0,LightbringerAbilities2Scenario1[[#This Row],[wins]]/LightbringerAbilities2Scenario1[[#This Row],[takes]],0)</f>
        <v>0.56451612903225812</v>
      </c>
      <c r="S29" s="18"/>
    </row>
    <row r="30" spans="1:20" x14ac:dyDescent="0.25">
      <c r="K30" t="s">
        <v>146</v>
      </c>
      <c r="L30" s="2">
        <f>COUNTIF(Scenario1[winner1-ability2],LightbringerAbilities2Scenario1[[#This Row],[ability]])+COUNTIF(Scenario1[winner2-ability2],LightbringerAbilities2Scenario1[[#This Row],[ability]])+COUNTIF(Scenario1[loser1-ability2],LightbringerAbilities2Scenario1[[#This Row],[ability]])+COUNTIF(Scenario1[loser2-ability2],LightbringerAbilities2Scenario1[[#This Row],[ability]])</f>
        <v>20</v>
      </c>
      <c r="M30" s="2">
        <f>COUNTIF(Scenario1[winner1-ability2],LightbringerAbilities2Scenario1[[#This Row],[ability]])+COUNTIF(Scenario1[winner2-ability2],LightbringerAbilities2Scenario1[[#This Row],[ability]])</f>
        <v>10</v>
      </c>
      <c r="N30" s="3">
        <f>IF(SUM(LightbringerAbilities2Scenario1[[#This Row],[takes]]) &gt; 0,LightbringerAbilities2Scenario1[[#This Row],[takes]]/SUM(LightbringerAbilities2Scenario1[takes]),0)</f>
        <v>0.21978021978021978</v>
      </c>
      <c r="O30" s="3">
        <f>IF(LightbringerAbilities2Scenario1[[#This Row],[takes]]&gt;0,LightbringerAbilities2Scenario1[[#This Row],[wins]]/LightbringerAbilities2Scenario1[[#This Row],[takes]],0)</f>
        <v>0.5</v>
      </c>
      <c r="S30" s="18"/>
    </row>
    <row r="31" spans="1:20" x14ac:dyDescent="0.25">
      <c r="K31" s="10" t="s">
        <v>91</v>
      </c>
      <c r="L31" s="2">
        <f>COUNTIF(Scenario1[winner1-ability2],LightbringerAbilities2Scenario1[[#This Row],[ability]])+COUNTIF(Scenario1[winner2-ability2],LightbringerAbilities2Scenario1[[#This Row],[ability]])+COUNTIF(Scenario1[loser1-ability2],LightbringerAbilities2Scenario1[[#This Row],[ability]])+COUNTIF(Scenario1[loser2-ability2],LightbringerAbilities2Scenario1[[#This Row],[ability]])</f>
        <v>9</v>
      </c>
      <c r="M31" s="2">
        <f>COUNTIF(Scenario1[winner1-ability2],LightbringerAbilities2Scenario1[[#This Row],[ability]])+COUNTIF(Scenario1[winner2-ability2],LightbringerAbilities2Scenario1[[#This Row],[ability]])</f>
        <v>4</v>
      </c>
      <c r="N31" s="13">
        <f>IF(SUM(LightbringerAbilities2Scenario1[[#This Row],[takes]]) &gt; 0,LightbringerAbilities2Scenario1[[#This Row],[takes]]/SUM(LightbringerAbilities2Scenario1[takes]),0)</f>
        <v>9.8901098901098897E-2</v>
      </c>
      <c r="O31" s="13">
        <f>IF(LightbringerAbilities2Scenario1[[#This Row],[takes]]&gt;0,LightbringerAbilities2Scenario1[[#This Row],[wins]]/LightbringerAbilities2Scenario1[[#This Row],[takes]],0)</f>
        <v>0.44444444444444442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1" t="s">
        <v>104</v>
      </c>
      <c r="L34" s="1">
        <f>COUNTIF(Scenario1[winner1-ability3],LightbringerAbilities3Scenario1[[#This Row],[ability]])+COUNTIF(Scenario1[winner2-ability3],LightbringerAbilities3Scenario1[[#This Row],[ability]])+COUNTIF(Scenario1[loser1-ability3],LightbringerAbilities3Scenario1[[#This Row],[ability]])+COUNTIF(Scenario1[loser2-ability3],LightbringerAbilities3Scenario1[[#This Row],[ability]])</f>
        <v>26</v>
      </c>
      <c r="M34" s="1">
        <f>COUNTIF(Scenario1[winner1-ability3],LightbringerAbilities3Scenario1[[#This Row],[ability]])+COUNTIF(Scenario1[winner2-ability3],LightbringerAbilities3Scenario1[[#This Row],[ability]])</f>
        <v>13</v>
      </c>
      <c r="N34" s="14">
        <f>IF(SUM(LightbringerAbilities3Scenario1[[#This Row],[takes]]) &gt; 0,LightbringerAbilities3Scenario1[[#This Row],[takes]]/SUM(LightbringerAbilities3Scenario1[takes]),0)</f>
        <v>0.68421052631578949</v>
      </c>
      <c r="O34" s="14">
        <f>IF(LightbringerAbilities3Scenario1[[#This Row],[takes]]&gt;0,LightbringerAbilities3Scenario1[[#This Row],[wins]]/LightbringerAbilities3Scenario1[[#This Row],[takes]],0)</f>
        <v>0.5</v>
      </c>
      <c r="S34" s="18"/>
    </row>
    <row r="35" spans="11:20" x14ac:dyDescent="0.25">
      <c r="K35" s="2" t="s">
        <v>147</v>
      </c>
      <c r="L35" s="2">
        <f>COUNTIF(Scenario1[winner1-ability3],LightbringerAbilities3Scenario1[[#This Row],[ability]])+COUNTIF(Scenario1[winner2-ability3],LightbringerAbilities3Scenario1[[#This Row],[ability]])+COUNTIF(Scenario1[loser1-ability3],LightbringerAbilities3Scenario1[[#This Row],[ability]])+COUNTIF(Scenario1[loser2-ability3],LightbringerAbilities3Scenario1[[#This Row],[ability]])</f>
        <v>11</v>
      </c>
      <c r="M35" s="2">
        <f>COUNTIF(Scenario1[winner1-ability3],LightbringerAbilities3Scenario1[[#This Row],[ability]])+COUNTIF(Scenario1[winner2-ability3],LightbringerAbilities3Scenario1[[#This Row],[ability]])</f>
        <v>7</v>
      </c>
      <c r="N35" s="12">
        <f>IF(SUM(LightbringerAbilities3Scenario1[[#This Row],[takes]]) &gt; 0,LightbringerAbilities3Scenario1[[#This Row],[takes]]/SUM(LightbringerAbilities3Scenario1[takes]),0)</f>
        <v>0.28947368421052633</v>
      </c>
      <c r="O35" s="12">
        <f>IF(LightbringerAbilities3Scenario1[[#This Row],[takes]]&gt;0,LightbringerAbilities3Scenario1[[#This Row],[wins]]/LightbringerAbilities3Scenario1[[#This Row],[takes]],0)</f>
        <v>0.63636363636363635</v>
      </c>
      <c r="S35" s="18"/>
    </row>
    <row r="36" spans="11:20" x14ac:dyDescent="0.25">
      <c r="K36" s="11" t="s">
        <v>148</v>
      </c>
      <c r="L36" s="1">
        <f>COUNTIF(Scenario1[winner1-ability3],LightbringerAbilities3Scenario1[[#This Row],[ability]])+COUNTIF(Scenario1[winner2-ability3],LightbringerAbilities3Scenario1[[#This Row],[ability]])+COUNTIF(Scenario1[loser1-ability3],LightbringerAbilities3Scenario1[[#This Row],[ability]])+COUNTIF(Scenario1[loser2-ability3],LightbringerAbilities3Scenario1[[#This Row],[ability]])</f>
        <v>1</v>
      </c>
      <c r="M36" s="1">
        <f>COUNTIF(Scenario1[winner1-ability3],LightbringerAbilities3Scenario1[[#This Row],[ability]])+COUNTIF(Scenario1[winner2-ability3],LightbringerAbilities3Scenario1[[#This Row],[ability]])</f>
        <v>0</v>
      </c>
      <c r="N36" s="15">
        <f>IF(SUM(LightbringerAbilities3Scenario1[[#This Row],[takes]]) &gt; 0,LightbringerAbilities3Scenario1[[#This Row],[takes]]/SUM(LightbringerAbilities3Scenario1[takes]),0)</f>
        <v>2.6315789473684209E-2</v>
      </c>
      <c r="O36" s="15">
        <f>IF(LightbringerAbilities3Scenario1[[#This Row],[takes]]&gt;0,LightbringerAbilities3Scenario1[[#This Row],[wins]]/LightbringerAbilities3Scenario1[[#This Row],[takes]],0)</f>
        <v>0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" t="s">
        <v>149</v>
      </c>
      <c r="L39" s="2">
        <f>COUNTIF(Scenario1[winner1-ability4],LightbringerAbilities4Scenario1[[#This Row],[ability]])+COUNTIF(Scenario1[winner2-ability4],LightbringerAbilities4Scenario1[[#This Row],[ability]])+COUNTIF(Scenario1[loser1-ability4],LightbringerAbilities4Scenario1[[#This Row],[ability]])+COUNTIF(Scenario1[loser2-ability4],LightbringerAbilities4Scenario1[[#This Row],[ability]])</f>
        <v>2</v>
      </c>
      <c r="M39" s="2">
        <f>COUNTIF(Scenario1[winner1-ability4],LightbringerAbilities4Scenario1[[#This Row],[ability]])+COUNTIF(Scenario1[winner2-ability4],LightbringerAbilities4Scenario1[[#This Row],[ability]])</f>
        <v>2</v>
      </c>
      <c r="N39" s="12">
        <f>IF(SUM(LightbringerAbilities4Scenario1[[#This Row],[takes]]) &gt; 0,LightbringerAbilities4Scenario1[[#This Row],[takes]]/SUM(LightbringerAbilities4Scenario1[takes]),0)</f>
        <v>0.25</v>
      </c>
      <c r="O39" s="12">
        <f>IF(LightbringerAbilities4Scenario1[[#This Row],[takes]]&gt;0,LightbringerAbilities4Scenario1[[#This Row],[wins]]/LightbringerAbilities4Scenario1[[#This Row],[takes]],0)</f>
        <v>1</v>
      </c>
      <c r="S39" s="18"/>
    </row>
    <row r="40" spans="11:20" x14ac:dyDescent="0.25">
      <c r="K40" s="2" t="s">
        <v>150</v>
      </c>
      <c r="L40" s="2">
        <f>COUNTIF(Scenario1[winner1-ability4],LightbringerAbilities4Scenario1[[#This Row],[ability]])+COUNTIF(Scenario1[winner2-ability4],LightbringerAbilities4Scenario1[[#This Row],[ability]])+COUNTIF(Scenario1[loser1-ability4],LightbringerAbilities4Scenario1[[#This Row],[ability]])+COUNTIF(Scenario1[loser2-ability4],LightbringerAbilities4Scenario1[[#This Row],[ability]])</f>
        <v>2</v>
      </c>
      <c r="M40" s="2">
        <f>COUNTIF(Scenario1[winner1-ability4],LightbringerAbilities4Scenario1[[#This Row],[ability]])+COUNTIF(Scenario1[winner2-ability4],LightbringerAbilities4Scenario1[[#This Row],[ability]])</f>
        <v>1</v>
      </c>
      <c r="N40" s="12">
        <f>IF(SUM(LightbringerAbilities4Scenario1[[#This Row],[takes]]) &gt; 0,LightbringerAbilities4Scenario1[[#This Row],[takes]]/SUM(LightbringerAbilities4Scenario1[takes]),0)</f>
        <v>0.25</v>
      </c>
      <c r="O40" s="12">
        <f>IF(LightbringerAbilities4Scenario1[[#This Row],[takes]]&gt;0,LightbringerAbilities4Scenario1[[#This Row],[wins]]/LightbringerAbilities4Scenario1[[#This Row],[takes]],0)</f>
        <v>0.5</v>
      </c>
      <c r="S40" s="18"/>
    </row>
    <row r="41" spans="11:20" ht="15.75" thickBot="1" x14ac:dyDescent="0.3">
      <c r="K41" s="10" t="s">
        <v>151</v>
      </c>
      <c r="L41" s="25">
        <f>COUNTIF(Scenario1[winner1-ability4],LightbringerAbilities4Scenario1[[#This Row],[ability]])+COUNTIF(Scenario1[winner2-ability4],LightbringerAbilities4Scenario1[[#This Row],[ability]])+COUNTIF(Scenario1[loser1-ability4],LightbringerAbilities4Scenario1[[#This Row],[ability]])+COUNTIF(Scenario1[loser2-ability4],LightbringerAbilities4Scenario1[[#This Row],[ability]])</f>
        <v>4</v>
      </c>
      <c r="M41" s="25">
        <f>COUNTIF(Scenario1[winner1-ability4],LightbringerAbilities4Scenario1[[#This Row],[ability]])+COUNTIF(Scenario1[winner2-ability4],LightbringerAbilities4Scenario1[[#This Row],[ability]])</f>
        <v>3</v>
      </c>
      <c r="N41" s="26">
        <f>IF(SUM(LightbringerAbilities4Scenario1[[#This Row],[takes]]) &gt; 0,LightbringerAbilities4Scenario1[[#This Row],[takes]]/SUM(LightbringerAbilities4Scenario1[takes]),0)</f>
        <v>0.5</v>
      </c>
      <c r="O41" s="26">
        <f>IF(LightbringerAbilities4Scenario1[[#This Row],[takes]]&gt;0,LightbringerAbilities4Scenario1[[#This Row],[wins]]/LightbringerAbilities4Scenario1[[#This Row],[takes]],0)</f>
        <v>0.75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7" t="s">
        <v>184</v>
      </c>
      <c r="L43" s="38"/>
      <c r="M43" s="38"/>
      <c r="N43" s="38"/>
      <c r="O43" s="38"/>
      <c r="P43" s="38"/>
      <c r="Q43" s="38"/>
      <c r="R43" s="38"/>
      <c r="S43" s="39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170</v>
      </c>
      <c r="S44" s="18" t="s">
        <v>164</v>
      </c>
    </row>
    <row r="45" spans="11:20" x14ac:dyDescent="0.25">
      <c r="K45" t="s">
        <v>72</v>
      </c>
      <c r="L45">
        <f>COUNTIF(Scenario2[winner1-ability1],LightbringerAbilities1Scenario2[[#This Row],[ability]])+COUNTIF(Scenario2[loser1-ability1],LightbringerAbilities1Scenario2[[#This Row],[ability]])</f>
        <v>10</v>
      </c>
      <c r="M45">
        <f>COUNTIF(Scenario2[winner1-ability1],LightbringerAbilities1Scenario2[[#This Row],[ability]])</f>
        <v>6</v>
      </c>
      <c r="N45" s="3">
        <f>IF(SUM(LightbringerAbilities1Scenario2[[#This Row],[takes]]) &gt; 0,LightbringerAbilities1Scenario2[[#This Row],[takes]]/SUM(LightbringerAbilities1Scenario2[takes]),0)</f>
        <v>0.7142857142857143</v>
      </c>
      <c r="O45" s="3">
        <f>IF(LightbringerAbilities1Scenario2[[#This Row],[takes]]&gt;0,LightbringerAbilities1Scenario2[[#This Row],[wins]]/LightbringerAbilities1Scenario2[[#This Row],[takes]],0)</f>
        <v>0.6</v>
      </c>
      <c r="Q45">
        <v>1</v>
      </c>
      <c r="R45">
        <f>COUNTIFS(Scenario2[winner1],"lightbringer",Scenario2[winner1-pw],LightbringerEquipScenario2[[#This Row],[level]])+COUNTIFS(Scenario2[loser1],"lightbringer",Scenario2[loser1-pw],LightbringerEquipScenario2[[#This Row],[level]])</f>
        <v>1</v>
      </c>
      <c r="S45" s="18">
        <f>COUNTIFS(Scenario2[winner1],"lightbringer",Scenario2[winner1-cp],LightbringerEquipScenario2[[#This Row],[level]])+COUNTIFS(Scenario2[loser1],"lightbringer",Scenario2[loser1-cp],LightbringerEquipScenario2[[#This Row],[level]])</f>
        <v>11</v>
      </c>
    </row>
    <row r="46" spans="11:20" x14ac:dyDescent="0.25">
      <c r="K46" t="s">
        <v>145</v>
      </c>
      <c r="L46">
        <f>COUNTIF(Scenario2[winner1-ability1],LightbringerAbilities1Scenario2[[#This Row],[ability]])+COUNTIF(Scenario2[loser1-ability1],LightbringerAbilities1Scenario2[[#This Row],[ability]])</f>
        <v>0</v>
      </c>
      <c r="M46">
        <f>COUNTIF(Scenario2[winner1-ability1],LightbringerAbilities1Scenario2[[#This Row],[ability]])</f>
        <v>0</v>
      </c>
      <c r="N46" s="3">
        <f>IF(SUM(LightbringerAbilities1Scenario2[[#This Row],[takes]]) &gt; 0,LightbringerAbilities1Scenario2[[#This Row],[takes]]/SUM(LightbringerAbilities1Scenario2[takes]),0)</f>
        <v>0</v>
      </c>
      <c r="O46" s="3">
        <f>IF(LightbringerAbilities1Scenario2[[#This Row],[takes]]&gt;0,LightbringerAbilities1Scenario2[[#This Row],[wins]]/LightbringerAbilities1Scenario2[[#This Row],[takes]],0)</f>
        <v>0</v>
      </c>
      <c r="Q46">
        <v>2</v>
      </c>
      <c r="R46">
        <f>COUNTIFS(Scenario2[winner1],"lightbringer",Scenario2[winner1-pw],LightbringerEquipScenario2[[#This Row],[level]])+COUNTIFS(Scenario2[loser1],"lightbringer",Scenario2[loser1-pw],LightbringerEquipScenario2[[#This Row],[level]])</f>
        <v>12</v>
      </c>
      <c r="S46" s="18">
        <f>COUNTIFS(Scenario2[winner1],"lightbringer",Scenario2[winner1-cp],LightbringerEquipScenario2[[#This Row],[level]])+COUNTIFS(Scenario2[loser1],"lightbringer",Scenario2[loser1-cp],LightbringerEquipScenario2[[#This Row],[level]])</f>
        <v>2</v>
      </c>
    </row>
    <row r="47" spans="11:20" x14ac:dyDescent="0.25">
      <c r="K47" t="s">
        <v>103</v>
      </c>
      <c r="L47">
        <f>COUNTIF(Scenario2[winner1-ability1],LightbringerAbilities1Scenario2[[#This Row],[ability]])+COUNTIF(Scenario2[loser1-ability1],LightbringerAbilities1Scenario2[[#This Row],[ability]])</f>
        <v>4</v>
      </c>
      <c r="M47">
        <f>COUNTIF(Scenario2[winner1-ability1],LightbringerAbilities1Scenario2[[#This Row],[ability]])</f>
        <v>4</v>
      </c>
      <c r="N47" s="3">
        <f>IF(SUM(LightbringerAbilities1Scenario2[[#This Row],[takes]]) &gt; 0,LightbringerAbilities1Scenario2[[#This Row],[takes]]/SUM(LightbringerAbilities1Scenario2[takes]),0)</f>
        <v>0.2857142857142857</v>
      </c>
      <c r="O47" s="3">
        <f>IF(LightbringerAbilities1Scenario2[[#This Row],[takes]]&gt;0,LightbringerAbilities1Scenario2[[#This Row],[wins]]/LightbringerAbilities1Scenario2[[#This Row],[takes]],0)</f>
        <v>1</v>
      </c>
      <c r="Q47">
        <v>3</v>
      </c>
      <c r="R47">
        <f>COUNTIFS(Scenario2[winner1],"lightbringer",Scenario2[winner1-pw],LightbringerEquipScenario2[[#This Row],[level]])+COUNTIFS(Scenario2[loser1],"lightbringer",Scenario2[loser1-pw],LightbringerEquipScenario2[[#This Row],[level]])</f>
        <v>1</v>
      </c>
      <c r="S47" s="18">
        <f>COUNTIFS(Scenario2[winner1],"lightbringer",Scenario2[winner1-cp],LightbringerEquipScenario2[[#This Row],[level]])+COUNTIFS(Scenario2[loser1],"lightbringer",Scenario2[loser1-cp],LightbringerEquipScenario2[[#This Row],[level]])</f>
        <v>1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" t="s">
        <v>95</v>
      </c>
      <c r="L50" s="2">
        <f>COUNTIF(Scenario2[winner1-ability2],LightbringerAbilities2Scenario2[[#This Row],[ability]])+COUNTIF(Scenario2[loser1-ability2],LightbringerAbilities2Scenario2[[#This Row],[ability]])</f>
        <v>6</v>
      </c>
      <c r="M50" s="2">
        <f>COUNTIF(Scenario2[winner1-ability2],LightbringerAbilities2Scenario2[[#This Row],[ability]])</f>
        <v>4</v>
      </c>
      <c r="N50" s="12">
        <f>IF(SUM(LightbringerAbilities2Scenario2[[#This Row],[takes]]) &gt; 0,LightbringerAbilities2Scenario2[[#This Row],[takes]]/SUM(LightbringerAbilities2Scenario2[takes]),0)</f>
        <v>0.42857142857142855</v>
      </c>
      <c r="O50" s="12">
        <f>IF(LightbringerAbilities2Scenario2[[#This Row],[takes]]&gt;0,LightbringerAbilities2Scenario2[[#This Row],[wins]]/LightbringerAbilities2Scenario2[[#This Row],[takes]],0)</f>
        <v>0.66666666666666663</v>
      </c>
      <c r="S50" s="18"/>
    </row>
    <row r="51" spans="11:19" x14ac:dyDescent="0.25">
      <c r="K51" t="s">
        <v>146</v>
      </c>
      <c r="L51" s="2">
        <f>COUNTIF(Scenario2[winner1-ability2],LightbringerAbilities2Scenario2[[#This Row],[ability]])+COUNTIF(Scenario2[loser1-ability2],LightbringerAbilities2Scenario2[[#This Row],[ability]])</f>
        <v>8</v>
      </c>
      <c r="M51" s="2">
        <f>COUNTIF(Scenario2[winner1-ability2],LightbringerAbilities2Scenario2[[#This Row],[ability]])</f>
        <v>6</v>
      </c>
      <c r="N51" s="3">
        <f>IF(SUM(LightbringerAbilities2Scenario2[[#This Row],[takes]]) &gt; 0,LightbringerAbilities2Scenario2[[#This Row],[takes]]/SUM(LightbringerAbilities2Scenario2[takes]),0)</f>
        <v>0.5714285714285714</v>
      </c>
      <c r="O51" s="3">
        <f>IF(LightbringerAbilities2Scenario2[[#This Row],[takes]]&gt;0,LightbringerAbilities2Scenario2[[#This Row],[wins]]/LightbringerAbilities2Scenario2[[#This Row],[takes]],0)</f>
        <v>0.75</v>
      </c>
      <c r="S51" s="18"/>
    </row>
    <row r="52" spans="11:19" x14ac:dyDescent="0.25">
      <c r="K52" s="10" t="s">
        <v>91</v>
      </c>
      <c r="L52" s="2">
        <f>COUNTIF(Scenario2[winner1-ability2],LightbringerAbilities2Scenario2[[#This Row],[ability]])+COUNTIF(Scenario2[loser1-ability2],LightbringerAbilities2Scenario2[[#This Row],[ability]])</f>
        <v>0</v>
      </c>
      <c r="M52" s="2">
        <f>COUNTIF(Scenario2[winner1-ability2],LightbringerAbilities2Scenario2[[#This Row],[ability]])</f>
        <v>0</v>
      </c>
      <c r="N52" s="13">
        <f>IF(SUM(LightbringerAbilities2Scenario2[[#This Row],[takes]]) &gt; 0,LightbringerAbilities2Scenario2[[#This Row],[takes]]/SUM(LightbringerAbilities2Scenario2[takes]),0)</f>
        <v>0</v>
      </c>
      <c r="O52" s="13">
        <f>IF(LightbringerAbilities2Scenario2[[#This Row],[takes]]&gt;0,LightbringerAbilities2Scenario2[[#This Row],[wins]]/LightbringerAbilities2Scenario2[[#This Row],[takes]],0)</f>
        <v>0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1" t="s">
        <v>104</v>
      </c>
      <c r="L55" s="1">
        <f>COUNTIF(Scenario2[winner1-ability3],LightbringerAbilities3Scenario2[[#This Row],[ability]])+COUNTIF(Scenario2[loser1-ability3],LightbringerAbilities3Scenario2[[#This Row],[ability]])</f>
        <v>8</v>
      </c>
      <c r="M55" s="1">
        <f>COUNTIF(Scenario2[winner1-ability3],LightbringerAbilities3Scenario2[[#This Row],[ability]])</f>
        <v>7</v>
      </c>
      <c r="N55" s="14">
        <f>IF(SUM(LightbringerAbilities3Scenario2[[#This Row],[takes]]) &gt; 0,LightbringerAbilities3Scenario2[[#This Row],[takes]]/SUM(LightbringerAbilities3Scenario2[takes]),0)</f>
        <v>0.66666666666666663</v>
      </c>
      <c r="O55" s="14">
        <f>IF(LightbringerAbilities3Scenario2[[#This Row],[takes]]&gt;0,LightbringerAbilities3Scenario2[[#This Row],[wins]]/LightbringerAbilities3Scenario2[[#This Row],[takes]],0)</f>
        <v>0.875</v>
      </c>
      <c r="S55" s="18"/>
    </row>
    <row r="56" spans="11:19" x14ac:dyDescent="0.25">
      <c r="K56" s="2" t="s">
        <v>147</v>
      </c>
      <c r="L56" s="2">
        <f>COUNTIF(Scenario2[winner1-ability3],LightbringerAbilities3Scenario2[[#This Row],[ability]])+COUNTIF(Scenario2[loser1-ability3],LightbringerAbilities3Scenario2[[#This Row],[ability]])</f>
        <v>3</v>
      </c>
      <c r="M56" s="2">
        <f>COUNTIF(Scenario2[winner1-ability3],LightbringerAbilities3Scenario2[[#This Row],[ability]])</f>
        <v>3</v>
      </c>
      <c r="N56" s="12">
        <f>IF(SUM(LightbringerAbilities3Scenario2[[#This Row],[takes]]) &gt; 0,LightbringerAbilities3Scenario2[[#This Row],[takes]]/SUM(LightbringerAbilities3Scenario2[takes]),0)</f>
        <v>0.25</v>
      </c>
      <c r="O56" s="12">
        <f>IF(LightbringerAbilities3Scenario2[[#This Row],[takes]]&gt;0,LightbringerAbilities3Scenario2[[#This Row],[wins]]/LightbringerAbilities3Scenario2[[#This Row],[takes]],0)</f>
        <v>1</v>
      </c>
      <c r="S56" s="18"/>
    </row>
    <row r="57" spans="11:19" x14ac:dyDescent="0.25">
      <c r="K57" s="11" t="s">
        <v>148</v>
      </c>
      <c r="L57" s="1">
        <f>COUNTIF(Scenario2[winner1-ability3],LightbringerAbilities3Scenario2[[#This Row],[ability]])+COUNTIF(Scenario2[loser1-ability3],LightbringerAbilities3Scenario2[[#This Row],[ability]])</f>
        <v>1</v>
      </c>
      <c r="M57" s="1">
        <f>COUNTIF(Scenario2[winner1-ability3],LightbringerAbilities3Scenario2[[#This Row],[ability]])</f>
        <v>0</v>
      </c>
      <c r="N57" s="15">
        <f>IF(SUM(LightbringerAbilities3Scenario2[[#This Row],[takes]]) &gt; 0,LightbringerAbilities3Scenario2[[#This Row],[takes]]/SUM(LightbringerAbilities3Scenario2[takes]),0)</f>
        <v>8.3333333333333329E-2</v>
      </c>
      <c r="O57" s="15">
        <f>IF(LightbringerAbilities3Scenario2[[#This Row],[takes]]&gt;0,LightbringerAbilities3Scenario2[[#This Row],[wins]]/LightbringerAbilities3Scenario2[[#This Row],[takes]],0)</f>
        <v>0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" t="s">
        <v>149</v>
      </c>
      <c r="L60" s="2">
        <f>COUNTIF(Scenario2[winner1-ability4],LightbringerAbilities4Scenario2[[#This Row],[ability]])+COUNTIF(Scenario2[loser1-ability4],LightbringerAbilities4Scenario2[[#This Row],[ability]])</f>
        <v>4</v>
      </c>
      <c r="M60" s="2">
        <f>COUNTIF(Scenario2[winner1-ability4],LightbringerAbilities4Scenario2[[#This Row],[ability]])</f>
        <v>4</v>
      </c>
      <c r="N60" s="12">
        <f>IF(SUM(LightbringerAbilities4Scenario2[[#This Row],[takes]]) &gt; 0,LightbringerAbilities4Scenario2[[#This Row],[takes]]/SUM(LightbringerAbilities4Scenario2[takes]),0)</f>
        <v>0.4</v>
      </c>
      <c r="O60" s="12">
        <f>IF(LightbringerAbilities4Scenario2[[#This Row],[takes]]&gt;0,LightbringerAbilities4Scenario2[[#This Row],[wins]]/LightbringerAbilities4Scenario2[[#This Row],[takes]],0)</f>
        <v>1</v>
      </c>
      <c r="S60" s="18"/>
    </row>
    <row r="61" spans="11:19" x14ac:dyDescent="0.25">
      <c r="K61" s="2" t="s">
        <v>150</v>
      </c>
      <c r="L61" s="2">
        <f>COUNTIF(Scenario2[winner1-ability4],LightbringerAbilities4Scenario2[[#This Row],[ability]])+COUNTIF(Scenario2[loser1-ability4],LightbringerAbilities4Scenario2[[#This Row],[ability]])</f>
        <v>1</v>
      </c>
      <c r="M61" s="2">
        <f>COUNTIF(Scenario2[winner1-ability4],LightbringerAbilities4Scenario2[[#This Row],[ability]])</f>
        <v>1</v>
      </c>
      <c r="N61" s="12">
        <f>IF(SUM(LightbringerAbilities4Scenario2[[#This Row],[takes]]) &gt; 0,LightbringerAbilities4Scenario2[[#This Row],[takes]]/SUM(LightbringerAbilities4Scenario2[takes]),0)</f>
        <v>0.1</v>
      </c>
      <c r="O61" s="12">
        <f>IF(LightbringerAbilities4Scenario2[[#This Row],[takes]]&gt;0,LightbringerAbilities4Scenario2[[#This Row],[wins]]/LightbringerAbilities4Scenario2[[#This Row],[takes]],0)</f>
        <v>1</v>
      </c>
      <c r="S61" s="18"/>
    </row>
    <row r="62" spans="11:19" ht="15.75" thickBot="1" x14ac:dyDescent="0.3">
      <c r="K62" s="10" t="s">
        <v>151</v>
      </c>
      <c r="L62" s="25">
        <f>COUNTIF(Scenario2[winner1-ability4],LightbringerAbilities4Scenario2[[#This Row],[ability]])+COUNTIF(Scenario2[loser1-ability4],LightbringerAbilities4Scenario2[[#This Row],[ability]])</f>
        <v>5</v>
      </c>
      <c r="M62" s="25">
        <f>COUNTIF(Scenario2[winner1-ability4],LightbringerAbilities4Scenario2[[#This Row],[ability]])</f>
        <v>4</v>
      </c>
      <c r="N62" s="26">
        <f>IF(SUM(LightbringerAbilities4Scenario2[[#This Row],[takes]]) &gt; 0,LightbringerAbilities4Scenario2[[#This Row],[takes]]/SUM(LightbringerAbilities4Scenario2[takes]),0)</f>
        <v>0.5</v>
      </c>
      <c r="O62" s="26">
        <f>IF(LightbringerAbilities4Scenario2[[#This Row],[takes]]&gt;0,LightbringerAbilities4Scenario2[[#This Row],[wins]]/LightbringerAbilities4Scenario2[[#This Row],[takes]],0)</f>
        <v>0.8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7" t="s">
        <v>209</v>
      </c>
      <c r="L64" s="38"/>
      <c r="M64" s="38"/>
      <c r="N64" s="38"/>
      <c r="O64" s="38"/>
      <c r="P64" s="38"/>
      <c r="Q64" s="38"/>
      <c r="R64" s="38"/>
      <c r="S64" s="39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170</v>
      </c>
      <c r="S65" s="18" t="s">
        <v>164</v>
      </c>
    </row>
    <row r="66" spans="11:19" x14ac:dyDescent="0.25">
      <c r="K66" t="s">
        <v>72</v>
      </c>
      <c r="L66">
        <f>COUNTIF(Scenario3[winner1-ability1],LightbringerAbilities1Scenario3[[#This Row],[ability]])+COUNTIF(Scenario3[loser1-ability1],LightbringerAbilities1Scenario3[[#This Row],[ability]])+COUNTIF(Scenario3[loser2-ability1],LightbringerAbilities1Scenario3[[#This Row],[ability]])</f>
        <v>11</v>
      </c>
      <c r="M66">
        <f>COUNTIF(Scenario3[winner1-ability1],LightbringerAbilities1Scenario3[[#This Row],[ability]])</f>
        <v>2</v>
      </c>
      <c r="N66" s="3">
        <f>IF(SUM(LightbringerAbilities1Scenario3[[#This Row],[takes]]) &gt; 0,LightbringerAbilities1Scenario3[[#This Row],[takes]]/SUM(LightbringerAbilities1Scenario3[takes]),0)</f>
        <v>0.52380952380952384</v>
      </c>
      <c r="O66" s="3">
        <f>IF(LightbringerAbilities1Scenario3[[#This Row],[takes]]&gt;0,LightbringerAbilities1Scenario3[[#This Row],[wins]]/LightbringerAbilities1Scenario3[[#This Row],[takes]],0)</f>
        <v>0.18181818181818182</v>
      </c>
      <c r="Q66">
        <v>1</v>
      </c>
      <c r="R66">
        <f>COUNTIFS(Scenario3[winner1],"lightbringer",Scenario3[winner1-pw],LightbringerEquipScenario3[[#This Row],[level]])+COUNTIFS(Scenario3[loser1],"lightbringer",Scenario3[loser1-pw],LightbringerEquipScenario3[[#This Row],[level]])+COUNTIFS(Scenario3[loser2],"lightbringer",Scenario3[loser2-pw],LightbringerEquipScenario3[[#This Row],[level]])</f>
        <v>3</v>
      </c>
      <c r="S66" s="18">
        <f>COUNTIFS(Scenario3[winner1],"lightbringer",Scenario3[winner1-cp],LightbringerEquipScenario3[[#This Row],[level]])+COUNTIFS(Scenario3[loser1],"lightbringer",Scenario3[loser1-cp],LightbringerEquipScenario3[[#This Row],[level]])+COUNTIFS(Scenario3[loser2],"lightbringer",Scenario3[loser2-cp],LightbringerEquipScenario3[[#This Row],[level]])</f>
        <v>5</v>
      </c>
    </row>
    <row r="67" spans="11:19" x14ac:dyDescent="0.25">
      <c r="K67" t="s">
        <v>145</v>
      </c>
      <c r="L67">
        <f>COUNTIF(Scenario3[winner1-ability1],LightbringerAbilities1Scenario3[[#This Row],[ability]])+COUNTIF(Scenario3[loser1-ability1],LightbringerAbilities1Scenario3[[#This Row],[ability]])+COUNTIF(Scenario3[loser2-ability1],LightbringerAbilities1Scenario3[[#This Row],[ability]])</f>
        <v>3</v>
      </c>
      <c r="M67">
        <f>COUNTIF(Scenario3[winner1-ability1],LightbringerAbilities1Scenario3[[#This Row],[ability]])</f>
        <v>1</v>
      </c>
      <c r="N67" s="3">
        <f>IF(SUM(LightbringerAbilities1Scenario3[[#This Row],[takes]]) &gt; 0,LightbringerAbilities1Scenario3[[#This Row],[takes]]/SUM(LightbringerAbilities1Scenario3[takes]),0)</f>
        <v>0.14285714285714285</v>
      </c>
      <c r="O67" s="3">
        <f>IF(LightbringerAbilities1Scenario3[[#This Row],[takes]]&gt;0,LightbringerAbilities1Scenario3[[#This Row],[wins]]/LightbringerAbilities1Scenario3[[#This Row],[takes]],0)</f>
        <v>0.33333333333333331</v>
      </c>
      <c r="Q67">
        <v>2</v>
      </c>
      <c r="R67">
        <f>COUNTIFS(Scenario3[winner1],"lightbringer",Scenario3[winner1-pw],LightbringerEquipScenario3[[#This Row],[level]])+COUNTIFS(Scenario3[loser1],"lightbringer",Scenario3[loser1-pw],LightbringerEquipScenario3[[#This Row],[level]])+COUNTIFS(Scenario3[loser2],"lightbringer",Scenario3[loser2-pw],LightbringerEquipScenario3[[#This Row],[level]])</f>
        <v>4</v>
      </c>
      <c r="S67" s="18">
        <f>COUNTIFS(Scenario3[winner1],"lightbringer",Scenario3[winner1-cp],LightbringerEquipScenario3[[#This Row],[level]])+COUNTIFS(Scenario3[loser1],"lightbringer",Scenario3[loser1-cp],LightbringerEquipScenario3[[#This Row],[level]])+COUNTIFS(Scenario3[loser2],"lightbringer",Scenario3[loser2-cp],LightbringerEquipScenario3[[#This Row],[level]])</f>
        <v>4</v>
      </c>
    </row>
    <row r="68" spans="11:19" x14ac:dyDescent="0.25">
      <c r="K68" t="s">
        <v>103</v>
      </c>
      <c r="L68">
        <f>COUNTIF(Scenario3[winner1-ability1],LightbringerAbilities1Scenario3[[#This Row],[ability]])+COUNTIF(Scenario3[loser1-ability1],LightbringerAbilities1Scenario3[[#This Row],[ability]])+COUNTIF(Scenario3[loser2-ability1],LightbringerAbilities1Scenario3[[#This Row],[ability]])</f>
        <v>7</v>
      </c>
      <c r="M68">
        <f>COUNTIF(Scenario3[winner1-ability1],LightbringerAbilities1Scenario3[[#This Row],[ability]])</f>
        <v>3</v>
      </c>
      <c r="N68" s="3">
        <f>IF(SUM(LightbringerAbilities1Scenario3[[#This Row],[takes]]) &gt; 0,LightbringerAbilities1Scenario3[[#This Row],[takes]]/SUM(LightbringerAbilities1Scenario3[takes]),0)</f>
        <v>0.33333333333333331</v>
      </c>
      <c r="O68" s="3">
        <f>IF(LightbringerAbilities1Scenario3[[#This Row],[takes]]&gt;0,LightbringerAbilities1Scenario3[[#This Row],[wins]]/LightbringerAbilities1Scenario3[[#This Row],[takes]],0)</f>
        <v>0.42857142857142855</v>
      </c>
      <c r="Q68">
        <v>3</v>
      </c>
      <c r="R68">
        <f>COUNTIFS(Scenario3[winner1],"lightbringer",Scenario3[winner1-pw],LightbringerEquipScenario3[[#This Row],[level]])+COUNTIFS(Scenario3[loser1],"lightbringer",Scenario3[loser1-pw],LightbringerEquipScenario3[[#This Row],[level]])+COUNTIFS(Scenario3[loser2],"lightbringer",Scenario3[loser2-pw],LightbringerEquipScenario3[[#This Row],[level]])</f>
        <v>14</v>
      </c>
      <c r="S68" s="18">
        <f>COUNTIFS(Scenario3[winner1],"lightbringer",Scenario3[winner1-cp],LightbringerEquipScenario3[[#This Row],[level]])+COUNTIFS(Scenario3[loser1],"lightbringer",Scenario3[loser1-cp],LightbringerEquipScenario3[[#This Row],[level]])+COUNTIFS(Scenario3[loser2],"lightbringer",Scenario3[loser2-cp],LightbringerEquipScenario3[[#This Row],[level]])</f>
        <v>12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" t="s">
        <v>95</v>
      </c>
      <c r="L71" s="2">
        <f>COUNTIF(Scenario3[winner1-ability2],LightbringerAbilities2Scenario3[[#This Row],[ability]])+COUNTIF(Scenario3[loser1-ability2],LightbringerAbilities2Scenario3[[#This Row],[ability]])+COUNTIF(Scenario3[loser2-ability2],LightbringerAbilities2Scenario3[[#This Row],[ability]])</f>
        <v>4</v>
      </c>
      <c r="M71" s="2">
        <f>COUNTIF(Scenario3[winner1-ability2],LightbringerAbilities2Scenario3[[#This Row],[ability]])</f>
        <v>2</v>
      </c>
      <c r="N71" s="12">
        <f>IF(SUM(LightbringerAbilities2Scenario3[[#This Row],[takes]]) &gt; 0,LightbringerAbilities2Scenario3[[#This Row],[takes]]/SUM(LightbringerAbilities2Scenario3[takes]),0)</f>
        <v>0.19047619047619047</v>
      </c>
      <c r="O71" s="12">
        <f>IF(LightbringerAbilities2Scenario3[[#This Row],[takes]]&gt;0,LightbringerAbilities2Scenario3[[#This Row],[wins]]/LightbringerAbilities2Scenario3[[#This Row],[takes]],0)</f>
        <v>0.5</v>
      </c>
      <c r="S71" s="18"/>
    </row>
    <row r="72" spans="11:19" x14ac:dyDescent="0.25">
      <c r="K72" t="s">
        <v>146</v>
      </c>
      <c r="L72" s="2">
        <f>COUNTIF(Scenario3[winner1-ability2],LightbringerAbilities2Scenario3[[#This Row],[ability]])+COUNTIF(Scenario3[loser1-ability2],LightbringerAbilities2Scenario3[[#This Row],[ability]])+COUNTIF(Scenario3[loser2-ability2],LightbringerAbilities2Scenario3[[#This Row],[ability]])</f>
        <v>17</v>
      </c>
      <c r="M72" s="2">
        <f>COUNTIF(Scenario3[winner1-ability2],LightbringerAbilities2Scenario3[[#This Row],[ability]])</f>
        <v>4</v>
      </c>
      <c r="N72" s="3">
        <f>IF(SUM(LightbringerAbilities2Scenario3[[#This Row],[takes]]) &gt; 0,LightbringerAbilities2Scenario3[[#This Row],[takes]]/SUM(LightbringerAbilities2Scenario3[takes]),0)</f>
        <v>0.80952380952380953</v>
      </c>
      <c r="O72" s="3">
        <f>IF(LightbringerAbilities2Scenario3[[#This Row],[takes]]&gt;0,LightbringerAbilities2Scenario3[[#This Row],[wins]]/LightbringerAbilities2Scenario3[[#This Row],[takes]],0)</f>
        <v>0.23529411764705882</v>
      </c>
      <c r="S72" s="18"/>
    </row>
    <row r="73" spans="11:19" x14ac:dyDescent="0.25">
      <c r="K73" s="10" t="s">
        <v>91</v>
      </c>
      <c r="L73" s="2">
        <f>COUNTIF(Scenario3[winner1-ability2],LightbringerAbilities2Scenario3[[#This Row],[ability]])+COUNTIF(Scenario3[loser1-ability2],LightbringerAbilities2Scenario3[[#This Row],[ability]])+COUNTIF(Scenario3[loser2-ability2],LightbringerAbilities2Scenario3[[#This Row],[ability]])</f>
        <v>0</v>
      </c>
      <c r="M73" s="2">
        <f>COUNTIF(Scenario3[winner1-ability2],LightbringerAbilities2Scenario3[[#This Row],[ability]])</f>
        <v>0</v>
      </c>
      <c r="N73" s="13">
        <f>IF(SUM(LightbringerAbilities2Scenario3[[#This Row],[takes]]) &gt; 0,LightbringerAbilities2Scenario3[[#This Row],[takes]]/SUM(LightbringerAbilities2Scenario3[takes]),0)</f>
        <v>0</v>
      </c>
      <c r="O73" s="13">
        <f>IF(LightbringerAbilities2Scenario3[[#This Row],[takes]]&gt;0,LightbringerAbilities2Scenario3[[#This Row],[wins]]/LightbringerAbilities2Scenario3[[#This Row],[takes]],0)</f>
        <v>0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1" t="s">
        <v>104</v>
      </c>
      <c r="L76" s="1">
        <f>COUNTIF(Scenario3[winner1-ability3],LightbringerAbilities3Scenario3[[#This Row],[ability]])+COUNTIF(Scenario3[loser1-ability3],LightbringerAbilities3Scenario3[[#This Row],[ability]])+COUNTIF(Scenario3[loser2-ability3],LightbringerAbilities3Scenario3[[#This Row],[ability]])</f>
        <v>12</v>
      </c>
      <c r="M76" s="1">
        <f>COUNTIF(Scenario3[winner1-ability3],LightbringerAbilities3Scenario3[[#This Row],[ability]])</f>
        <v>3</v>
      </c>
      <c r="N76" s="14">
        <f>IF(SUM(LightbringerAbilities3Scenario3[[#This Row],[takes]]) &gt; 0,LightbringerAbilities3Scenario3[[#This Row],[takes]]/SUM(LightbringerAbilities3Scenario3[takes]),0)</f>
        <v>0.5714285714285714</v>
      </c>
      <c r="O76" s="14">
        <f>IF(LightbringerAbilities3Scenario3[[#This Row],[takes]]&gt;0,LightbringerAbilities3Scenario3[[#This Row],[wins]]/LightbringerAbilities3Scenario3[[#This Row],[takes]],0)</f>
        <v>0.25</v>
      </c>
      <c r="S76" s="18"/>
    </row>
    <row r="77" spans="11:19" x14ac:dyDescent="0.25">
      <c r="K77" s="2" t="s">
        <v>147</v>
      </c>
      <c r="L77" s="2">
        <f>COUNTIF(Scenario3[winner1-ability3],LightbringerAbilities3Scenario3[[#This Row],[ability]])+COUNTIF(Scenario3[loser1-ability3],LightbringerAbilities3Scenario3[[#This Row],[ability]])+COUNTIF(Scenario3[loser2-ability3],LightbringerAbilities3Scenario3[[#This Row],[ability]])</f>
        <v>6</v>
      </c>
      <c r="M77" s="2">
        <f>COUNTIF(Scenario3[winner1-ability3],LightbringerAbilities3Scenario3[[#This Row],[ability]])</f>
        <v>3</v>
      </c>
      <c r="N77" s="12">
        <f>IF(SUM(LightbringerAbilities3Scenario3[[#This Row],[takes]]) &gt; 0,LightbringerAbilities3Scenario3[[#This Row],[takes]]/SUM(LightbringerAbilities3Scenario3[takes]),0)</f>
        <v>0.2857142857142857</v>
      </c>
      <c r="O77" s="12">
        <f>IF(LightbringerAbilities3Scenario3[[#This Row],[takes]]&gt;0,LightbringerAbilities3Scenario3[[#This Row],[wins]]/LightbringerAbilities3Scenario3[[#This Row],[takes]],0)</f>
        <v>0.5</v>
      </c>
      <c r="S77" s="18"/>
    </row>
    <row r="78" spans="11:19" x14ac:dyDescent="0.25">
      <c r="K78" s="11" t="s">
        <v>148</v>
      </c>
      <c r="L78" s="1">
        <f>COUNTIF(Scenario3[winner1-ability3],LightbringerAbilities3Scenario3[[#This Row],[ability]])+COUNTIF(Scenario3[loser1-ability3],LightbringerAbilities3Scenario3[[#This Row],[ability]])+COUNTIF(Scenario3[loser2-ability3],LightbringerAbilities3Scenario3[[#This Row],[ability]])</f>
        <v>3</v>
      </c>
      <c r="M78" s="1">
        <f>COUNTIF(Scenario3[winner1-ability3],LightbringerAbilities3Scenario3[[#This Row],[ability]])</f>
        <v>0</v>
      </c>
      <c r="N78" s="15">
        <f>IF(SUM(LightbringerAbilities3Scenario3[[#This Row],[takes]]) &gt; 0,LightbringerAbilities3Scenario3[[#This Row],[takes]]/SUM(LightbringerAbilities3Scenario3[takes]),0)</f>
        <v>0.14285714285714285</v>
      </c>
      <c r="O78" s="15">
        <f>IF(LightbringerAbilities3Scenario3[[#This Row],[takes]]&gt;0,LightbringerAbilities3Scenario3[[#This Row],[wins]]/LightbringerAbilities3Scenario3[[#This Row],[takes]],0)</f>
        <v>0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" t="s">
        <v>149</v>
      </c>
      <c r="L81" s="2">
        <f>COUNTIF(Scenario3[winner1-ability4],LightbringerAbilities4Scenario3[[#This Row],[ability]])+COUNTIF(Scenario3[loser1-ability4],LightbringerAbilities4Scenario3[[#This Row],[ability]])+COUNTIF(Scenario3[loser2-ability4],LightbringerAbilities4Scenario3[[#This Row],[ability]])</f>
        <v>3</v>
      </c>
      <c r="M81" s="2">
        <f>COUNTIF(Scenario3[winner1-ability4],LightbringerAbilities4Scenario3[[#This Row],[ability]])</f>
        <v>1</v>
      </c>
      <c r="N81" s="12">
        <f>IF(SUM(LightbringerAbilities4Scenario3[[#This Row],[takes]]) &gt; 0,LightbringerAbilities4Scenario3[[#This Row],[takes]]/SUM(LightbringerAbilities4Scenario3[takes]),0)</f>
        <v>0.17647058823529413</v>
      </c>
      <c r="O81" s="12">
        <f>IF(LightbringerAbilities4Scenario3[[#This Row],[takes]]&gt;0,LightbringerAbilities4Scenario3[[#This Row],[wins]]/LightbringerAbilities4Scenario3[[#This Row],[takes]],0)</f>
        <v>0.33333333333333331</v>
      </c>
      <c r="S81" s="18"/>
    </row>
    <row r="82" spans="11:19" x14ac:dyDescent="0.25">
      <c r="K82" s="2" t="s">
        <v>150</v>
      </c>
      <c r="L82" s="2">
        <f>COUNTIF(Scenario3[winner1-ability4],LightbringerAbilities4Scenario3[[#This Row],[ability]])+COUNTIF(Scenario3[loser1-ability4],LightbringerAbilities4Scenario3[[#This Row],[ability]])+COUNTIF(Scenario3[loser2-ability4],LightbringerAbilities4Scenario3[[#This Row],[ability]])</f>
        <v>6</v>
      </c>
      <c r="M82" s="2">
        <f>COUNTIF(Scenario3[winner1-ability4],LightbringerAbilities4Scenario3[[#This Row],[ability]])</f>
        <v>2</v>
      </c>
      <c r="N82" s="12">
        <f>IF(SUM(LightbringerAbilities4Scenario3[[#This Row],[takes]]) &gt; 0,LightbringerAbilities4Scenario3[[#This Row],[takes]]/SUM(LightbringerAbilities4Scenario3[takes]),0)</f>
        <v>0.35294117647058826</v>
      </c>
      <c r="O82" s="12">
        <f>IF(LightbringerAbilities4Scenario3[[#This Row],[takes]]&gt;0,LightbringerAbilities4Scenario3[[#This Row],[wins]]/LightbringerAbilities4Scenario3[[#This Row],[takes]],0)</f>
        <v>0.33333333333333331</v>
      </c>
      <c r="S82" s="18"/>
    </row>
    <row r="83" spans="11:19" ht="15.75" thickBot="1" x14ac:dyDescent="0.3">
      <c r="K83" s="10" t="s">
        <v>151</v>
      </c>
      <c r="L83" s="2">
        <f>COUNTIF(Scenario3[winner1-ability4],LightbringerAbilities4Scenario3[[#This Row],[ability]])+COUNTIF(Scenario3[loser1-ability4],LightbringerAbilities4Scenario3[[#This Row],[ability]])+COUNTIF(Scenario3[loser2-ability4],LightbringerAbilities4Scenario3[[#This Row],[ability]])</f>
        <v>8</v>
      </c>
      <c r="M83" s="2">
        <f>COUNTIF(Scenario3[winner1-ability4],LightbringerAbilities4Scenario3[[#This Row],[ability]])</f>
        <v>2</v>
      </c>
      <c r="N83" s="26">
        <f>IF(SUM(LightbringerAbilities4Scenario3[[#This Row],[takes]]) &gt; 0,LightbringerAbilities4Scenario3[[#This Row],[takes]]/SUM(LightbringerAbilities4Scenario3[takes]),0)</f>
        <v>0.47058823529411764</v>
      </c>
      <c r="O83" s="26">
        <f>IF(LightbringerAbilities4Scenario3[[#This Row],[takes]]&gt;0,LightbringerAbilities4Scenario3[[#This Row],[wins]]/LightbringerAbilities4Scenario3[[#This Row],[takes]],0)</f>
        <v>0.25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7" t="s">
        <v>219</v>
      </c>
      <c r="L85" s="38"/>
      <c r="M85" s="38"/>
      <c r="N85" s="38"/>
      <c r="O85" s="38"/>
      <c r="P85" s="38"/>
      <c r="Q85" s="38"/>
      <c r="R85" s="38"/>
      <c r="S85" s="39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170</v>
      </c>
      <c r="S86" s="18" t="s">
        <v>164</v>
      </c>
    </row>
    <row r="87" spans="11:19" x14ac:dyDescent="0.25">
      <c r="K87" t="s">
        <v>72</v>
      </c>
      <c r="L87">
        <f>COUNTIF(Scenario4[winner1-ability1],LightbringerAbilities1Scenario4[[#This Row],[ability]])+COUNTIF(Scenario4[loser1-ability1],LightbringerAbilities1Scenario4[[#This Row],[ability]])+COUNTIF(Scenario4[loser2-ability1],LightbringerAbilities1Scenario4[[#This Row],[ability]])+COUNTIF(Scenario4[loser3-ability1],LightbringerAbilities1Scenario4[[#This Row],[ability]])</f>
        <v>20</v>
      </c>
      <c r="M87">
        <f>COUNTIF(Scenario4[winner1-ability1],LightbringerAbilities1Scenario4[[#This Row],[ability]])</f>
        <v>10</v>
      </c>
      <c r="N87" s="3">
        <f>IF(SUM(LightbringerAbilities1Scenario4[[#This Row],[takes]]) &gt; 0,LightbringerAbilities1Scenario4[[#This Row],[takes]]/SUM(LightbringerAbilities1Scenario4[takes]),0)</f>
        <v>0.5714285714285714</v>
      </c>
      <c r="O87" s="3">
        <f>IF(LightbringerAbilities1Scenario4[[#This Row],[takes]]&gt;0,LightbringerAbilities1Scenario4[[#This Row],[wins]]/LightbringerAbilities1Scenario4[[#This Row],[takes]],0)</f>
        <v>0.5</v>
      </c>
      <c r="Q87">
        <v>1</v>
      </c>
      <c r="R87">
        <f>COUNTIFS(Scenario4[winner1],"lightbringer",Scenario4[winner1-pw],LightbringerEquipScenario4[[#This Row],[level]])+COUNTIFS(Scenario4[loser1],"lightbringer",Scenario4[loser1-pw],LightbringerEquipScenario4[[#This Row],[level]])+COUNTIFS(Scenario4[loser2],"lightbringer",Scenario4[loser2-pw],LightbringerEquipScenario4[[#This Row],[level]])+COUNTIFS(Scenario4[loser3],"lightbringer",Scenario4[loser3-pw],LightbringerEquipScenario4[[#This Row],[level]])</f>
        <v>2</v>
      </c>
      <c r="S87" s="18">
        <f>COUNTIFS(Scenario4[winner1],"lightbringer",Scenario4[winner1-cp],LightbringerEquipScenario4[[#This Row],[level]])+COUNTIFS(Scenario4[loser1],"lightbringer",Scenario4[loser1-cp],LightbringerEquipScenario4[[#This Row],[level]])+COUNTIFS(Scenario4[loser2],"lightbringer",Scenario4[loser2-cp],LightbringerEquipScenario4[[#This Row],[level]])+COUNTIFS(Scenario4[loser3],"lightbringer",Scenario4[loser3-cp],LightbringerEquipScenario4[[#This Row],[level]])</f>
        <v>4</v>
      </c>
    </row>
    <row r="88" spans="11:19" x14ac:dyDescent="0.25">
      <c r="K88" t="s">
        <v>145</v>
      </c>
      <c r="L88">
        <f>COUNTIF(Scenario4[winner1-ability1],LightbringerAbilities1Scenario4[[#This Row],[ability]])+COUNTIF(Scenario4[loser1-ability1],LightbringerAbilities1Scenario4[[#This Row],[ability]])+COUNTIF(Scenario4[loser2-ability1],LightbringerAbilities1Scenario4[[#This Row],[ability]])+COUNTIF(Scenario4[loser3-ability1],LightbringerAbilities1Scenario4[[#This Row],[ability]])</f>
        <v>5</v>
      </c>
      <c r="M88">
        <f>COUNTIF(Scenario4[winner1-ability1],LightbringerAbilities1Scenario4[[#This Row],[ability]])</f>
        <v>2</v>
      </c>
      <c r="N88" s="3">
        <f>IF(SUM(LightbringerAbilities1Scenario4[[#This Row],[takes]]) &gt; 0,LightbringerAbilities1Scenario4[[#This Row],[takes]]/SUM(LightbringerAbilities1Scenario4[takes]),0)</f>
        <v>0.14285714285714285</v>
      </c>
      <c r="O88" s="3">
        <f>IF(LightbringerAbilities1Scenario4[[#This Row],[takes]]&gt;0,LightbringerAbilities1Scenario4[[#This Row],[wins]]/LightbringerAbilities1Scenario4[[#This Row],[takes]],0)</f>
        <v>0.4</v>
      </c>
      <c r="Q88">
        <v>2</v>
      </c>
      <c r="R88">
        <f>COUNTIFS(Scenario4[winner1],"lightbringer",Scenario4[winner1-pw],LightbringerEquipScenario4[[#This Row],[level]])+COUNTIFS(Scenario4[loser1],"lightbringer",Scenario4[loser1-pw],LightbringerEquipScenario4[[#This Row],[level]])+COUNTIFS(Scenario4[loser2],"lightbringer",Scenario4[loser2-pw],LightbringerEquipScenario4[[#This Row],[level]])+COUNTIFS(Scenario4[loser3],"lightbringer",Scenario4[loser3-pw],LightbringerEquipScenario4[[#This Row],[level]])</f>
        <v>4</v>
      </c>
      <c r="S88" s="18">
        <f>COUNTIFS(Scenario4[winner1],"lightbringer",Scenario4[winner1-cp],LightbringerEquipScenario4[[#This Row],[level]])+COUNTIFS(Scenario4[loser1],"lightbringer",Scenario4[loser1-cp],LightbringerEquipScenario4[[#This Row],[level]])+COUNTIFS(Scenario4[loser2],"lightbringer",Scenario4[loser2-cp],LightbringerEquipScenario4[[#This Row],[level]])+COUNTIFS(Scenario4[loser3],"lightbringer",Scenario4[loser3-cp],LightbringerEquipScenario4[[#This Row],[level]])</f>
        <v>4</v>
      </c>
    </row>
    <row r="89" spans="11:19" x14ac:dyDescent="0.25">
      <c r="K89" t="s">
        <v>103</v>
      </c>
      <c r="L89">
        <f>COUNTIF(Scenario4[winner1-ability1],LightbringerAbilities1Scenario4[[#This Row],[ability]])+COUNTIF(Scenario4[loser1-ability1],LightbringerAbilities1Scenario4[[#This Row],[ability]])+COUNTIF(Scenario4[loser2-ability1],LightbringerAbilities1Scenario4[[#This Row],[ability]])+COUNTIF(Scenario4[loser3-ability1],LightbringerAbilities1Scenario4[[#This Row],[ability]])</f>
        <v>10</v>
      </c>
      <c r="M89">
        <f>COUNTIF(Scenario4[winner1-ability1],LightbringerAbilities1Scenario4[[#This Row],[ability]])</f>
        <v>5</v>
      </c>
      <c r="N89" s="3">
        <f>IF(SUM(LightbringerAbilities1Scenario4[[#This Row],[takes]]) &gt; 0,LightbringerAbilities1Scenario4[[#This Row],[takes]]/SUM(LightbringerAbilities1Scenario4[takes]),0)</f>
        <v>0.2857142857142857</v>
      </c>
      <c r="O89" s="3">
        <f>IF(LightbringerAbilities1Scenario4[[#This Row],[takes]]&gt;0,LightbringerAbilities1Scenario4[[#This Row],[wins]]/LightbringerAbilities1Scenario4[[#This Row],[takes]],0)</f>
        <v>0.5</v>
      </c>
      <c r="Q89">
        <v>3</v>
      </c>
      <c r="R89">
        <f>COUNTIFS(Scenario4[winner1],"lightbringer",Scenario4[winner1-pw],LightbringerEquipScenario4[[#This Row],[level]])+COUNTIFS(Scenario4[loser1],"lightbringer",Scenario4[loser1-pw],LightbringerEquipScenario4[[#This Row],[level]])+COUNTIFS(Scenario4[loser2],"lightbringer",Scenario4[loser2-pw],LightbringerEquipScenario4[[#This Row],[level]])+COUNTIFS(Scenario4[loser3],"lightbringer",Scenario4[loser3-pw],LightbringerEquipScenario4[[#This Row],[level]])</f>
        <v>29</v>
      </c>
      <c r="S89" s="18">
        <f>COUNTIFS(Scenario4[winner1],"lightbringer",Scenario4[winner1-cp],LightbringerEquipScenario4[[#This Row],[level]])+COUNTIFS(Scenario4[loser1],"lightbringer",Scenario4[loser1-cp],LightbringerEquipScenario4[[#This Row],[level]])+COUNTIFS(Scenario4[loser2],"lightbringer",Scenario4[loser2-cp],LightbringerEquipScenario4[[#This Row],[level]])+COUNTIFS(Scenario4[loser3],"lightbringer",Scenario4[loser3-cp],LightbringerEquipScenario4[[#This Row],[level]])</f>
        <v>27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" t="s">
        <v>95</v>
      </c>
      <c r="L92" s="2">
        <f>COUNTIF(Scenario4[winner1-ability2],LightbringerAbilities2Scenario4[[#This Row],[ability]])+COUNTIF(Scenario4[loser1-ability2],LightbringerAbilities2Scenario4[[#This Row],[ability]])+COUNTIF(Scenario4[loser2-ability2],LightbringerAbilities2Scenario4[[#This Row],[ability]])+COUNTIF(Scenario4[loser3-ability2],LightbringerAbilities2Scenario4[[#This Row],[ability]])</f>
        <v>10</v>
      </c>
      <c r="M92" s="2">
        <f>COUNTIF(Scenario4[winner1-ability2],LightbringerAbilities2Scenario4[[#This Row],[ability]])</f>
        <v>5</v>
      </c>
      <c r="N92" s="12">
        <f>IF(SUM(LightbringerAbilities2Scenario4[[#This Row],[takes]]) &gt; 0,LightbringerAbilities2Scenario4[[#This Row],[takes]]/SUM(LightbringerAbilities2Scenario4[takes]),0)</f>
        <v>0.2857142857142857</v>
      </c>
      <c r="O92" s="12">
        <f>IF(LightbringerAbilities2Scenario4[[#This Row],[takes]]&gt;0,LightbringerAbilities2Scenario4[[#This Row],[wins]]/LightbringerAbilities2Scenario4[[#This Row],[takes]],0)</f>
        <v>0.5</v>
      </c>
      <c r="S92" s="18"/>
    </row>
    <row r="93" spans="11:19" x14ac:dyDescent="0.25">
      <c r="K93" t="s">
        <v>146</v>
      </c>
      <c r="L93" s="2">
        <f>COUNTIF(Scenario4[winner1-ability2],LightbringerAbilities2Scenario4[[#This Row],[ability]])+COUNTIF(Scenario4[loser1-ability2],LightbringerAbilities2Scenario4[[#This Row],[ability]])+COUNTIF(Scenario4[loser2-ability2],LightbringerAbilities2Scenario4[[#This Row],[ability]])+COUNTIF(Scenario4[loser3-ability2],LightbringerAbilities2Scenario4[[#This Row],[ability]])</f>
        <v>25</v>
      </c>
      <c r="M93" s="2">
        <f>COUNTIF(Scenario4[winner1-ability2],LightbringerAbilities2Scenario4[[#This Row],[ability]])</f>
        <v>12</v>
      </c>
      <c r="N93" s="3">
        <f>IF(SUM(LightbringerAbilities2Scenario4[[#This Row],[takes]]) &gt; 0,LightbringerAbilities2Scenario4[[#This Row],[takes]]/SUM(LightbringerAbilities2Scenario4[takes]),0)</f>
        <v>0.7142857142857143</v>
      </c>
      <c r="O93" s="3">
        <f>IF(LightbringerAbilities2Scenario4[[#This Row],[takes]]&gt;0,LightbringerAbilities2Scenario4[[#This Row],[wins]]/LightbringerAbilities2Scenario4[[#This Row],[takes]],0)</f>
        <v>0.48</v>
      </c>
      <c r="S93" s="18"/>
    </row>
    <row r="94" spans="11:19" x14ac:dyDescent="0.25">
      <c r="K94" s="10" t="s">
        <v>91</v>
      </c>
      <c r="L94" s="2">
        <f>COUNTIF(Scenario4[winner1-ability2],LightbringerAbilities2Scenario4[[#This Row],[ability]])+COUNTIF(Scenario4[loser1-ability2],LightbringerAbilities2Scenario4[[#This Row],[ability]])+COUNTIF(Scenario4[loser2-ability2],LightbringerAbilities2Scenario4[[#This Row],[ability]])+COUNTIF(Scenario4[loser3-ability2],LightbringerAbilities2Scenario4[[#This Row],[ability]])</f>
        <v>0</v>
      </c>
      <c r="M94" s="2">
        <f>COUNTIF(Scenario4[winner1-ability2],LightbringerAbilities2Scenario4[[#This Row],[ability]])</f>
        <v>0</v>
      </c>
      <c r="N94" s="13">
        <f>IF(SUM(LightbringerAbilities2Scenario4[[#This Row],[takes]]) &gt; 0,LightbringerAbilities2Scenario4[[#This Row],[takes]]/SUM(LightbringerAbilities2Scenario4[takes]),0)</f>
        <v>0</v>
      </c>
      <c r="O94" s="13">
        <f>IF(LightbringerAbilities2Scenario4[[#This Row],[takes]]&gt;0,LightbringerAbilities2Scenario4[[#This Row],[wins]]/LightbringerAbilities2Scenario4[[#This Row],[takes]],0)</f>
        <v>0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1" t="s">
        <v>104</v>
      </c>
      <c r="L97" s="1">
        <f>COUNTIF(Scenario4[winner1-ability3],LightbringerAbilities3Scenario4[[#This Row],[ability]])+COUNTIF(Scenario4[loser1-ability3],LightbringerAbilities3Scenario4[[#This Row],[ability]])+COUNTIF(Scenario4[loser2-ability3],LightbringerAbilities3Scenario4[[#This Row],[ability]])+COUNTIF(Scenario4[loser3-ability3],LightbringerAbilities3Scenario4[[#This Row],[ability]])</f>
        <v>13</v>
      </c>
      <c r="M97" s="1">
        <f>COUNTIF(Scenario4[winner1-ability3],LightbringerAbilities3Scenario4[[#This Row],[ability]])</f>
        <v>5</v>
      </c>
      <c r="N97" s="14">
        <f>IF(SUM(LightbringerAbilities3Scenario4[[#This Row],[takes]]) &gt; 0,LightbringerAbilities3Scenario4[[#This Row],[takes]]/SUM(LightbringerAbilities3Scenario4[takes]),0)</f>
        <v>0.38235294117647056</v>
      </c>
      <c r="O97" s="14">
        <f>IF(LightbringerAbilities3Scenario4[[#This Row],[takes]]&gt;0,LightbringerAbilities3Scenario4[[#This Row],[wins]]/LightbringerAbilities3Scenario4[[#This Row],[takes]],0)</f>
        <v>0.38461538461538464</v>
      </c>
      <c r="S97" s="18"/>
    </row>
    <row r="98" spans="11:19" x14ac:dyDescent="0.25">
      <c r="K98" s="2" t="s">
        <v>147</v>
      </c>
      <c r="L98" s="2">
        <f>COUNTIF(Scenario4[winner1-ability3],LightbringerAbilities3Scenario4[[#This Row],[ability]])+COUNTIF(Scenario4[loser1-ability3],LightbringerAbilities3Scenario4[[#This Row],[ability]])+COUNTIF(Scenario4[loser2-ability3],LightbringerAbilities3Scenario4[[#This Row],[ability]])+COUNTIF(Scenario4[loser3-ability3],LightbringerAbilities3Scenario4[[#This Row],[ability]])</f>
        <v>8</v>
      </c>
      <c r="M98" s="2">
        <f>COUNTIF(Scenario4[winner1-ability3],LightbringerAbilities3Scenario4[[#This Row],[ability]])</f>
        <v>5</v>
      </c>
      <c r="N98" s="12">
        <f>IF(SUM(LightbringerAbilities3Scenario4[[#This Row],[takes]]) &gt; 0,LightbringerAbilities3Scenario4[[#This Row],[takes]]/SUM(LightbringerAbilities3Scenario4[takes]),0)</f>
        <v>0.23529411764705882</v>
      </c>
      <c r="O98" s="12">
        <f>IF(LightbringerAbilities3Scenario4[[#This Row],[takes]]&gt;0,LightbringerAbilities3Scenario4[[#This Row],[wins]]/LightbringerAbilities3Scenario4[[#This Row],[takes]],0)</f>
        <v>0.625</v>
      </c>
      <c r="S98" s="18"/>
    </row>
    <row r="99" spans="11:19" x14ac:dyDescent="0.25">
      <c r="K99" s="11" t="s">
        <v>148</v>
      </c>
      <c r="L99" s="1">
        <f>COUNTIF(Scenario4[winner1-ability3],LightbringerAbilities3Scenario4[[#This Row],[ability]])+COUNTIF(Scenario4[loser1-ability3],LightbringerAbilities3Scenario4[[#This Row],[ability]])+COUNTIF(Scenario4[loser2-ability3],LightbringerAbilities3Scenario4[[#This Row],[ability]])+COUNTIF(Scenario4[loser3-ability3],LightbringerAbilities3Scenario4[[#This Row],[ability]])</f>
        <v>13</v>
      </c>
      <c r="M99" s="1">
        <f>COUNTIF(Scenario4[winner1-ability3],LightbringerAbilities3Scenario4[[#This Row],[ability]])</f>
        <v>7</v>
      </c>
      <c r="N99" s="15">
        <f>IF(SUM(LightbringerAbilities3Scenario4[[#This Row],[takes]]) &gt; 0,LightbringerAbilities3Scenario4[[#This Row],[takes]]/SUM(LightbringerAbilities3Scenario4[takes]),0)</f>
        <v>0.38235294117647056</v>
      </c>
      <c r="O99" s="15">
        <f>IF(LightbringerAbilities3Scenario4[[#This Row],[takes]]&gt;0,LightbringerAbilities3Scenario4[[#This Row],[wins]]/LightbringerAbilities3Scenario4[[#This Row],[takes]],0)</f>
        <v>0.53846153846153844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" t="s">
        <v>149</v>
      </c>
      <c r="L102" s="2">
        <f>COUNTIF(Scenario4[winner1-ability4],LightbringerAbilities4Scenario4[[#This Row],[ability]])+COUNTIF(Scenario4[loser1-ability4],LightbringerAbilities4Scenario4[[#This Row],[ability]])+COUNTIF(Scenario4[loser2-ability4],LightbringerAbilities4Scenario4[[#This Row],[ability]])+COUNTIF(Scenario4[loser3-ability4],LightbringerAbilities4Scenario4[[#This Row],[ability]])</f>
        <v>5</v>
      </c>
      <c r="M102" s="2">
        <f>COUNTIF(Scenario4[winner1-ability4],LightbringerAbilities4Scenario4[[#This Row],[ability]])</f>
        <v>3</v>
      </c>
      <c r="N102" s="12">
        <f>IF(SUM(LightbringerAbilities4Scenario4[[#This Row],[takes]]) &gt; 0,LightbringerAbilities4Scenario4[[#This Row],[takes]]/SUM(LightbringerAbilities4Scenario4[takes]),0)</f>
        <v>0.15625</v>
      </c>
      <c r="O102" s="12">
        <f>IF(LightbringerAbilities4Scenario4[[#This Row],[takes]]&gt;0,LightbringerAbilities4Scenario4[[#This Row],[wins]]/LightbringerAbilities4Scenario4[[#This Row],[takes]],0)</f>
        <v>0.6</v>
      </c>
      <c r="S102" s="18"/>
    </row>
    <row r="103" spans="11:19" x14ac:dyDescent="0.25">
      <c r="K103" s="2" t="s">
        <v>150</v>
      </c>
      <c r="L103" s="2">
        <f>COUNTIF(Scenario4[winner1-ability4],LightbringerAbilities4Scenario4[[#This Row],[ability]])+COUNTIF(Scenario4[loser1-ability4],LightbringerAbilities4Scenario4[[#This Row],[ability]])+COUNTIF(Scenario4[loser2-ability4],LightbringerAbilities4Scenario4[[#This Row],[ability]])+COUNTIF(Scenario4[loser3-ability4],LightbringerAbilities4Scenario4[[#This Row],[ability]])</f>
        <v>13</v>
      </c>
      <c r="M103" s="2">
        <f>COUNTIF(Scenario4[winner1-ability4],LightbringerAbilities4Scenario4[[#This Row],[ability]])</f>
        <v>8</v>
      </c>
      <c r="N103" s="12">
        <f>IF(SUM(LightbringerAbilities4Scenario4[[#This Row],[takes]]) &gt; 0,LightbringerAbilities4Scenario4[[#This Row],[takes]]/SUM(LightbringerAbilities4Scenario4[takes]),0)</f>
        <v>0.40625</v>
      </c>
      <c r="O103" s="12">
        <f>IF(LightbringerAbilities4Scenario4[[#This Row],[takes]]&gt;0,LightbringerAbilities4Scenario4[[#This Row],[wins]]/LightbringerAbilities4Scenario4[[#This Row],[takes]],0)</f>
        <v>0.61538461538461542</v>
      </c>
      <c r="S103" s="18"/>
    </row>
    <row r="104" spans="11:19" ht="15.75" thickBot="1" x14ac:dyDescent="0.3">
      <c r="K104" s="10" t="s">
        <v>151</v>
      </c>
      <c r="L104" s="2">
        <f>COUNTIF(Scenario4[winner1-ability4],LightbringerAbilities4Scenario4[[#This Row],[ability]])+COUNTIF(Scenario4[loser1-ability4],LightbringerAbilities4Scenario4[[#This Row],[ability]])+COUNTIF(Scenario4[loser2-ability4],LightbringerAbilities4Scenario4[[#This Row],[ability]])+COUNTIF(Scenario4[loser3-ability4],LightbringerAbilities4Scenario4[[#This Row],[ability]])</f>
        <v>14</v>
      </c>
      <c r="M104" s="2">
        <f>COUNTIF(Scenario4[winner1-ability4],LightbringerAbilities4Scenario4[[#This Row],[ability]])</f>
        <v>6</v>
      </c>
      <c r="N104" s="26">
        <f>IF(SUM(LightbringerAbilities4Scenario4[[#This Row],[takes]]) &gt; 0,LightbringerAbilities4Scenario4[[#This Row],[takes]]/SUM(LightbringerAbilities4Scenario4[takes]),0)</f>
        <v>0.4375</v>
      </c>
      <c r="O104" s="26">
        <f>IF(LightbringerAbilities4Scenario4[[#This Row],[takes]]&gt;0,LightbringerAbilities4Scenario4[[#This Row],[wins]]/LightbringerAbilities4Scenario4[[#This Row],[takes]],0)</f>
        <v>0.42857142857142855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7" t="s">
        <v>220</v>
      </c>
      <c r="L106" s="38"/>
      <c r="M106" s="38"/>
      <c r="N106" s="38"/>
      <c r="O106" s="38"/>
      <c r="P106" s="38"/>
      <c r="Q106" s="38"/>
      <c r="R106" s="38"/>
      <c r="S106" s="39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170</v>
      </c>
      <c r="S107" s="18" t="s">
        <v>164</v>
      </c>
    </row>
    <row r="108" spans="11:19" x14ac:dyDescent="0.25">
      <c r="K108" t="s">
        <v>72</v>
      </c>
      <c r="L108">
        <f>COUNTIF(Scenario5[winner1-ability1],LightbringerAbilities1Scenario5[[#This Row],[ability]])+COUNTIF(Scenario5[winner2-ability1],LightbringerAbilities1Scenario5[[#This Row],[ability]])+COUNTIF(Scenario5[loser1-ability1],LightbringerAbilities1Scenario5[[#This Row],[ability]])+COUNTIF(Scenario5[loser2-ability1],LightbringerAbilities1Scenario5[[#This Row],[ability]])</f>
        <v>34</v>
      </c>
      <c r="M108">
        <f>COUNTIF(Scenario5[winner1-ability1],LightbringerAbilities1Scenario5[[#This Row],[ability]])+COUNTIF(Scenario5[winner2-ability1],LightbringerAbilities1Scenario5[[#This Row],[ability]])</f>
        <v>16</v>
      </c>
      <c r="N108" s="3">
        <f>IF(SUM(LightbringerAbilities1Scenario5[[#This Row],[takes]]) &gt; 0,LightbringerAbilities1Scenario5[[#This Row],[takes]]/SUM(LightbringerAbilities1Scenario5[takes]),0)</f>
        <v>0.32380952380952382</v>
      </c>
      <c r="O108" s="3">
        <f>IF(LightbringerAbilities1Scenario5[[#This Row],[takes]]&gt;0,LightbringerAbilities1Scenario5[[#This Row],[wins]]/LightbringerAbilities1Scenario5[[#This Row],[takes]],0)</f>
        <v>0.47058823529411764</v>
      </c>
      <c r="Q108">
        <v>1</v>
      </c>
      <c r="R108">
        <f>COUNTIFS(Scenario5[winner1],"lightbringer",Scenario5[winner1-pw],LightbringerEquipScenario5[[#This Row],[level]])+COUNTIFS(Scenario5[winner2],"lightbringer",Scenario5[winner2-pw],LightbringerEquipScenario5[[#This Row],[level]])+COUNTIFS(Scenario5[loser1],"lightbringer",Scenario5[loser1-pw],LightbringerEquipScenario5[[#This Row],[level]])+COUNTIFS(Scenario5[loser2],"lightbringer",Scenario5[loser2-pw],LightbringerEquipScenario5[[#This Row],[level]])</f>
        <v>59</v>
      </c>
      <c r="S108" s="18">
        <f>COUNTIFS(Scenario5[winner1],"lightbringer",Scenario5[winner1-cp],LightbringerEquipScenario5[[#This Row],[level]])+COUNTIFS(Scenario5[winner2],"lightbringer",Scenario5[winner2-cp],LightbringerEquipScenario5[[#This Row],[level]])+COUNTIFS(Scenario5[loser1],"lightbringer",Scenario5[loser1-cp],LightbringerEquipScenario5[[#This Row],[level]])+COUNTIFS(Scenario5[loser2],"lightbringer",Scenario5[loser2-cp],LightbringerEquipScenario5[[#This Row],[level]])</f>
        <v>80</v>
      </c>
    </row>
    <row r="109" spans="11:19" x14ac:dyDescent="0.25">
      <c r="K109" t="s">
        <v>145</v>
      </c>
      <c r="L109">
        <f>COUNTIF(Scenario5[winner1-ability1],LightbringerAbilities1Scenario5[[#This Row],[ability]])+COUNTIF(Scenario5[winner2-ability1],LightbringerAbilities1Scenario5[[#This Row],[ability]])+COUNTIF(Scenario5[loser1-ability1],LightbringerAbilities1Scenario5[[#This Row],[ability]])+COUNTIF(Scenario5[loser2-ability1],LightbringerAbilities1Scenario5[[#This Row],[ability]])</f>
        <v>50</v>
      </c>
      <c r="M109">
        <f>COUNTIF(Scenario5[winner1-ability1],LightbringerAbilities1Scenario5[[#This Row],[ability]])+COUNTIF(Scenario5[winner2-ability1],LightbringerAbilities1Scenario5[[#This Row],[ability]])</f>
        <v>29</v>
      </c>
      <c r="N109" s="3">
        <f>IF(SUM(LightbringerAbilities1Scenario5[[#This Row],[takes]]) &gt; 0,LightbringerAbilities1Scenario5[[#This Row],[takes]]/SUM(LightbringerAbilities1Scenario5[takes]),0)</f>
        <v>0.47619047619047616</v>
      </c>
      <c r="O109" s="3">
        <f>IF(LightbringerAbilities1Scenario5[[#This Row],[takes]]&gt;0,LightbringerAbilities1Scenario5[[#This Row],[wins]]/LightbringerAbilities1Scenario5[[#This Row],[takes]],0)</f>
        <v>0.57999999999999996</v>
      </c>
      <c r="Q109">
        <v>2</v>
      </c>
      <c r="R109">
        <f>COUNTIFS(Scenario5[winner1],"lightbringer",Scenario5[winner1-pw],LightbringerEquipScenario5[[#This Row],[level]])+COUNTIFS(Scenario5[winner2],"lightbringer",Scenario5[winner2-pw],LightbringerEquipScenario5[[#This Row],[level]])+COUNTIFS(Scenario5[loser1],"lightbringer",Scenario5[loser1-pw],LightbringerEquipScenario5[[#This Row],[level]])+COUNTIFS(Scenario5[loser2],"lightbringer",Scenario5[loser2-pw],LightbringerEquipScenario5[[#This Row],[level]])</f>
        <v>27</v>
      </c>
      <c r="S109" s="18">
        <f>COUNTIFS(Scenario5[winner1],"lightbringer",Scenario5[winner1-cp],LightbringerEquipScenario5[[#This Row],[level]])+COUNTIFS(Scenario5[winner2],"lightbringer",Scenario5[winner2-cp],LightbringerEquipScenario5[[#This Row],[level]])+COUNTIFS(Scenario5[loser1],"lightbringer",Scenario5[loser1-cp],LightbringerEquipScenario5[[#This Row],[level]])+COUNTIFS(Scenario5[loser2],"lightbringer",Scenario5[loser2-cp],LightbringerEquipScenario5[[#This Row],[level]])</f>
        <v>20</v>
      </c>
    </row>
    <row r="110" spans="11:19" x14ac:dyDescent="0.25">
      <c r="K110" t="s">
        <v>103</v>
      </c>
      <c r="L110">
        <f>COUNTIF(Scenario5[winner1-ability1],LightbringerAbilities1Scenario5[[#This Row],[ability]])+COUNTIF(Scenario5[winner2-ability1],LightbringerAbilities1Scenario5[[#This Row],[ability]])+COUNTIF(Scenario5[loser1-ability1],LightbringerAbilities1Scenario5[[#This Row],[ability]])+COUNTIF(Scenario5[loser2-ability1],LightbringerAbilities1Scenario5[[#This Row],[ability]])</f>
        <v>21</v>
      </c>
      <c r="M110">
        <f>COUNTIF(Scenario5[winner1-ability1],LightbringerAbilities1Scenario5[[#This Row],[ability]])+COUNTIF(Scenario5[winner2-ability1],LightbringerAbilities1Scenario5[[#This Row],[ability]])</f>
        <v>11</v>
      </c>
      <c r="N110" s="3">
        <f>IF(SUM(LightbringerAbilities1Scenario5[[#This Row],[takes]]) &gt; 0,LightbringerAbilities1Scenario5[[#This Row],[takes]]/SUM(LightbringerAbilities1Scenario5[takes]),0)</f>
        <v>0.2</v>
      </c>
      <c r="O110" s="3">
        <f>IF(LightbringerAbilities1Scenario5[[#This Row],[takes]]&gt;0,LightbringerAbilities1Scenario5[[#This Row],[wins]]/LightbringerAbilities1Scenario5[[#This Row],[takes]],0)</f>
        <v>0.52380952380952384</v>
      </c>
      <c r="Q110">
        <v>3</v>
      </c>
      <c r="R110">
        <f>COUNTIFS(Scenario5[winner1],"lightbringer",Scenario5[winner1-pw],LightbringerEquipScenario5[[#This Row],[level]])+COUNTIFS(Scenario5[winner2],"lightbringer",Scenario5[winner2-pw],LightbringerEquipScenario5[[#This Row],[level]])+COUNTIFS(Scenario5[loser1],"lightbringer",Scenario5[loser1-pw],LightbringerEquipScenario5[[#This Row],[level]])+COUNTIFS(Scenario5[loser2],"lightbringer",Scenario5[loser2-pw],LightbringerEquipScenario5[[#This Row],[level]])</f>
        <v>19</v>
      </c>
      <c r="S110" s="18">
        <f>COUNTIFS(Scenario5[winner1],"lightbringer",Scenario5[winner1-cp],LightbringerEquipScenario5[[#This Row],[level]])+COUNTIFS(Scenario5[winner2],"lightbringer",Scenario5[winner2-cp],LightbringerEquipScenario5[[#This Row],[level]])+COUNTIFS(Scenario5[loser1],"lightbringer",Scenario5[loser1-cp],LightbringerEquipScenario5[[#This Row],[level]])+COUNTIFS(Scenario5[loser2],"lightbringer",Scenario5[loser2-cp],LightbringerEquipScenario5[[#This Row],[level]])</f>
        <v>5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" t="s">
        <v>95</v>
      </c>
      <c r="L113" s="2">
        <f>COUNTIF(Scenario5[winner1-ability2],LightbringerAbilities2Scenario5[[#This Row],[ability]])+COUNTIF(Scenario5[winner2-ability2],LightbringerAbilities2Scenario5[[#This Row],[ability]])+COUNTIF(Scenario5[loser1-ability2],LightbringerAbilities2Scenario5[[#This Row],[ability]])+COUNTIF(Scenario5[loser2-ability2],LightbringerAbilities2Scenario5[[#This Row],[ability]])</f>
        <v>41</v>
      </c>
      <c r="M113" s="2">
        <f>COUNTIF(Scenario5[winner1-ability2],LightbringerAbilities2Scenario5[[#This Row],[ability]])+COUNTIF(Scenario5[winner2-ability2],LightbringerAbilities2Scenario5[[#This Row],[ability]])</f>
        <v>25</v>
      </c>
      <c r="N113" s="12">
        <f>IF(SUM(LightbringerAbilities2Scenario5[[#This Row],[takes]]) &gt; 0,LightbringerAbilities2Scenario5[[#This Row],[takes]]/SUM(LightbringerAbilities2Scenario5[takes]),0)</f>
        <v>0.40594059405940597</v>
      </c>
      <c r="O113" s="12">
        <f>IF(LightbringerAbilities2Scenario5[[#This Row],[takes]]&gt;0,LightbringerAbilities2Scenario5[[#This Row],[wins]]/LightbringerAbilities2Scenario5[[#This Row],[takes]],0)</f>
        <v>0.6097560975609756</v>
      </c>
      <c r="S113" s="18"/>
    </row>
    <row r="114" spans="11:19" x14ac:dyDescent="0.25">
      <c r="K114" t="s">
        <v>146</v>
      </c>
      <c r="L114" s="2">
        <f>COUNTIF(Scenario5[winner1-ability2],LightbringerAbilities2Scenario5[[#This Row],[ability]])+COUNTIF(Scenario5[winner2-ability2],LightbringerAbilities2Scenario5[[#This Row],[ability]])+COUNTIF(Scenario5[loser1-ability2],LightbringerAbilities2Scenario5[[#This Row],[ability]])+COUNTIF(Scenario5[loser2-ability2],LightbringerAbilities2Scenario5[[#This Row],[ability]])</f>
        <v>59</v>
      </c>
      <c r="M114" s="2">
        <f>COUNTIF(Scenario5[winner1-ability2],LightbringerAbilities2Scenario5[[#This Row],[ability]])+COUNTIF(Scenario5[winner2-ability2],LightbringerAbilities2Scenario5[[#This Row],[ability]])</f>
        <v>30</v>
      </c>
      <c r="N114" s="3">
        <f>IF(SUM(LightbringerAbilities2Scenario5[[#This Row],[takes]]) &gt; 0,LightbringerAbilities2Scenario5[[#This Row],[takes]]/SUM(LightbringerAbilities2Scenario5[takes]),0)</f>
        <v>0.58415841584158412</v>
      </c>
      <c r="O114" s="3">
        <f>IF(LightbringerAbilities2Scenario5[[#This Row],[takes]]&gt;0,LightbringerAbilities2Scenario5[[#This Row],[wins]]/LightbringerAbilities2Scenario5[[#This Row],[takes]],0)</f>
        <v>0.50847457627118642</v>
      </c>
      <c r="S114" s="18"/>
    </row>
    <row r="115" spans="11:19" x14ac:dyDescent="0.25">
      <c r="K115" s="10" t="s">
        <v>91</v>
      </c>
      <c r="L115" s="2">
        <f>COUNTIF(Scenario5[winner1-ability2],LightbringerAbilities2Scenario5[[#This Row],[ability]])+COUNTIF(Scenario5[winner2-ability2],LightbringerAbilities2Scenario5[[#This Row],[ability]])+COUNTIF(Scenario5[loser1-ability2],LightbringerAbilities2Scenario5[[#This Row],[ability]])+COUNTIF(Scenario5[loser2-ability2],LightbringerAbilities2Scenario5[[#This Row],[ability]])</f>
        <v>1</v>
      </c>
      <c r="M115" s="2">
        <f>COUNTIF(Scenario5[winner1-ability2],LightbringerAbilities2Scenario5[[#This Row],[ability]])+COUNTIF(Scenario5[winner2-ability2],LightbringerAbilities2Scenario5[[#This Row],[ability]])</f>
        <v>0</v>
      </c>
      <c r="N115" s="13">
        <f>IF(SUM(LightbringerAbilities2Scenario5[[#This Row],[takes]]) &gt; 0,LightbringerAbilities2Scenario5[[#This Row],[takes]]/SUM(LightbringerAbilities2Scenario5[takes]),0)</f>
        <v>9.9009900990099011E-3</v>
      </c>
      <c r="O115" s="13">
        <f>IF(LightbringerAbilities2Scenario5[[#This Row],[takes]]&gt;0,LightbringerAbilities2Scenario5[[#This Row],[wins]]/LightbringerAbilities2Scenario5[[#This Row],[takes]],0)</f>
        <v>0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1" t="s">
        <v>104</v>
      </c>
      <c r="L118" s="1">
        <f>COUNTIF(Scenario5[winner1-ability3],LightbringerAbilities3Scenario5[[#This Row],[ability]])+COUNTIF(Scenario5[winner2-ability3],LightbringerAbilities3Scenario5[[#This Row],[ability]])+COUNTIF(Scenario5[loser1-ability3],LightbringerAbilities3Scenario5[[#This Row],[ability]])+COUNTIF(Scenario5[loser2-ability3],LightbringerAbilities3Scenario5[[#This Row],[ability]])</f>
        <v>36</v>
      </c>
      <c r="M118" s="1">
        <f>COUNTIF(Scenario5[winner1-ability3],LightbringerAbilities3Scenario5[[#This Row],[ability]])+COUNTIF(Scenario5[winner2-ability3],LightbringerAbilities3Scenario5[[#This Row],[ability]])</f>
        <v>21</v>
      </c>
      <c r="N118" s="14">
        <f>IF(SUM(LightbringerAbilities3Scenario5[[#This Row],[takes]]) &gt; 0,LightbringerAbilities3Scenario5[[#This Row],[takes]]/SUM(LightbringerAbilities3Scenario5[takes]),0)</f>
        <v>0.4044943820224719</v>
      </c>
      <c r="O118" s="14">
        <f>IF(LightbringerAbilities3Scenario5[[#This Row],[takes]]&gt;0,LightbringerAbilities3Scenario5[[#This Row],[wins]]/LightbringerAbilities3Scenario5[[#This Row],[takes]],0)</f>
        <v>0.58333333333333337</v>
      </c>
      <c r="S118" s="18"/>
    </row>
    <row r="119" spans="11:19" x14ac:dyDescent="0.25">
      <c r="K119" s="2" t="s">
        <v>147</v>
      </c>
      <c r="L119" s="2">
        <f>COUNTIF(Scenario5[winner1-ability3],LightbringerAbilities3Scenario5[[#This Row],[ability]])+COUNTIF(Scenario5[winner2-ability3],LightbringerAbilities3Scenario5[[#This Row],[ability]])+COUNTIF(Scenario5[loser1-ability3],LightbringerAbilities3Scenario5[[#This Row],[ability]])+COUNTIF(Scenario5[loser2-ability3],LightbringerAbilities3Scenario5[[#This Row],[ability]])</f>
        <v>37</v>
      </c>
      <c r="M119" s="2">
        <f>COUNTIF(Scenario5[winner1-ability3],LightbringerAbilities3Scenario5[[#This Row],[ability]])+COUNTIF(Scenario5[winner2-ability3],LightbringerAbilities3Scenario5[[#This Row],[ability]])</f>
        <v>17</v>
      </c>
      <c r="N119" s="12">
        <f>IF(SUM(LightbringerAbilities3Scenario5[[#This Row],[takes]]) &gt; 0,LightbringerAbilities3Scenario5[[#This Row],[takes]]/SUM(LightbringerAbilities3Scenario5[takes]),0)</f>
        <v>0.4157303370786517</v>
      </c>
      <c r="O119" s="12">
        <f>IF(LightbringerAbilities3Scenario5[[#This Row],[takes]]&gt;0,LightbringerAbilities3Scenario5[[#This Row],[wins]]/LightbringerAbilities3Scenario5[[#This Row],[takes]],0)</f>
        <v>0.45945945945945948</v>
      </c>
      <c r="S119" s="18"/>
    </row>
    <row r="120" spans="11:19" x14ac:dyDescent="0.25">
      <c r="K120" s="11" t="s">
        <v>148</v>
      </c>
      <c r="L120" s="1">
        <f>COUNTIF(Scenario5[winner1-ability3],LightbringerAbilities3Scenario5[[#This Row],[ability]])+COUNTIF(Scenario5[winner2-ability3],LightbringerAbilities3Scenario5[[#This Row],[ability]])+COUNTIF(Scenario5[loser1-ability3],LightbringerAbilities3Scenario5[[#This Row],[ability]])+COUNTIF(Scenario5[loser2-ability3],LightbringerAbilities3Scenario5[[#This Row],[ability]])</f>
        <v>16</v>
      </c>
      <c r="M120" s="1">
        <f>COUNTIF(Scenario5[winner1-ability3],LightbringerAbilities3Scenario5[[#This Row],[ability]])+COUNTIF(Scenario5[winner2-ability3],LightbringerAbilities3Scenario5[[#This Row],[ability]])</f>
        <v>15</v>
      </c>
      <c r="N120" s="15">
        <f>IF(SUM(LightbringerAbilities3Scenario5[[#This Row],[takes]]) &gt; 0,LightbringerAbilities3Scenario5[[#This Row],[takes]]/SUM(LightbringerAbilities3Scenario5[takes]),0)</f>
        <v>0.1797752808988764</v>
      </c>
      <c r="O120" s="15">
        <f>IF(LightbringerAbilities3Scenario5[[#This Row],[takes]]&gt;0,LightbringerAbilities3Scenario5[[#This Row],[wins]]/LightbringerAbilities3Scenario5[[#This Row],[takes]],0)</f>
        <v>0.9375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" t="s">
        <v>149</v>
      </c>
      <c r="L123" s="2">
        <f>COUNTIF(Scenario5[winner1-ability4],LightbringerAbilities4Scenario5[[#This Row],[ability]])+COUNTIF(Scenario5[winner2-ability4],LightbringerAbilities4Scenario5[[#This Row],[ability]])+COUNTIF(Scenario5[loser1-ability4],LightbringerAbilities4Scenario5[[#This Row],[ability]])+COUNTIF(Scenario5[loser2-ability4],LightbringerAbilities4Scenario5[[#This Row],[ability]])</f>
        <v>24</v>
      </c>
      <c r="M123" s="2">
        <f>COUNTIF(Scenario5[winner1-ability4],LightbringerAbilities4Scenario5[[#This Row],[ability]])+COUNTIF(Scenario5[winner2-ability4],LightbringerAbilities4Scenario5[[#This Row],[ability]])</f>
        <v>19</v>
      </c>
      <c r="N123" s="12">
        <f>IF(SUM(LightbringerAbilities4Scenario5[[#This Row],[takes]]) &gt; 0,LightbringerAbilities4Scenario5[[#This Row],[takes]]/SUM(LightbringerAbilities4Scenario5[takes]),0)</f>
        <v>0.42105263157894735</v>
      </c>
      <c r="O123" s="12">
        <f>IF(LightbringerAbilities4Scenario5[[#This Row],[takes]]&gt;0,LightbringerAbilities4Scenario5[[#This Row],[wins]]/LightbringerAbilities4Scenario5[[#This Row],[takes]],0)</f>
        <v>0.79166666666666663</v>
      </c>
      <c r="S123" s="18"/>
    </row>
    <row r="124" spans="11:19" x14ac:dyDescent="0.25">
      <c r="K124" s="2" t="s">
        <v>150</v>
      </c>
      <c r="L124" s="2">
        <f>COUNTIF(Scenario5[winner1-ability4],LightbringerAbilities4Scenario5[[#This Row],[ability]])+COUNTIF(Scenario5[winner2-ability4],LightbringerAbilities4Scenario5[[#This Row],[ability]])+COUNTIF(Scenario5[loser1-ability4],LightbringerAbilities4Scenario5[[#This Row],[ability]])+COUNTIF(Scenario5[loser2-ability4],LightbringerAbilities4Scenario5[[#This Row],[ability]])</f>
        <v>13</v>
      </c>
      <c r="M124" s="2">
        <f>COUNTIF(Scenario5[winner1-ability4],LightbringerAbilities4Scenario5[[#This Row],[ability]])+COUNTIF(Scenario5[winner2-ability4],LightbringerAbilities4Scenario5[[#This Row],[ability]])</f>
        <v>7</v>
      </c>
      <c r="N124" s="12">
        <f>IF(SUM(LightbringerAbilities4Scenario5[[#This Row],[takes]]) &gt; 0,LightbringerAbilities4Scenario5[[#This Row],[takes]]/SUM(LightbringerAbilities4Scenario5[takes]),0)</f>
        <v>0.22807017543859648</v>
      </c>
      <c r="O124" s="12">
        <f>IF(LightbringerAbilities4Scenario5[[#This Row],[takes]]&gt;0,LightbringerAbilities4Scenario5[[#This Row],[wins]]/LightbringerAbilities4Scenario5[[#This Row],[takes]],0)</f>
        <v>0.53846153846153844</v>
      </c>
      <c r="S124" s="18"/>
    </row>
    <row r="125" spans="11:19" ht="15.75" thickBot="1" x14ac:dyDescent="0.3">
      <c r="K125" s="10" t="s">
        <v>151</v>
      </c>
      <c r="L125" s="2">
        <f>COUNTIF(Scenario5[winner1-ability4],LightbringerAbilities4Scenario5[[#This Row],[ability]])+COUNTIF(Scenario5[winner2-ability4],LightbringerAbilities4Scenario5[[#This Row],[ability]])+COUNTIF(Scenario5[loser1-ability4],LightbringerAbilities4Scenario5[[#This Row],[ability]])+COUNTIF(Scenario5[loser2-ability4],LightbringerAbilities4Scenario5[[#This Row],[ability]])</f>
        <v>20</v>
      </c>
      <c r="M125" s="2">
        <f>COUNTIF(Scenario5[winner1-ability4],LightbringerAbilities4Scenario5[[#This Row],[ability]])+COUNTIF(Scenario5[winner2-ability4],LightbringerAbilities4Scenario5[[#This Row],[ability]])</f>
        <v>11</v>
      </c>
      <c r="N125" s="26">
        <f>IF(SUM(LightbringerAbilities4Scenario5[[#This Row],[takes]]) &gt; 0,LightbringerAbilities4Scenario5[[#This Row],[takes]]/SUM(LightbringerAbilities4Scenario5[takes]),0)</f>
        <v>0.35087719298245612</v>
      </c>
      <c r="O125" s="26">
        <f>IF(LightbringerAbilities4Scenario5[[#This Row],[takes]]&gt;0,LightbringerAbilities4Scenario5[[#This Row],[wins]]/LightbringerAbilities4Scenario5[[#This Row],[takes]],0)</f>
        <v>0.55000000000000004</v>
      </c>
      <c r="P125" s="27"/>
      <c r="Q125" s="27"/>
      <c r="R125" s="27"/>
      <c r="S125" s="28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EAD1-3419-4B7C-8101-EA847349261B}">
  <dimension ref="A1:X125"/>
  <sheetViews>
    <sheetView workbookViewId="0">
      <selection activeCell="G29" sqref="G29"/>
    </sheetView>
  </sheetViews>
  <sheetFormatPr defaultRowHeight="15" x14ac:dyDescent="0.25"/>
  <cols>
    <col min="1" max="1" width="17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8.140625" bestFit="1" customWidth="1"/>
    <col min="9" max="9" width="8.28515625" bestFit="1" customWidth="1"/>
    <col min="10" max="10" width="12.85546875" bestFit="1" customWidth="1"/>
    <col min="11" max="11" width="3.85546875" customWidth="1"/>
    <col min="12" max="12" width="17.85546875" bestFit="1" customWidth="1"/>
    <col min="13" max="13" width="8" bestFit="1" customWidth="1"/>
    <col min="14" max="14" width="7.42578125" bestFit="1" customWidth="1"/>
    <col min="15" max="15" width="18.42578125" bestFit="1" customWidth="1"/>
    <col min="16" max="16" width="15.5703125" bestFit="1" customWidth="1"/>
    <col min="17" max="17" width="4" customWidth="1"/>
    <col min="18" max="18" width="7.7109375" bestFit="1" customWidth="1"/>
    <col min="19" max="19" width="8.140625" bestFit="1" customWidth="1"/>
    <col min="20" max="20" width="8.28515625" bestFit="1" customWidth="1"/>
    <col min="21" max="21" width="12.85546875" bestFit="1" customWidth="1"/>
    <col min="23" max="23" width="16.85546875" bestFit="1" customWidth="1"/>
    <col min="24" max="24" width="7.140625" bestFit="1" customWidth="1"/>
  </cols>
  <sheetData>
    <row r="1" spans="1:24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8"/>
      <c r="J1" s="39"/>
      <c r="L1" s="37" t="s">
        <v>182</v>
      </c>
      <c r="M1" s="38"/>
      <c r="N1" s="38"/>
      <c r="O1" s="38"/>
      <c r="P1" s="38"/>
      <c r="Q1" s="38"/>
      <c r="R1" s="38"/>
      <c r="S1" s="38"/>
      <c r="T1" s="38"/>
      <c r="U1" s="39"/>
      <c r="W1" t="s">
        <v>174</v>
      </c>
      <c r="X1" s="3" t="s">
        <v>175</v>
      </c>
    </row>
    <row r="2" spans="1:24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171</v>
      </c>
      <c r="I2" t="s">
        <v>172</v>
      </c>
      <c r="J2" s="18" t="s">
        <v>164</v>
      </c>
      <c r="L2" s="17" t="s">
        <v>109</v>
      </c>
      <c r="M2" t="s">
        <v>110</v>
      </c>
      <c r="N2" t="s">
        <v>79</v>
      </c>
      <c r="O2" s="3" t="s">
        <v>117</v>
      </c>
      <c r="P2" s="3" t="s">
        <v>118</v>
      </c>
      <c r="R2" t="s">
        <v>161</v>
      </c>
      <c r="S2" t="s">
        <v>171</v>
      </c>
      <c r="T2" t="s">
        <v>172</v>
      </c>
      <c r="U2" s="18" t="s">
        <v>164</v>
      </c>
      <c r="W2" t="s">
        <v>205</v>
      </c>
      <c r="X2" s="3">
        <f>H4/SUM(AvengerEquip[sabre])</f>
        <v>0.14025974025974025</v>
      </c>
    </row>
    <row r="3" spans="1:24" x14ac:dyDescent="0.25">
      <c r="A3" t="s">
        <v>67</v>
      </c>
      <c r="B3">
        <f>M3+M24+M45+M66+M87+M108</f>
        <v>128</v>
      </c>
      <c r="C3">
        <f>N3+N24+N45+N66+N87+N108</f>
        <v>75</v>
      </c>
      <c r="D3" s="3">
        <f>IF(SUM(AvengerAbilities1[[#This Row],[takes]]) &gt; 0,AvengerAbilities1[[#This Row],[takes]]/SUM(AvengerAbilities1[takes]),0)</f>
        <v>0.33246753246753247</v>
      </c>
      <c r="E3" s="3">
        <f>IF(AvengerAbilities1[[#This Row],[takes]]&gt;0,AvengerAbilities1[[#This Row],[wins]]/AvengerAbilities1[[#This Row],[takes]],0)</f>
        <v>0.5859375</v>
      </c>
      <c r="G3">
        <v>1</v>
      </c>
      <c r="H3">
        <f>S3+S24+S45+S66+S87+S108</f>
        <v>205</v>
      </c>
      <c r="I3">
        <f>T3+T24+T45+T66+T87+T108</f>
        <v>283</v>
      </c>
      <c r="J3" s="18">
        <f>U3+U24+U45+U66+U87+U108</f>
        <v>128</v>
      </c>
      <c r="L3" t="s">
        <v>67</v>
      </c>
      <c r="M3">
        <f>COUNTIF(Scenario0[winner1-ability1],AvengerAbilities1Scenario0[[#This Row],[ability]])+COUNTIF(Scenario0[winner2-ability1],AvengerAbilities1Scenario0[[#This Row],[ability]])+COUNTIF(Scenario0[loser1-ability1],AvengerAbilities1Scenario0[[#This Row],[ability]])+COUNTIF(Scenario0[loser2-ability1],AvengerAbilities1Scenario0[[#This Row],[ability]])</f>
        <v>48</v>
      </c>
      <c r="N3">
        <f>COUNTIF(Scenario0[winner1-ability1],AvengerAbilities1Scenario0[[#This Row],[ability]])+COUNTIF(Scenario0[winner2-ability1],AvengerAbilities1Scenario0[[#This Row],[ability]])</f>
        <v>27</v>
      </c>
      <c r="O3" s="3">
        <f>IF(SUM(AvengerAbilities1Scenario0[[#This Row],[takes]]) &gt; 0,AvengerAbilities1Scenario0[[#This Row],[takes]]/SUM(AvengerAbilities1Scenario0[takes]),0)</f>
        <v>0.45714285714285713</v>
      </c>
      <c r="P3" s="3">
        <f>IF(AvengerAbilities1Scenario0[[#This Row],[takes]]&gt;0,AvengerAbilities1Scenario0[[#This Row],[wins]]/AvengerAbilities1Scenario0[[#This Row],[takes]],0)</f>
        <v>0.5625</v>
      </c>
      <c r="R3">
        <v>1</v>
      </c>
      <c r="S3">
        <f>COUNTIFS(Scenario0[winner1],"avenger",Scenario0[winner1-pw],AvengerEquipScenario0[[#This Row],[level]])+COUNTIFS(Scenario0[winner2],"avenger",Scenario0[winner2-pw],AvengerEquipScenario0[[#This Row],[level]])+COUNTIFS(Scenario0[loser1],"avenger",Scenario0[loser1-pw],AvengerEquipScenario0[[#This Row],[level]])+COUNTIFS(Scenario0[loser2],"avenger",Scenario0[loser2-pw],AvengerEquipScenario0[[#This Row],[level]])</f>
        <v>83</v>
      </c>
      <c r="T3">
        <f>COUNTIFS(Scenario0[winner1],"avenger",Scenario0[winner1-sw],AvengerEquipScenario0[[#This Row],[level]])+COUNTIFS(Scenario0[winner2],"avenger",Scenario0[winner2-sw],AvengerEquipScenario0[[#This Row],[level]])+COUNTIFS(Scenario0[loser1],"avenger",Scenario0[loser1-sw],AvengerEquipScenario0[[#This Row],[level]])+COUNTIFS(Scenario0[loser2],"avenger",Scenario0[loser2-sw],AvengerEquipScenario0[[#This Row],[level]])</f>
        <v>94</v>
      </c>
      <c r="U3" s="18">
        <f>COUNTIFS(Scenario0[winner1],"avenger",Scenario0[winner1-cp],AvengerEquipScenario0[[#This Row],[level]])+COUNTIFS(Scenario0[winner2],"avenger",Scenario0[winner2-cp],AvengerEquipScenario0[[#This Row],[level]])+COUNTIFS(Scenario0[loser1],"avenger",Scenario0[loser1-cp],AvengerEquipScenario0[[#This Row],[level]])+COUNTIFS(Scenario0[loser2],"avenger",Scenario0[loser2-cp],AvengerEquipScenario0[[#This Row],[level]])</f>
        <v>57</v>
      </c>
      <c r="W3" t="s">
        <v>206</v>
      </c>
      <c r="X3" s="16">
        <f>H5/SUM(AvengerEquip[sabre])</f>
        <v>0.32727272727272727</v>
      </c>
    </row>
    <row r="4" spans="1:24" x14ac:dyDescent="0.25">
      <c r="A4" t="s">
        <v>152</v>
      </c>
      <c r="B4">
        <f t="shared" ref="B4:B5" si="0">M4+M25+M46+M67+M88+M109</f>
        <v>121</v>
      </c>
      <c r="C4">
        <f t="shared" ref="C4:C5" si="1">N4+N25+N46+N67+N88+N109</f>
        <v>61</v>
      </c>
      <c r="D4" s="3">
        <f>IF(SUM(AvengerAbilities1[[#This Row],[takes]]) &gt; 0,AvengerAbilities1[[#This Row],[takes]]/SUM(AvengerAbilities1[takes]),0)</f>
        <v>0.31428571428571428</v>
      </c>
      <c r="E4" s="3">
        <f>IF(AvengerAbilities1[[#This Row],[takes]]&gt;0,AvengerAbilities1[[#This Row],[wins]]/AvengerAbilities1[[#This Row],[takes]],0)</f>
        <v>0.50413223140495866</v>
      </c>
      <c r="G4">
        <v>2</v>
      </c>
      <c r="H4">
        <f t="shared" ref="H4:H5" si="2">S4+S25+S46+S67+S88+S109</f>
        <v>54</v>
      </c>
      <c r="I4">
        <f t="shared" ref="I4:I5" si="3">T4+T25+T46+T67+T88+T109</f>
        <v>53</v>
      </c>
      <c r="J4" s="18">
        <f t="shared" ref="J4:J5" si="4">U4+U25+U46+U67+U88+U109</f>
        <v>185</v>
      </c>
      <c r="L4" t="s">
        <v>152</v>
      </c>
      <c r="M4">
        <f>COUNTIF(Scenario0[winner1-ability1],AvengerAbilities1Scenario0[[#This Row],[ability]])+COUNTIF(Scenario0[winner2-ability1],AvengerAbilities1Scenario0[[#This Row],[ability]])+COUNTIF(Scenario0[loser1-ability1],AvengerAbilities1Scenario0[[#This Row],[ability]])+COUNTIF(Scenario0[loser2-ability1],AvengerAbilities1Scenario0[[#This Row],[ability]])</f>
        <v>56</v>
      </c>
      <c r="N4">
        <f>COUNTIF(Scenario0[winner1-ability1],AvengerAbilities1Scenario0[[#This Row],[ability]])+COUNTIF(Scenario0[winner2-ability1],AvengerAbilities1Scenario0[[#This Row],[ability]])</f>
        <v>33</v>
      </c>
      <c r="O4" s="3">
        <f>IF(SUM(AvengerAbilities1Scenario0[[#This Row],[takes]]) &gt; 0,AvengerAbilities1Scenario0[[#This Row],[takes]]/SUM(AvengerAbilities1Scenario0[takes]),0)</f>
        <v>0.53333333333333333</v>
      </c>
      <c r="P4" s="3">
        <f>IF(AvengerAbilities1Scenario0[[#This Row],[takes]]&gt;0,AvengerAbilities1Scenario0[[#This Row],[wins]]/AvengerAbilities1Scenario0[[#This Row],[takes]],0)</f>
        <v>0.5892857142857143</v>
      </c>
      <c r="R4">
        <v>2</v>
      </c>
      <c r="S4">
        <f>COUNTIFS(Scenario0[winner1],"avenger",Scenario0[winner1-pw],AvengerEquipScenario0[[#This Row],[level]])+COUNTIFS(Scenario0[winner2],"avenger",Scenario0[winner2-pw],AvengerEquipScenario0[[#This Row],[level]])+COUNTIFS(Scenario0[loser1],"avenger",Scenario0[loser1-pw],AvengerEquipScenario0[[#This Row],[level]])+COUNTIFS(Scenario0[loser2],"avenger",Scenario0[loser2-pw],AvengerEquipScenario0[[#This Row],[level]])</f>
        <v>11</v>
      </c>
      <c r="T4">
        <f>COUNTIFS(Scenario0[winner1],"avenger",Scenario0[winner1-sw],AvengerEquipScenario0[[#This Row],[level]])+COUNTIFS(Scenario0[winner2],"avenger",Scenario0[winner2-sw],AvengerEquipScenario0[[#This Row],[level]])+COUNTIFS(Scenario0[loser1],"avenger",Scenario0[loser1-sw],AvengerEquipScenario0[[#This Row],[level]])+COUNTIFS(Scenario0[loser2],"avenger",Scenario0[loser2-sw],AvengerEquipScenario0[[#This Row],[level]])</f>
        <v>9</v>
      </c>
      <c r="U4" s="18">
        <f>COUNTIFS(Scenario0[winner1],"avenger",Scenario0[winner1-cp],AvengerEquipScenario0[[#This Row],[level]])+COUNTIFS(Scenario0[winner2],"avenger",Scenario0[winner2-cp],AvengerEquipScenario0[[#This Row],[level]])+COUNTIFS(Scenario0[loser1],"avenger",Scenario0[loser1-cp],AvengerEquipScenario0[[#This Row],[level]])+COUNTIFS(Scenario0[loser2],"avenger",Scenario0[loser2-cp],AvengerEquipScenario0[[#This Row],[level]])</f>
        <v>43</v>
      </c>
      <c r="W4" t="s">
        <v>207</v>
      </c>
      <c r="X4" s="3">
        <f>AvengerEquip[[#This Row],[blade]]/SUM(AvengerEquip[blade])</f>
        <v>0.13766233766233765</v>
      </c>
    </row>
    <row r="5" spans="1:24" x14ac:dyDescent="0.25">
      <c r="A5" t="s">
        <v>39</v>
      </c>
      <c r="B5">
        <f t="shared" si="0"/>
        <v>136</v>
      </c>
      <c r="C5">
        <f t="shared" si="1"/>
        <v>55</v>
      </c>
      <c r="D5" s="3">
        <f>IF(SUM(AvengerAbilities1[[#This Row],[takes]]) &gt; 0,AvengerAbilities1[[#This Row],[takes]]/SUM(AvengerAbilities1[takes]),0)</f>
        <v>0.35324675324675325</v>
      </c>
      <c r="E5" s="3">
        <f>IF(AvengerAbilities1[[#This Row],[takes]]&gt;0,AvengerAbilities1[[#This Row],[wins]]/AvengerAbilities1[[#This Row],[takes]],0)</f>
        <v>0.40441176470588236</v>
      </c>
      <c r="G5">
        <v>3</v>
      </c>
      <c r="H5">
        <f t="shared" si="2"/>
        <v>126</v>
      </c>
      <c r="I5">
        <f t="shared" si="3"/>
        <v>49</v>
      </c>
      <c r="J5" s="18">
        <f t="shared" si="4"/>
        <v>72</v>
      </c>
      <c r="L5" t="s">
        <v>39</v>
      </c>
      <c r="M5">
        <f>COUNTIF(Scenario0[winner1-ability1],AvengerAbilities1Scenario0[[#This Row],[ability]])+COUNTIF(Scenario0[winner2-ability1],AvengerAbilities1Scenario0[[#This Row],[ability]])+COUNTIF(Scenario0[loser1-ability1],AvengerAbilities1Scenario0[[#This Row],[ability]])+COUNTIF(Scenario0[loser2-ability1],AvengerAbilities1Scenario0[[#This Row],[ability]])</f>
        <v>1</v>
      </c>
      <c r="N5">
        <f>COUNTIF(Scenario0[winner1-ability1],AvengerAbilities1Scenario0[[#This Row],[ability]])+COUNTIF(Scenario0[winner2-ability1],AvengerAbilities1Scenario0[[#This Row],[ability]])</f>
        <v>0</v>
      </c>
      <c r="O5" s="3">
        <f>IF(SUM(AvengerAbilities1Scenario0[[#This Row],[takes]]) &gt; 0,AvengerAbilities1Scenario0[[#This Row],[takes]]/SUM(AvengerAbilities1Scenario0[takes]),0)</f>
        <v>9.5238095238095247E-3</v>
      </c>
      <c r="P5" s="3">
        <f>IF(AvengerAbilities1Scenario0[[#This Row],[takes]]&gt;0,AvengerAbilities1Scenario0[[#This Row],[wins]]/AvengerAbilities1Scenario0[[#This Row],[takes]],0)</f>
        <v>0</v>
      </c>
      <c r="R5">
        <v>3</v>
      </c>
      <c r="S5">
        <f>COUNTIFS(Scenario0[winner1],"avenger",Scenario0[winner1-pw],AvengerEquipScenario0[[#This Row],[level]])+COUNTIFS(Scenario0[winner2],"avenger",Scenario0[winner2-pw],AvengerEquipScenario0[[#This Row],[level]])+COUNTIFS(Scenario0[loser1],"avenger",Scenario0[loser1-pw],AvengerEquipScenario0[[#This Row],[level]])+COUNTIFS(Scenario0[loser2],"avenger",Scenario0[loser2-pw],AvengerEquipScenario0[[#This Row],[level]])</f>
        <v>11</v>
      </c>
      <c r="T5">
        <f>COUNTIFS(Scenario0[winner1],"avenger",Scenario0[winner1-sw],AvengerEquipScenario0[[#This Row],[level]])+COUNTIFS(Scenario0[winner2],"avenger",Scenario0[winner2-sw],AvengerEquipScenario0[[#This Row],[level]])+COUNTIFS(Scenario0[loser1],"avenger",Scenario0[loser1-sw],AvengerEquipScenario0[[#This Row],[level]])+COUNTIFS(Scenario0[loser2],"avenger",Scenario0[loser2-sw],AvengerEquipScenario0[[#This Row],[level]])</f>
        <v>2</v>
      </c>
      <c r="U5" s="18">
        <f>COUNTIFS(Scenario0[winner1],"avenger",Scenario0[winner1-cp],AvengerEquipScenario0[[#This Row],[level]])+COUNTIFS(Scenario0[winner2],"avenger",Scenario0[winner2-cp],AvengerEquipScenario0[[#This Row],[level]])+COUNTIFS(Scenario0[loser1],"avenger",Scenario0[loser1-cp],AvengerEquipScenario0[[#This Row],[level]])+COUNTIFS(Scenario0[loser2],"avenger",Scenario0[loser2-cp],AvengerEquipScenario0[[#This Row],[level]])</f>
        <v>5</v>
      </c>
      <c r="W5" t="s">
        <v>208</v>
      </c>
      <c r="X5" s="16">
        <f>AvengerEquip[[#This Row],[blade]]/SUM(AvengerEquip[blade])</f>
        <v>0.12727272727272726</v>
      </c>
    </row>
    <row r="6" spans="1:24" x14ac:dyDescent="0.25">
      <c r="A6" s="17"/>
      <c r="J6" s="18"/>
      <c r="L6" s="17"/>
      <c r="O6" s="3"/>
      <c r="P6" s="3"/>
      <c r="U6" s="18"/>
      <c r="W6" t="s">
        <v>179</v>
      </c>
      <c r="X6" s="3">
        <f>J4/SUM(AvengerEquip[chestpiece])</f>
        <v>0.48051948051948051</v>
      </c>
    </row>
    <row r="7" spans="1:24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J7" s="18"/>
      <c r="L7" s="19" t="s">
        <v>109</v>
      </c>
      <c r="M7" s="8" t="s">
        <v>110</v>
      </c>
      <c r="N7" s="8" t="s">
        <v>79</v>
      </c>
      <c r="O7" s="9" t="s">
        <v>117</v>
      </c>
      <c r="P7" s="9" t="s">
        <v>118</v>
      </c>
      <c r="U7" s="18"/>
      <c r="W7" t="s">
        <v>180</v>
      </c>
      <c r="X7" s="16">
        <f>J5/SUM(AvengerEquip[chestpiece])</f>
        <v>0.18701298701298702</v>
      </c>
    </row>
    <row r="8" spans="1:24" x14ac:dyDescent="0.25">
      <c r="A8" s="2" t="s">
        <v>40</v>
      </c>
      <c r="B8" s="2">
        <f>M8+M29+M50+M71+M92+M113</f>
        <v>109</v>
      </c>
      <c r="C8" s="2">
        <f>N8+N29+N50+N71+N92+N113</f>
        <v>51</v>
      </c>
      <c r="D8" s="12">
        <f>IF(SUM(AvengerAbilities2[[#This Row],[takes]]) &gt; 0,AvengerAbilities2[[#This Row],[takes]]/SUM(AvengerAbilities2[takes]),0)</f>
        <v>0.47186147186147187</v>
      </c>
      <c r="E8" s="12">
        <f>IF(AvengerAbilities2[[#This Row],[takes]]&gt;0,AvengerAbilities2[[#This Row],[wins]]/AvengerAbilities2[[#This Row],[takes]],0)</f>
        <v>0.46788990825688076</v>
      </c>
      <c r="J8" s="18"/>
      <c r="L8" s="2" t="s">
        <v>40</v>
      </c>
      <c r="M8" s="2">
        <f>COUNTIF(Scenario0[winner1-ability2],AvengerAbilities2Scenario0[[#This Row],[ability]])+COUNTIF(Scenario0[winner2-ability2],AvengerAbilities2Scenario0[[#This Row],[ability]])+COUNTIF(Scenario0[loser1-ability2],AvengerAbilities2Scenario0[[#This Row],[ability]])+COUNTIF(Scenario0[loser2-ability2],AvengerAbilities2Scenario0[[#This Row],[ability]])</f>
        <v>6</v>
      </c>
      <c r="N8" s="2">
        <f>COUNTIF(Scenario0[winner1-ability2],AvengerAbilities2Scenario0[[#This Row],[ability]])+COUNTIF(Scenario0[winner2-ability2],AvengerAbilities2Scenario0[[#This Row],[ability]])</f>
        <v>4</v>
      </c>
      <c r="O8" s="12">
        <f>IF(SUM(AvengerAbilities2Scenario0[[#This Row],[takes]]) &gt; 0,AvengerAbilities2Scenario0[[#This Row],[takes]]/SUM(AvengerAbilities2Scenario0[takes]),0)</f>
        <v>0.16216216216216217</v>
      </c>
      <c r="P8" s="12">
        <f>IF(AvengerAbilities2Scenario0[[#This Row],[takes]]&gt;0,AvengerAbilities2Scenario0[[#This Row],[wins]]/AvengerAbilities2Scenario0[[#This Row],[takes]],0)</f>
        <v>0.66666666666666663</v>
      </c>
      <c r="U8" s="18"/>
      <c r="W8" t="s">
        <v>176</v>
      </c>
      <c r="X8" s="3">
        <f>SUM(AvengerAbilities2[takes])/SUM(AvengerAbilities1[takes])</f>
        <v>0.6</v>
      </c>
    </row>
    <row r="9" spans="1:24" x14ac:dyDescent="0.25">
      <c r="A9" t="s">
        <v>70</v>
      </c>
      <c r="B9" s="2">
        <f t="shared" ref="B9:B10" si="5">M9+M30+M51+M72+M93+M114</f>
        <v>48</v>
      </c>
      <c r="C9" s="2">
        <f t="shared" ref="C9:C10" si="6">N9+N30+N51+N72+N93+N114</f>
        <v>41</v>
      </c>
      <c r="D9" s="3">
        <f>IF(SUM(AvengerAbilities2[[#This Row],[takes]]) &gt; 0,AvengerAbilities2[[#This Row],[takes]]/SUM(AvengerAbilities2[takes]),0)</f>
        <v>0.20779220779220781</v>
      </c>
      <c r="E9" s="3">
        <f>IF(AvengerAbilities2[[#This Row],[takes]]&gt;0,AvengerAbilities2[[#This Row],[wins]]/AvengerAbilities2[[#This Row],[takes]],0)</f>
        <v>0.85416666666666663</v>
      </c>
      <c r="J9" s="18"/>
      <c r="L9" t="s">
        <v>70</v>
      </c>
      <c r="M9" s="2">
        <f>COUNTIF(Scenario0[winner1-ability2],AvengerAbilities2Scenario0[[#This Row],[ability]])+COUNTIF(Scenario0[winner2-ability2],AvengerAbilities2Scenario0[[#This Row],[ability]])+COUNTIF(Scenario0[loser1-ability2],AvengerAbilities2Scenario0[[#This Row],[ability]])+COUNTIF(Scenario0[loser2-ability2],AvengerAbilities2Scenario0[[#This Row],[ability]])</f>
        <v>28</v>
      </c>
      <c r="N9" s="2">
        <f>COUNTIF(Scenario0[winner1-ability2],AvengerAbilities2Scenario0[[#This Row],[ability]])+COUNTIF(Scenario0[winner2-ability2],AvengerAbilities2Scenario0[[#This Row],[ability]])</f>
        <v>23</v>
      </c>
      <c r="O9" s="3">
        <f>IF(SUM(AvengerAbilities2Scenario0[[#This Row],[takes]]) &gt; 0,AvengerAbilities2Scenario0[[#This Row],[takes]]/SUM(AvengerAbilities2Scenario0[takes]),0)</f>
        <v>0.7567567567567568</v>
      </c>
      <c r="P9" s="3">
        <f>IF(AvengerAbilities2Scenario0[[#This Row],[takes]]&gt;0,AvengerAbilities2Scenario0[[#This Row],[wins]]/AvengerAbilities2Scenario0[[#This Row],[takes]],0)</f>
        <v>0.8214285714285714</v>
      </c>
      <c r="U9" s="18"/>
      <c r="W9" t="s">
        <v>177</v>
      </c>
      <c r="X9" s="3">
        <f>SUM(AvengerAbilities3[takes])/SUM(AvengerAbilities1[takes])</f>
        <v>0.35584415584415585</v>
      </c>
    </row>
    <row r="10" spans="1:24" x14ac:dyDescent="0.25">
      <c r="A10" s="10" t="s">
        <v>96</v>
      </c>
      <c r="B10" s="2">
        <f t="shared" si="5"/>
        <v>74</v>
      </c>
      <c r="C10" s="2">
        <f t="shared" si="6"/>
        <v>36</v>
      </c>
      <c r="D10" s="13">
        <f>IF(SUM(AvengerAbilities2[[#This Row],[takes]]) &gt; 0,AvengerAbilities2[[#This Row],[takes]]/SUM(AvengerAbilities2[takes]),0)</f>
        <v>0.32034632034632032</v>
      </c>
      <c r="E10" s="13">
        <f>IF(AvengerAbilities2[[#This Row],[takes]]&gt;0,AvengerAbilities2[[#This Row],[wins]]/AvengerAbilities2[[#This Row],[takes]],0)</f>
        <v>0.48648648648648651</v>
      </c>
      <c r="J10" s="18"/>
      <c r="L10" s="10" t="s">
        <v>96</v>
      </c>
      <c r="M10" s="2">
        <f>COUNTIF(Scenario0[winner1-ability2],AvengerAbilities2Scenario0[[#This Row],[ability]])+COUNTIF(Scenario0[winner2-ability2],AvengerAbilities2Scenario0[[#This Row],[ability]])+COUNTIF(Scenario0[loser1-ability2],AvengerAbilities2Scenario0[[#This Row],[ability]])+COUNTIF(Scenario0[loser2-ability2],AvengerAbilities2Scenario0[[#This Row],[ability]])</f>
        <v>3</v>
      </c>
      <c r="N10" s="2">
        <f>COUNTIF(Scenario0[winner1-ability2],AvengerAbilities2Scenario0[[#This Row],[ability]])+COUNTIF(Scenario0[winner2-ability2],AvengerAbilities2Scenario0[[#This Row],[ability]])</f>
        <v>1</v>
      </c>
      <c r="O10" s="13">
        <f>IF(SUM(AvengerAbilities2Scenario0[[#This Row],[takes]]) &gt; 0,AvengerAbilities2Scenario0[[#This Row],[takes]]/SUM(AvengerAbilities2Scenario0[takes]),0)</f>
        <v>8.1081081081081086E-2</v>
      </c>
      <c r="P10" s="13">
        <f>IF(AvengerAbilities2Scenario0[[#This Row],[takes]]&gt;0,AvengerAbilities2Scenario0[[#This Row],[wins]]/AvengerAbilities2Scenario0[[#This Row],[takes]],0)</f>
        <v>0.33333333333333331</v>
      </c>
      <c r="U10" s="18"/>
      <c r="W10" t="s">
        <v>178</v>
      </c>
      <c r="X10" s="16">
        <f>SUM(AvengerAbilities4[takes])/SUM(AvengerAbilities1[takes])</f>
        <v>0.23376623376623376</v>
      </c>
    </row>
    <row r="11" spans="1:24" x14ac:dyDescent="0.25">
      <c r="A11" s="17"/>
      <c r="J11" s="18"/>
      <c r="L11" s="17"/>
      <c r="O11" s="3"/>
      <c r="P11" s="3"/>
      <c r="U11" s="18"/>
      <c r="W11" t="s">
        <v>194</v>
      </c>
      <c r="X11" s="33">
        <f>(SUM(AvengerAbilities2[takes])+SUM(AvengerAbilities3[takes])+SUM(AvengerAbilities4[takes])+SUM(H4:H5)+SUM(I4:I5)+SUM(J4:J5))/SUM(AvengerAbilities1[takes])</f>
        <v>2.5896103896103897</v>
      </c>
    </row>
    <row r="12" spans="1:24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J12" s="18"/>
      <c r="L12" s="19" t="s">
        <v>109</v>
      </c>
      <c r="M12" s="8" t="s">
        <v>110</v>
      </c>
      <c r="N12" s="8" t="s">
        <v>79</v>
      </c>
      <c r="O12" s="9" t="s">
        <v>117</v>
      </c>
      <c r="P12" s="9" t="s">
        <v>118</v>
      </c>
      <c r="U12" s="18"/>
    </row>
    <row r="13" spans="1:24" x14ac:dyDescent="0.25">
      <c r="A13" s="1" t="s">
        <v>41</v>
      </c>
      <c r="B13" s="1">
        <f>M13+M34+M55+M76+M97+M118</f>
        <v>73</v>
      </c>
      <c r="C13" s="1">
        <f>N13+N34+N55+N76+N97+N118</f>
        <v>32</v>
      </c>
      <c r="D13" s="14">
        <f>IF(SUM(AvengerAbilities3[[#This Row],[takes]]) &gt; 0,AvengerAbilities3[[#This Row],[takes]]/SUM(AvengerAbilities3[takes]),0)</f>
        <v>0.53284671532846717</v>
      </c>
      <c r="E13" s="14">
        <f>IF(AvengerAbilities3[[#This Row],[takes]]&gt;0,AvengerAbilities3[[#This Row],[wins]]/AvengerAbilities3[[#This Row],[takes]],0)</f>
        <v>0.43835616438356162</v>
      </c>
      <c r="J13" s="18"/>
      <c r="L13" s="1" t="s">
        <v>41</v>
      </c>
      <c r="M13" s="1">
        <f>COUNTIF(Scenario0[winner1-ability3],AvengerAbilities3Scenario0[[#This Row],[ability]])+COUNTIF(Scenario0[winner2-ability3],AvengerAbilities3Scenario0[[#This Row],[ability]])+COUNTIF(Scenario0[loser1-ability3],AvengerAbilities3Scenario0[[#This Row],[ability]])+COUNTIF(Scenario0[loser2-ability3],AvengerAbilities3Scenario0[[#This Row],[ability]])</f>
        <v>3</v>
      </c>
      <c r="N13" s="1">
        <f>COUNTIF(Scenario0[winner1-ability3],AvengerAbilities3Scenario0[[#This Row],[ability]])+COUNTIF(Scenario0[winner2-ability3],AvengerAbilities3Scenario0[[#This Row],[ability]])</f>
        <v>0</v>
      </c>
      <c r="O13" s="14">
        <f>IF(SUM(AvengerAbilities3Scenario0[[#This Row],[takes]]) &gt; 0,AvengerAbilities3Scenario0[[#This Row],[takes]]/SUM(AvengerAbilities3Scenario0[takes]),0)</f>
        <v>0.6</v>
      </c>
      <c r="P13" s="14">
        <f>IF(AvengerAbilities3Scenario0[[#This Row],[takes]]&gt;0,AvengerAbilities3Scenario0[[#This Row],[wins]]/AvengerAbilities3Scenario0[[#This Row],[takes]],0)</f>
        <v>0</v>
      </c>
      <c r="U13" s="18"/>
    </row>
    <row r="14" spans="1:24" x14ac:dyDescent="0.25">
      <c r="A14" s="2" t="s">
        <v>153</v>
      </c>
      <c r="B14" s="2">
        <f t="shared" ref="B14:B15" si="7">M14+M35+M56+M77+M98+M119</f>
        <v>25</v>
      </c>
      <c r="C14" s="2">
        <f t="shared" ref="C14:C15" si="8">N14+N35+N56+N77+N98+N119</f>
        <v>10</v>
      </c>
      <c r="D14" s="12">
        <f>IF(SUM(AvengerAbilities3[[#This Row],[takes]]) &gt; 0,AvengerAbilities3[[#This Row],[takes]]/SUM(AvengerAbilities3[takes]),0)</f>
        <v>0.18248175182481752</v>
      </c>
      <c r="E14" s="12">
        <f>IF(AvengerAbilities3[[#This Row],[takes]]&gt;0,AvengerAbilities3[[#This Row],[wins]]/AvengerAbilities3[[#This Row],[takes]],0)</f>
        <v>0.4</v>
      </c>
      <c r="J14" s="18"/>
      <c r="L14" s="2" t="s">
        <v>153</v>
      </c>
      <c r="M14" s="2">
        <f>COUNTIF(Scenario0[winner1-ability3],AvengerAbilities3Scenario0[[#This Row],[ability]])+COUNTIF(Scenario0[winner2-ability3],AvengerAbilities3Scenario0[[#This Row],[ability]])+COUNTIF(Scenario0[loser1-ability3],AvengerAbilities3Scenario0[[#This Row],[ability]])+COUNTIF(Scenario0[loser2-ability3],AvengerAbilities3Scenario0[[#This Row],[ability]])</f>
        <v>1</v>
      </c>
      <c r="N14" s="2">
        <f>COUNTIF(Scenario0[winner1-ability3],AvengerAbilities3Scenario0[[#This Row],[ability]])+COUNTIF(Scenario0[winner2-ability3],AvengerAbilities3Scenario0[[#This Row],[ability]])</f>
        <v>0</v>
      </c>
      <c r="O14" s="12">
        <f>IF(SUM(AvengerAbilities3Scenario0[[#This Row],[takes]]) &gt; 0,AvengerAbilities3Scenario0[[#This Row],[takes]]/SUM(AvengerAbilities3Scenario0[takes]),0)</f>
        <v>0.2</v>
      </c>
      <c r="P14" s="12">
        <f>IF(AvengerAbilities3Scenario0[[#This Row],[takes]]&gt;0,AvengerAbilities3Scenario0[[#This Row],[wins]]/AvengerAbilities3Scenario0[[#This Row],[takes]],0)</f>
        <v>0</v>
      </c>
      <c r="U14" s="18"/>
    </row>
    <row r="15" spans="1:24" x14ac:dyDescent="0.25">
      <c r="A15" s="11" t="s">
        <v>154</v>
      </c>
      <c r="B15" s="1">
        <f t="shared" si="7"/>
        <v>39</v>
      </c>
      <c r="C15" s="1">
        <f t="shared" si="8"/>
        <v>23</v>
      </c>
      <c r="D15" s="15">
        <f>IF(SUM(AvengerAbilities3[[#This Row],[takes]]) &gt; 0,AvengerAbilities3[[#This Row],[takes]]/SUM(AvengerAbilities3[takes]),0)</f>
        <v>0.28467153284671531</v>
      </c>
      <c r="E15" s="15">
        <f>IF(AvengerAbilities3[[#This Row],[takes]]&gt;0,AvengerAbilities3[[#This Row],[wins]]/AvengerAbilities3[[#This Row],[takes]],0)</f>
        <v>0.58974358974358976</v>
      </c>
      <c r="J15" s="18"/>
      <c r="L15" s="11" t="s">
        <v>154</v>
      </c>
      <c r="M15" s="1">
        <f>COUNTIF(Scenario0[winner1-ability3],AvengerAbilities3Scenario0[[#This Row],[ability]])+COUNTIF(Scenario0[winner2-ability3],AvengerAbilities3Scenario0[[#This Row],[ability]])+COUNTIF(Scenario0[loser1-ability3],AvengerAbilities3Scenario0[[#This Row],[ability]])+COUNTIF(Scenario0[loser2-ability3],AvengerAbilities3Scenario0[[#This Row],[ability]])</f>
        <v>1</v>
      </c>
      <c r="N15" s="1">
        <f>COUNTIF(Scenario0[winner1-ability3],AvengerAbilities3Scenario0[[#This Row],[ability]])+COUNTIF(Scenario0[winner2-ability3],AvengerAbilities3Scenario0[[#This Row],[ability]])</f>
        <v>0</v>
      </c>
      <c r="O15" s="15">
        <f>IF(SUM(AvengerAbilities3Scenario0[[#This Row],[takes]]) &gt; 0,AvengerAbilities3Scenario0[[#This Row],[takes]]/SUM(AvengerAbilities3Scenario0[takes]),0)</f>
        <v>0.2</v>
      </c>
      <c r="P15" s="15">
        <f>IF(AvengerAbilities3Scenario0[[#This Row],[takes]]&gt;0,AvengerAbilities3Scenario0[[#This Row],[wins]]/AvengerAbilities3Scenario0[[#This Row],[takes]],0)</f>
        <v>0</v>
      </c>
      <c r="U15" s="18"/>
    </row>
    <row r="16" spans="1:24" x14ac:dyDescent="0.25">
      <c r="A16" s="17"/>
      <c r="J16" s="18"/>
      <c r="L16" s="17"/>
      <c r="O16" s="3"/>
      <c r="P16" s="3"/>
      <c r="U16" s="18"/>
    </row>
    <row r="17" spans="1:21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J17" s="18"/>
      <c r="L17" s="19" t="s">
        <v>109</v>
      </c>
      <c r="M17" s="8" t="s">
        <v>110</v>
      </c>
      <c r="N17" s="8" t="s">
        <v>79</v>
      </c>
      <c r="O17" s="9" t="s">
        <v>117</v>
      </c>
      <c r="P17" s="9" t="s">
        <v>118</v>
      </c>
      <c r="U17" s="18"/>
    </row>
    <row r="18" spans="1:21" x14ac:dyDescent="0.25">
      <c r="A18" s="2" t="s">
        <v>155</v>
      </c>
      <c r="B18" s="2">
        <f>M18+M39+M60+M81+M102+M123</f>
        <v>17</v>
      </c>
      <c r="C18" s="2">
        <f>N18+N39+N60+N81+N102+N123</f>
        <v>6</v>
      </c>
      <c r="D18" s="12">
        <f>IF(SUM(AvengerAbilities4[[#This Row],[takes]]) &gt; 0,AvengerAbilities4[[#This Row],[takes]]/SUM(AvengerAbilities4[takes]),0)</f>
        <v>0.18888888888888888</v>
      </c>
      <c r="E18" s="12">
        <f>IF(AvengerAbilities4[[#This Row],[takes]]&gt;0,AvengerAbilities4[[#This Row],[wins]]/AvengerAbilities4[[#This Row],[takes]],0)</f>
        <v>0.35294117647058826</v>
      </c>
      <c r="J18" s="18"/>
      <c r="L18" s="2" t="s">
        <v>155</v>
      </c>
      <c r="M18" s="2">
        <f>COUNTIF(Scenario0[winner1-ability4],AvengerAbilities4Scenario0[[#This Row],[ability]])+COUNTIF(Scenario0[winner2-ability4],AvengerAbilities4Scenario0[[#This Row],[ability]])+COUNTIF(Scenario0[loser1-ability4],AvengerAbilities4Scenario0[[#This Row],[ability]])+COUNTIF(Scenario0[loser2-ability4],AvengerAbilities4Scenario0[[#This Row],[ability]])</f>
        <v>0</v>
      </c>
      <c r="N18" s="2">
        <f>COUNTIF(Scenario0[winner1-ability4],AvengerAbilities4Scenario0[[#This Row],[ability]])+COUNTIF(Scenario0[winner2-ability4],AvengerAbilities4Scenario0[[#This Row],[ability]])</f>
        <v>0</v>
      </c>
      <c r="O18" s="12">
        <f>IF(SUM(AvengerAbilities4Scenario0[[#This Row],[takes]]) &gt; 0,AvengerAbilities4Scenario0[[#This Row],[takes]]/SUM(AvengerAbilities4Scenario0[takes]),0)</f>
        <v>0</v>
      </c>
      <c r="P18" s="12">
        <f>IF(AvengerAbilities4Scenario0[[#This Row],[takes]]&gt;0,AvengerAbilities4Scenario0[[#This Row],[wins]]/AvengerAbilities4Scenario0[[#This Row],[takes]],0)</f>
        <v>0</v>
      </c>
      <c r="U18" s="18"/>
    </row>
    <row r="19" spans="1:21" x14ac:dyDescent="0.25">
      <c r="A19" s="2" t="s">
        <v>156</v>
      </c>
      <c r="B19" s="2">
        <f t="shared" ref="B19:B20" si="9">M19+M40+M61+M82+M103+M124</f>
        <v>65</v>
      </c>
      <c r="C19" s="2">
        <f t="shared" ref="C19:C20" si="10">N19+N40+N61+N82+N103+N124</f>
        <v>34</v>
      </c>
      <c r="D19" s="12">
        <f>IF(SUM(AvengerAbilities4[[#This Row],[takes]]) &gt; 0,AvengerAbilities4[[#This Row],[takes]]/SUM(AvengerAbilities4[takes]),0)</f>
        <v>0.72222222222222221</v>
      </c>
      <c r="E19" s="12">
        <f>IF(AvengerAbilities4[[#This Row],[takes]]&gt;0,AvengerAbilities4[[#This Row],[wins]]/AvengerAbilities4[[#This Row],[takes]],0)</f>
        <v>0.52307692307692311</v>
      </c>
      <c r="J19" s="18"/>
      <c r="L19" s="2" t="s">
        <v>156</v>
      </c>
      <c r="M19" s="2">
        <f>COUNTIF(Scenario0[winner1-ability4],AvengerAbilities4Scenario0[[#This Row],[ability]])+COUNTIF(Scenario0[winner2-ability4],AvengerAbilities4Scenario0[[#This Row],[ability]])+COUNTIF(Scenario0[loser1-ability4],AvengerAbilities4Scenario0[[#This Row],[ability]])+COUNTIF(Scenario0[loser2-ability4],AvengerAbilities4Scenario0[[#This Row],[ability]])</f>
        <v>0</v>
      </c>
      <c r="N19" s="2">
        <f>COUNTIF(Scenario0[winner1-ability4],AvengerAbilities4Scenario0[[#This Row],[ability]])+COUNTIF(Scenario0[winner2-ability4],AvengerAbilities4Scenario0[[#This Row],[ability]])</f>
        <v>0</v>
      </c>
      <c r="O19" s="12">
        <f>IF(SUM(AvengerAbilities4Scenario0[[#This Row],[takes]]) &gt; 0,AvengerAbilities4Scenario0[[#This Row],[takes]]/SUM(AvengerAbilities4Scenario0[takes]),0)</f>
        <v>0</v>
      </c>
      <c r="P19" s="12">
        <f>IF(AvengerAbilities4Scenario0[[#This Row],[takes]]&gt;0,AvengerAbilities4Scenario0[[#This Row],[wins]]/AvengerAbilities4Scenario0[[#This Row],[takes]],0)</f>
        <v>0</v>
      </c>
      <c r="U19" s="18"/>
    </row>
    <row r="20" spans="1:21" ht="15.75" thickBot="1" x14ac:dyDescent="0.3">
      <c r="A20" s="10" t="s">
        <v>42</v>
      </c>
      <c r="B20" s="2">
        <f t="shared" si="9"/>
        <v>8</v>
      </c>
      <c r="C20" s="2">
        <f t="shared" si="10"/>
        <v>3</v>
      </c>
      <c r="D20" s="26">
        <f>IF(SUM(AvengerAbilities4[[#This Row],[takes]]) &gt; 0,AvengerAbilities4[[#This Row],[takes]]/SUM(AvengerAbilities4[takes]),0)</f>
        <v>8.8888888888888892E-2</v>
      </c>
      <c r="E20" s="26">
        <f>IF(AvengerAbilities4[[#This Row],[takes]]&gt;0,AvengerAbilities4[[#This Row],[wins]]/AvengerAbilities4[[#This Row],[takes]],0)</f>
        <v>0.375</v>
      </c>
      <c r="F20" s="27"/>
      <c r="G20" s="27"/>
      <c r="H20" s="27"/>
      <c r="I20" s="27"/>
      <c r="J20" s="28"/>
      <c r="L20" s="10" t="s">
        <v>42</v>
      </c>
      <c r="M20" s="25">
        <f>COUNTIF(Scenario0[winner1-ability4],AvengerAbilities4Scenario0[[#This Row],[ability]])+COUNTIF(Scenario0[winner2-ability4],AvengerAbilities4Scenario0[[#This Row],[ability]])+COUNTIF(Scenario0[loser1-ability4],AvengerAbilities4Scenario0[[#This Row],[ability]])+COUNTIF(Scenario0[loser2-ability4],AvengerAbilities4Scenario0[[#This Row],[ability]])</f>
        <v>1</v>
      </c>
      <c r="N20" s="25">
        <f>COUNTIF(Scenario0[winner1-ability4],AvengerAbilities4Scenario0[[#This Row],[ability]])+COUNTIF(Scenario0[winner2-ability4],AvengerAbilities4Scenario0[[#This Row],[ability]])</f>
        <v>0</v>
      </c>
      <c r="O20" s="26">
        <f>IF(SUM(AvengerAbilities4Scenario0[[#This Row],[takes]]) &gt; 0,AvengerAbilities4Scenario0[[#This Row],[takes]]/SUM(AvengerAbilities4Scenario0[takes]),0)</f>
        <v>1</v>
      </c>
      <c r="P20" s="26">
        <f>IF(AvengerAbilities4Scenario0[[#This Row],[takes]]&gt;0,AvengerAbilities4Scenario0[[#This Row],[wins]]/AvengerAbilities4Scenario0[[#This Row],[takes]],0)</f>
        <v>0</v>
      </c>
      <c r="Q20" s="27"/>
      <c r="R20" s="27"/>
      <c r="S20" s="27"/>
      <c r="T20" s="27"/>
      <c r="U20" s="28"/>
    </row>
    <row r="21" spans="1:21" ht="15.75" thickBot="1" x14ac:dyDescent="0.3"/>
    <row r="22" spans="1:21" ht="15.75" thickBot="1" x14ac:dyDescent="0.3">
      <c r="L22" s="37" t="s">
        <v>183</v>
      </c>
      <c r="M22" s="38"/>
      <c r="N22" s="38"/>
      <c r="O22" s="38"/>
      <c r="P22" s="38"/>
      <c r="Q22" s="38"/>
      <c r="R22" s="38"/>
      <c r="S22" s="38"/>
      <c r="T22" s="38"/>
      <c r="U22" s="39"/>
    </row>
    <row r="23" spans="1:21" x14ac:dyDescent="0.25">
      <c r="L23" s="17" t="s">
        <v>109</v>
      </c>
      <c r="M23" t="s">
        <v>110</v>
      </c>
      <c r="N23" t="s">
        <v>79</v>
      </c>
      <c r="O23" s="3" t="s">
        <v>117</v>
      </c>
      <c r="P23" s="3" t="s">
        <v>118</v>
      </c>
      <c r="R23" t="s">
        <v>161</v>
      </c>
      <c r="S23" t="s">
        <v>171</v>
      </c>
      <c r="T23" t="s">
        <v>172</v>
      </c>
      <c r="U23" s="18" t="s">
        <v>164</v>
      </c>
    </row>
    <row r="24" spans="1:21" x14ac:dyDescent="0.25">
      <c r="L24" t="s">
        <v>67</v>
      </c>
      <c r="M24">
        <f>COUNTIF(Scenario1[winner1-ability1],AvengerAbilities1Scenario1[[#This Row],[ability]])+COUNTIF(Scenario1[winner2-ability1],AvengerAbilities1Scenario1[[#This Row],[ability]])+COUNTIF(Scenario1[loser1-ability1],AvengerAbilities1Scenario1[[#This Row],[ability]])+COUNTIF(Scenario1[loser2-ability1],AvengerAbilities1Scenario1[[#This Row],[ability]])</f>
        <v>42</v>
      </c>
      <c r="N24">
        <f>COUNTIF(Scenario1[winner1-ability1],AvengerAbilities1Scenario1[[#This Row],[ability]])+COUNTIF(Scenario1[winner2-ability1],AvengerAbilities1Scenario1[[#This Row],[ability]])</f>
        <v>23</v>
      </c>
      <c r="O24" s="3">
        <f>IF(SUM(AvengerAbilities1Scenario1[[#This Row],[takes]]) &gt; 0,AvengerAbilities1Scenario1[[#This Row],[takes]]/SUM(AvengerAbilities1Scenario1[takes]),0)</f>
        <v>0.4</v>
      </c>
      <c r="P24" s="3">
        <f>IF(AvengerAbilities1Scenario1[[#This Row],[takes]]&gt;0,AvengerAbilities1Scenario1[[#This Row],[wins]]/AvengerAbilities1Scenario1[[#This Row],[takes]],0)</f>
        <v>0.54761904761904767</v>
      </c>
      <c r="R24">
        <v>1</v>
      </c>
      <c r="S24">
        <f>COUNTIFS(Scenario1[winner1],"avenger",Scenario1[winner1-pw],AvengerEquipScenario1[[#This Row],[level]])+COUNTIFS(Scenario1[winner2],"avenger",Scenario1[winner2-pw],AvengerEquipScenario1[[#This Row],[level]])+COUNTIFS(Scenario1[loser1],"avenger",Scenario1[loser1-pw],AvengerEquipScenario1[[#This Row],[level]])+COUNTIFS(Scenario1[loser2],"avenger",Scenario1[loser2-pw],AvengerEquipScenario1[[#This Row],[level]])</f>
        <v>66</v>
      </c>
      <c r="T24">
        <f>COUNTIFS(Scenario1[winner1],"avenger",Scenario1[winner1-sw],AvengerEquipScenario1[[#This Row],[level]])+COUNTIFS(Scenario1[winner2],"avenger",Scenario1[winner2-sw],AvengerEquipScenario1[[#This Row],[level]])+COUNTIFS(Scenario1[loser1],"avenger",Scenario1[loser1-sw],AvengerEquipScenario1[[#This Row],[level]])+COUNTIFS(Scenario1[loser2],"avenger",Scenario1[loser2-sw],AvengerEquipScenario1[[#This Row],[level]])</f>
        <v>91</v>
      </c>
      <c r="U24" s="18">
        <f>COUNTIFS(Scenario1[winner1],"avenger",Scenario1[winner1-cp],AvengerEquipScenario1[[#This Row],[level]])+COUNTIFS(Scenario1[winner2],"avenger",Scenario1[winner2-cp],AvengerEquipScenario1[[#This Row],[level]])+COUNTIFS(Scenario1[loser1],"avenger",Scenario1[loser1-cp],AvengerEquipScenario1[[#This Row],[level]])+COUNTIFS(Scenario1[loser2],"avenger",Scenario1[loser2-cp],AvengerEquipScenario1[[#This Row],[level]])</f>
        <v>36</v>
      </c>
    </row>
    <row r="25" spans="1:21" x14ac:dyDescent="0.25">
      <c r="L25" t="s">
        <v>152</v>
      </c>
      <c r="M25">
        <f>COUNTIF(Scenario1[winner1-ability1],AvengerAbilities1Scenario1[[#This Row],[ability]])+COUNTIF(Scenario1[winner2-ability1],AvengerAbilities1Scenario1[[#This Row],[ability]])+COUNTIF(Scenario1[loser1-ability1],AvengerAbilities1Scenario1[[#This Row],[ability]])+COUNTIF(Scenario1[loser2-ability1],AvengerAbilities1Scenario1[[#This Row],[ability]])</f>
        <v>43</v>
      </c>
      <c r="N25">
        <f>COUNTIF(Scenario1[winner1-ability1],AvengerAbilities1Scenario1[[#This Row],[ability]])+COUNTIF(Scenario1[winner2-ability1],AvengerAbilities1Scenario1[[#This Row],[ability]])</f>
        <v>20</v>
      </c>
      <c r="O25" s="3">
        <f>IF(SUM(AvengerAbilities1Scenario1[[#This Row],[takes]]) &gt; 0,AvengerAbilities1Scenario1[[#This Row],[takes]]/SUM(AvengerAbilities1Scenario1[takes]),0)</f>
        <v>0.40952380952380951</v>
      </c>
      <c r="P25" s="3">
        <f>IF(AvengerAbilities1Scenario1[[#This Row],[takes]]&gt;0,AvengerAbilities1Scenario1[[#This Row],[wins]]/AvengerAbilities1Scenario1[[#This Row],[takes]],0)</f>
        <v>0.46511627906976744</v>
      </c>
      <c r="R25">
        <v>2</v>
      </c>
      <c r="S25">
        <f>COUNTIFS(Scenario1[winner1],"avenger",Scenario1[winner1-pw],AvengerEquipScenario1[[#This Row],[level]])+COUNTIFS(Scenario1[winner2],"avenger",Scenario1[winner2-pw],AvengerEquipScenario1[[#This Row],[level]])+COUNTIFS(Scenario1[loser1],"avenger",Scenario1[loser1-pw],AvengerEquipScenario1[[#This Row],[level]])+COUNTIFS(Scenario1[loser2],"avenger",Scenario1[loser2-pw],AvengerEquipScenario1[[#This Row],[level]])</f>
        <v>12</v>
      </c>
      <c r="T25">
        <f>COUNTIFS(Scenario1[winner1],"avenger",Scenario1[winner1-sw],AvengerEquipScenario1[[#This Row],[level]])+COUNTIFS(Scenario1[winner2],"avenger",Scenario1[winner2-sw],AvengerEquipScenario1[[#This Row],[level]])+COUNTIFS(Scenario1[loser1],"avenger",Scenario1[loser1-sw],AvengerEquipScenario1[[#This Row],[level]])+COUNTIFS(Scenario1[loser2],"avenger",Scenario1[loser2-sw],AvengerEquipScenario1[[#This Row],[level]])</f>
        <v>11</v>
      </c>
      <c r="U25" s="18">
        <f>COUNTIFS(Scenario1[winner1],"avenger",Scenario1[winner1-cp],AvengerEquipScenario1[[#This Row],[level]])+COUNTIFS(Scenario1[winner2],"avenger",Scenario1[winner2-cp],AvengerEquipScenario1[[#This Row],[level]])+COUNTIFS(Scenario1[loser1],"avenger",Scenario1[loser1-cp],AvengerEquipScenario1[[#This Row],[level]])+COUNTIFS(Scenario1[loser2],"avenger",Scenario1[loser2-cp],AvengerEquipScenario1[[#This Row],[level]])</f>
        <v>58</v>
      </c>
    </row>
    <row r="26" spans="1:21" x14ac:dyDescent="0.25">
      <c r="L26" t="s">
        <v>39</v>
      </c>
      <c r="M26">
        <f>COUNTIF(Scenario1[winner1-ability1],AvengerAbilities1Scenario1[[#This Row],[ability]])+COUNTIF(Scenario1[winner2-ability1],AvengerAbilities1Scenario1[[#This Row],[ability]])+COUNTIF(Scenario1[loser1-ability1],AvengerAbilities1Scenario1[[#This Row],[ability]])+COUNTIF(Scenario1[loser2-ability1],AvengerAbilities1Scenario1[[#This Row],[ability]])</f>
        <v>20</v>
      </c>
      <c r="N26">
        <f>COUNTIF(Scenario1[winner1-ability1],AvengerAbilities1Scenario1[[#This Row],[ability]])+COUNTIF(Scenario1[winner2-ability1],AvengerAbilities1Scenario1[[#This Row],[ability]])</f>
        <v>7</v>
      </c>
      <c r="O26" s="3">
        <f>IF(SUM(AvengerAbilities1Scenario1[[#This Row],[takes]]) &gt; 0,AvengerAbilities1Scenario1[[#This Row],[takes]]/SUM(AvengerAbilities1Scenario1[takes]),0)</f>
        <v>0.19047619047619047</v>
      </c>
      <c r="P26" s="3">
        <f>IF(AvengerAbilities1Scenario1[[#This Row],[takes]]&gt;0,AvengerAbilities1Scenario1[[#This Row],[wins]]/AvengerAbilities1Scenario1[[#This Row],[takes]],0)</f>
        <v>0.35</v>
      </c>
      <c r="R26">
        <v>3</v>
      </c>
      <c r="S26">
        <f>COUNTIFS(Scenario1[winner1],"avenger",Scenario1[winner1-pw],AvengerEquipScenario1[[#This Row],[level]])+COUNTIFS(Scenario1[winner2],"avenger",Scenario1[winner2-pw],AvengerEquipScenario1[[#This Row],[level]])+COUNTIFS(Scenario1[loser1],"avenger",Scenario1[loser1-pw],AvengerEquipScenario1[[#This Row],[level]])+COUNTIFS(Scenario1[loser2],"avenger",Scenario1[loser2-pw],AvengerEquipScenario1[[#This Row],[level]])</f>
        <v>27</v>
      </c>
      <c r="T26">
        <f>COUNTIFS(Scenario1[winner1],"avenger",Scenario1[winner1-sw],AvengerEquipScenario1[[#This Row],[level]])+COUNTIFS(Scenario1[winner2],"avenger",Scenario1[winner2-sw],AvengerEquipScenario1[[#This Row],[level]])+COUNTIFS(Scenario1[loser1],"avenger",Scenario1[loser1-sw],AvengerEquipScenario1[[#This Row],[level]])+COUNTIFS(Scenario1[loser2],"avenger",Scenario1[loser2-sw],AvengerEquipScenario1[[#This Row],[level]])</f>
        <v>3</v>
      </c>
      <c r="U26" s="18">
        <f>COUNTIFS(Scenario1[winner1],"avenger",Scenario1[winner1-cp],AvengerEquipScenario1[[#This Row],[level]])+COUNTIFS(Scenario1[winner2],"avenger",Scenario1[winner2-cp],AvengerEquipScenario1[[#This Row],[level]])+COUNTIFS(Scenario1[loser1],"avenger",Scenario1[loser1-cp],AvengerEquipScenario1[[#This Row],[level]])+COUNTIFS(Scenario1[loser2],"avenger",Scenario1[loser2-cp],AvengerEquipScenario1[[#This Row],[level]])</f>
        <v>11</v>
      </c>
    </row>
    <row r="27" spans="1:21" x14ac:dyDescent="0.25">
      <c r="L27" s="17"/>
      <c r="O27" s="3"/>
      <c r="P27" s="3"/>
      <c r="U27" s="18"/>
    </row>
    <row r="28" spans="1:21" x14ac:dyDescent="0.25">
      <c r="L28" s="19" t="s">
        <v>109</v>
      </c>
      <c r="M28" s="8" t="s">
        <v>110</v>
      </c>
      <c r="N28" s="8" t="s">
        <v>79</v>
      </c>
      <c r="O28" s="9" t="s">
        <v>117</v>
      </c>
      <c r="P28" s="9" t="s">
        <v>118</v>
      </c>
      <c r="U28" s="18"/>
    </row>
    <row r="29" spans="1:21" x14ac:dyDescent="0.25">
      <c r="L29" s="2" t="s">
        <v>40</v>
      </c>
      <c r="M29" s="2">
        <f>COUNTIF(Scenario1[winner1-ability2],AvengerAbilities2Scenario1[[#This Row],[ability]])+COUNTIF(Scenario1[winner2-ability2],AvengerAbilities2Scenario1[[#This Row],[ability]])+COUNTIF(Scenario1[loser1-ability2],AvengerAbilities2Scenario1[[#This Row],[ability]])+COUNTIF(Scenario1[loser2-ability2],AvengerAbilities2Scenario1[[#This Row],[ability]])</f>
        <v>12</v>
      </c>
      <c r="N29" s="2">
        <f>COUNTIF(Scenario1[winner1-ability2],AvengerAbilities2Scenario1[[#This Row],[ability]])+COUNTIF(Scenario1[winner2-ability2],AvengerAbilities2Scenario1[[#This Row],[ability]])</f>
        <v>6</v>
      </c>
      <c r="O29" s="12">
        <f>IF(SUM(AvengerAbilities2Scenario1[[#This Row],[takes]]) &gt; 0,AvengerAbilities2Scenario1[[#This Row],[takes]]/SUM(AvengerAbilities2Scenario1[takes]),0)</f>
        <v>0.2857142857142857</v>
      </c>
      <c r="P29" s="12">
        <f>IF(AvengerAbilities2Scenario1[[#This Row],[takes]]&gt;0,AvengerAbilities2Scenario1[[#This Row],[wins]]/AvengerAbilities2Scenario1[[#This Row],[takes]],0)</f>
        <v>0.5</v>
      </c>
      <c r="U29" s="18"/>
    </row>
    <row r="30" spans="1:21" x14ac:dyDescent="0.25">
      <c r="L30" t="s">
        <v>70</v>
      </c>
      <c r="M30" s="2">
        <f>COUNTIF(Scenario1[winner1-ability2],AvengerAbilities2Scenario1[[#This Row],[ability]])+COUNTIF(Scenario1[winner2-ability2],AvengerAbilities2Scenario1[[#This Row],[ability]])+COUNTIF(Scenario1[loser1-ability2],AvengerAbilities2Scenario1[[#This Row],[ability]])+COUNTIF(Scenario1[loser2-ability2],AvengerAbilities2Scenario1[[#This Row],[ability]])</f>
        <v>16</v>
      </c>
      <c r="N30" s="2">
        <f>COUNTIF(Scenario1[winner1-ability2],AvengerAbilities2Scenario1[[#This Row],[ability]])+COUNTIF(Scenario1[winner2-ability2],AvengerAbilities2Scenario1[[#This Row],[ability]])</f>
        <v>14</v>
      </c>
      <c r="O30" s="3">
        <f>IF(SUM(AvengerAbilities2Scenario1[[#This Row],[takes]]) &gt; 0,AvengerAbilities2Scenario1[[#This Row],[takes]]/SUM(AvengerAbilities2Scenario1[takes]),0)</f>
        <v>0.38095238095238093</v>
      </c>
      <c r="P30" s="3">
        <f>IF(AvengerAbilities2Scenario1[[#This Row],[takes]]&gt;0,AvengerAbilities2Scenario1[[#This Row],[wins]]/AvengerAbilities2Scenario1[[#This Row],[takes]],0)</f>
        <v>0.875</v>
      </c>
      <c r="U30" s="18"/>
    </row>
    <row r="31" spans="1:21" x14ac:dyDescent="0.25">
      <c r="L31" s="10" t="s">
        <v>96</v>
      </c>
      <c r="M31" s="2">
        <f>COUNTIF(Scenario1[winner1-ability2],AvengerAbilities2Scenario1[[#This Row],[ability]])+COUNTIF(Scenario1[winner2-ability2],AvengerAbilities2Scenario1[[#This Row],[ability]])+COUNTIF(Scenario1[loser1-ability2],AvengerAbilities2Scenario1[[#This Row],[ability]])+COUNTIF(Scenario1[loser2-ability2],AvengerAbilities2Scenario1[[#This Row],[ability]])</f>
        <v>14</v>
      </c>
      <c r="N31" s="2">
        <f>COUNTIF(Scenario1[winner1-ability2],AvengerAbilities2Scenario1[[#This Row],[ability]])+COUNTIF(Scenario1[winner2-ability2],AvengerAbilities2Scenario1[[#This Row],[ability]])</f>
        <v>3</v>
      </c>
      <c r="O31" s="13">
        <f>IF(SUM(AvengerAbilities2Scenario1[[#This Row],[takes]]) &gt; 0,AvengerAbilities2Scenario1[[#This Row],[takes]]/SUM(AvengerAbilities2Scenario1[takes]),0)</f>
        <v>0.33333333333333331</v>
      </c>
      <c r="P31" s="13">
        <f>IF(AvengerAbilities2Scenario1[[#This Row],[takes]]&gt;0,AvengerAbilities2Scenario1[[#This Row],[wins]]/AvengerAbilities2Scenario1[[#This Row],[takes]],0)</f>
        <v>0.21428571428571427</v>
      </c>
      <c r="U31" s="18"/>
    </row>
    <row r="32" spans="1:21" x14ac:dyDescent="0.25">
      <c r="L32" s="17"/>
      <c r="O32" s="3"/>
      <c r="P32" s="3"/>
      <c r="U32" s="18"/>
    </row>
    <row r="33" spans="12:21" x14ac:dyDescent="0.25">
      <c r="L33" s="19" t="s">
        <v>109</v>
      </c>
      <c r="M33" s="8" t="s">
        <v>110</v>
      </c>
      <c r="N33" s="8" t="s">
        <v>79</v>
      </c>
      <c r="O33" s="9" t="s">
        <v>117</v>
      </c>
      <c r="P33" s="9" t="s">
        <v>118</v>
      </c>
      <c r="U33" s="18"/>
    </row>
    <row r="34" spans="12:21" x14ac:dyDescent="0.25">
      <c r="L34" s="1" t="s">
        <v>41</v>
      </c>
      <c r="M34" s="1">
        <f>COUNTIF(Scenario1[winner1-ability3],AvengerAbilities3Scenario1[[#This Row],[ability]])+COUNTIF(Scenario1[winner2-ability3],AvengerAbilities3Scenario1[[#This Row],[ability]])+COUNTIF(Scenario1[loser1-ability3],AvengerAbilities3Scenario1[[#This Row],[ability]])+COUNTIF(Scenario1[loser2-ability3],AvengerAbilities3Scenario1[[#This Row],[ability]])</f>
        <v>5</v>
      </c>
      <c r="N34" s="1">
        <f>COUNTIF(Scenario1[winner1-ability3],AvengerAbilities3Scenario1[[#This Row],[ability]])+COUNTIF(Scenario1[winner2-ability3],AvengerAbilities3Scenario1[[#This Row],[ability]])</f>
        <v>1</v>
      </c>
      <c r="O34" s="14">
        <f>IF(SUM(AvengerAbilities3Scenario1[[#This Row],[takes]]) &gt; 0,AvengerAbilities3Scenario1[[#This Row],[takes]]/SUM(AvengerAbilities3Scenario1[takes]),0)</f>
        <v>0.5</v>
      </c>
      <c r="P34" s="14">
        <f>IF(AvengerAbilities3Scenario1[[#This Row],[takes]]&gt;0,AvengerAbilities3Scenario1[[#This Row],[wins]]/AvengerAbilities3Scenario1[[#This Row],[takes]],0)</f>
        <v>0.2</v>
      </c>
      <c r="U34" s="18"/>
    </row>
    <row r="35" spans="12:21" x14ac:dyDescent="0.25">
      <c r="L35" s="2" t="s">
        <v>153</v>
      </c>
      <c r="M35" s="2">
        <f>COUNTIF(Scenario1[winner1-ability3],AvengerAbilities3Scenario1[[#This Row],[ability]])+COUNTIF(Scenario1[winner2-ability3],AvengerAbilities3Scenario1[[#This Row],[ability]])+COUNTIF(Scenario1[loser1-ability3],AvengerAbilities3Scenario1[[#This Row],[ability]])+COUNTIF(Scenario1[loser2-ability3],AvengerAbilities3Scenario1[[#This Row],[ability]])</f>
        <v>0</v>
      </c>
      <c r="N35" s="2">
        <f>COUNTIF(Scenario1[winner1-ability3],AvengerAbilities3Scenario1[[#This Row],[ability]])+COUNTIF(Scenario1[winner2-ability3],AvengerAbilities3Scenario1[[#This Row],[ability]])</f>
        <v>0</v>
      </c>
      <c r="O35" s="12">
        <f>IF(SUM(AvengerAbilities3Scenario1[[#This Row],[takes]]) &gt; 0,AvengerAbilities3Scenario1[[#This Row],[takes]]/SUM(AvengerAbilities3Scenario1[takes]),0)</f>
        <v>0</v>
      </c>
      <c r="P35" s="12">
        <f>IF(AvengerAbilities3Scenario1[[#This Row],[takes]]&gt;0,AvengerAbilities3Scenario1[[#This Row],[wins]]/AvengerAbilities3Scenario1[[#This Row],[takes]],0)</f>
        <v>0</v>
      </c>
      <c r="U35" s="18"/>
    </row>
    <row r="36" spans="12:21" x14ac:dyDescent="0.25">
      <c r="L36" s="11" t="s">
        <v>154</v>
      </c>
      <c r="M36" s="1">
        <f>COUNTIF(Scenario1[winner1-ability3],AvengerAbilities3Scenario1[[#This Row],[ability]])+COUNTIF(Scenario1[winner2-ability3],AvengerAbilities3Scenario1[[#This Row],[ability]])+COUNTIF(Scenario1[loser1-ability3],AvengerAbilities3Scenario1[[#This Row],[ability]])+COUNTIF(Scenario1[loser2-ability3],AvengerAbilities3Scenario1[[#This Row],[ability]])</f>
        <v>5</v>
      </c>
      <c r="N36" s="1">
        <f>COUNTIF(Scenario1[winner1-ability3],AvengerAbilities3Scenario1[[#This Row],[ability]])+COUNTIF(Scenario1[winner2-ability3],AvengerAbilities3Scenario1[[#This Row],[ability]])</f>
        <v>2</v>
      </c>
      <c r="O36" s="15">
        <f>IF(SUM(AvengerAbilities3Scenario1[[#This Row],[takes]]) &gt; 0,AvengerAbilities3Scenario1[[#This Row],[takes]]/SUM(AvengerAbilities3Scenario1[takes]),0)</f>
        <v>0.5</v>
      </c>
      <c r="P36" s="15">
        <f>IF(AvengerAbilities3Scenario1[[#This Row],[takes]]&gt;0,AvengerAbilities3Scenario1[[#This Row],[wins]]/AvengerAbilities3Scenario1[[#This Row],[takes]],0)</f>
        <v>0.4</v>
      </c>
      <c r="U36" s="18"/>
    </row>
    <row r="37" spans="12:21" x14ac:dyDescent="0.25">
      <c r="L37" s="17"/>
      <c r="O37" s="3"/>
      <c r="P37" s="3"/>
      <c r="U37" s="18"/>
    </row>
    <row r="38" spans="12:21" x14ac:dyDescent="0.25">
      <c r="L38" s="19" t="s">
        <v>109</v>
      </c>
      <c r="M38" s="8" t="s">
        <v>110</v>
      </c>
      <c r="N38" s="8" t="s">
        <v>79</v>
      </c>
      <c r="O38" s="9" t="s">
        <v>117</v>
      </c>
      <c r="P38" s="9" t="s">
        <v>118</v>
      </c>
      <c r="U38" s="18"/>
    </row>
    <row r="39" spans="12:21" x14ac:dyDescent="0.25">
      <c r="L39" s="2" t="s">
        <v>155</v>
      </c>
      <c r="M39" s="2">
        <f>COUNTIF(Scenario1[winner1-ability4],AvengerAbilities4Scenario1[[#This Row],[ability]])+COUNTIF(Scenario1[winner2-ability4],AvengerAbilities4Scenario1[[#This Row],[ability]])+COUNTIF(Scenario1[loser1-ability4],AvengerAbilities4Scenario1[[#This Row],[ability]])+COUNTIF(Scenario1[loser2-ability4],AvengerAbilities4Scenario1[[#This Row],[ability]])</f>
        <v>0</v>
      </c>
      <c r="N39" s="2">
        <f>COUNTIF(Scenario1[winner1-ability4],AvengerAbilities4Scenario1[[#This Row],[ability]])+COUNTIF(Scenario1[winner2-ability4],AvengerAbilities4Scenario1[[#This Row],[ability]])</f>
        <v>0</v>
      </c>
      <c r="O39" s="12">
        <f>IF(SUM(AvengerAbilities4Scenario1[[#This Row],[takes]]) &gt; 0,AvengerAbilities4Scenario1[[#This Row],[takes]]/SUM(AvengerAbilities4Scenario1[takes]),0)</f>
        <v>0</v>
      </c>
      <c r="P39" s="12">
        <f>IF(AvengerAbilities4Scenario1[[#This Row],[takes]]&gt;0,AvengerAbilities4Scenario1[[#This Row],[wins]]/AvengerAbilities4Scenario1[[#This Row],[takes]],0)</f>
        <v>0</v>
      </c>
      <c r="U39" s="18"/>
    </row>
    <row r="40" spans="12:21" x14ac:dyDescent="0.25">
      <c r="L40" s="2" t="s">
        <v>156</v>
      </c>
      <c r="M40" s="2">
        <f>COUNTIF(Scenario1[winner1-ability4],AvengerAbilities4Scenario1[[#This Row],[ability]])+COUNTIF(Scenario1[winner2-ability4],AvengerAbilities4Scenario1[[#This Row],[ability]])+COUNTIF(Scenario1[loser1-ability4],AvengerAbilities4Scenario1[[#This Row],[ability]])+COUNTIF(Scenario1[loser2-ability4],AvengerAbilities4Scenario1[[#This Row],[ability]])</f>
        <v>0</v>
      </c>
      <c r="N40" s="2">
        <f>COUNTIF(Scenario1[winner1-ability4],AvengerAbilities4Scenario1[[#This Row],[ability]])+COUNTIF(Scenario1[winner2-ability4],AvengerAbilities4Scenario1[[#This Row],[ability]])</f>
        <v>0</v>
      </c>
      <c r="O40" s="12">
        <f>IF(SUM(AvengerAbilities4Scenario1[[#This Row],[takes]]) &gt; 0,AvengerAbilities4Scenario1[[#This Row],[takes]]/SUM(AvengerAbilities4Scenario1[takes]),0)</f>
        <v>0</v>
      </c>
      <c r="P40" s="12">
        <f>IF(AvengerAbilities4Scenario1[[#This Row],[takes]]&gt;0,AvengerAbilities4Scenario1[[#This Row],[wins]]/AvengerAbilities4Scenario1[[#This Row],[takes]],0)</f>
        <v>0</v>
      </c>
      <c r="U40" s="18"/>
    </row>
    <row r="41" spans="12:21" ht="15.75" thickBot="1" x14ac:dyDescent="0.3">
      <c r="L41" s="10" t="s">
        <v>42</v>
      </c>
      <c r="M41" s="2">
        <f>COUNTIF(Scenario1[winner1-ability4],AvengerAbilities4Scenario1[[#This Row],[ability]])+COUNTIF(Scenario1[winner2-ability4],AvengerAbilities4Scenario1[[#This Row],[ability]])+COUNTIF(Scenario1[loser1-ability4],AvengerAbilities4Scenario1[[#This Row],[ability]])+COUNTIF(Scenario1[loser2-ability4],AvengerAbilities4Scenario1[[#This Row],[ability]])</f>
        <v>1</v>
      </c>
      <c r="N41" s="2">
        <f>COUNTIF(Scenario1[winner1-ability4],AvengerAbilities4Scenario1[[#This Row],[ability]])+COUNTIF(Scenario1[winner2-ability4],AvengerAbilities4Scenario1[[#This Row],[ability]])</f>
        <v>0</v>
      </c>
      <c r="O41" s="26">
        <f>IF(SUM(AvengerAbilities4Scenario1[[#This Row],[takes]]) &gt; 0,AvengerAbilities4Scenario1[[#This Row],[takes]]/SUM(AvengerAbilities4Scenario1[takes]),0)</f>
        <v>1</v>
      </c>
      <c r="P41" s="26">
        <f>IF(AvengerAbilities4Scenario1[[#This Row],[takes]]&gt;0,AvengerAbilities4Scenario1[[#This Row],[wins]]/AvengerAbilities4Scenario1[[#This Row],[takes]],0)</f>
        <v>0</v>
      </c>
      <c r="Q41" s="27"/>
      <c r="R41" s="27"/>
      <c r="S41" s="27"/>
      <c r="T41" s="27"/>
      <c r="U41" s="28"/>
    </row>
    <row r="42" spans="12:21" ht="15.75" thickBot="1" x14ac:dyDescent="0.3"/>
    <row r="43" spans="12:21" ht="15.75" thickBot="1" x14ac:dyDescent="0.3">
      <c r="L43" s="37" t="s">
        <v>184</v>
      </c>
      <c r="M43" s="38"/>
      <c r="N43" s="38"/>
      <c r="O43" s="38"/>
      <c r="P43" s="38"/>
      <c r="Q43" s="38"/>
      <c r="R43" s="38"/>
      <c r="S43" s="38"/>
      <c r="T43" s="38"/>
      <c r="U43" s="39"/>
    </row>
    <row r="44" spans="12:21" x14ac:dyDescent="0.25">
      <c r="L44" s="17" t="s">
        <v>109</v>
      </c>
      <c r="M44" t="s">
        <v>110</v>
      </c>
      <c r="N44" t="s">
        <v>79</v>
      </c>
      <c r="O44" s="3" t="s">
        <v>117</v>
      </c>
      <c r="P44" s="3" t="s">
        <v>118</v>
      </c>
      <c r="R44" t="s">
        <v>161</v>
      </c>
      <c r="S44" t="s">
        <v>171</v>
      </c>
      <c r="T44" t="s">
        <v>172</v>
      </c>
      <c r="U44" s="18" t="s">
        <v>164</v>
      </c>
    </row>
    <row r="45" spans="12:21" x14ac:dyDescent="0.25">
      <c r="L45" t="s">
        <v>67</v>
      </c>
      <c r="M45">
        <f>COUNTIF(Scenario2[winner1-ability1],AvengerAbilities1Scenario2[[#This Row],[ability]])+COUNTIF(Scenario2[loser1-ability1],AvengerAbilities1Scenario2[[#This Row],[ability]])</f>
        <v>2</v>
      </c>
      <c r="N45">
        <f>COUNTIF(Scenario2[winner1-ability1],AvengerAbilities1Scenario2[[#This Row],[ability]])</f>
        <v>0</v>
      </c>
      <c r="O45" s="3">
        <f>IF(SUM(AvengerAbilities1Scenario2[[#This Row],[takes]]) &gt; 0,AvengerAbilities1Scenario2[[#This Row],[takes]]/SUM(AvengerAbilities1Scenario2[takes]),0)</f>
        <v>0.14285714285714285</v>
      </c>
      <c r="P45" s="3">
        <f>IF(AvengerAbilities1Scenario2[[#This Row],[takes]]&gt;0,AvengerAbilities1Scenario2[[#This Row],[wins]]/AvengerAbilities1Scenario2[[#This Row],[takes]],0)</f>
        <v>0</v>
      </c>
      <c r="R45">
        <v>1</v>
      </c>
      <c r="S45">
        <f>COUNTIFS(Scenario2[winner1],"avenger",Scenario2[winner1-pw],AvengerEquipScenario2[[#This Row],[level]])+COUNTIFS(Scenario2[loser1],"avenger",Scenario2[loser1-pw],AvengerEquipScenario2[[#This Row],[level]])</f>
        <v>6</v>
      </c>
      <c r="T45">
        <f>COUNTIFS(Scenario2[winner1],"avenger",Scenario2[winner1-sw],AvengerEquipScenario2[[#This Row],[level]])+COUNTIFS(Scenario2[loser1],"avenger",Scenario2[loser1-sw],AvengerEquipScenario2[[#This Row],[level]])</f>
        <v>7</v>
      </c>
      <c r="U45" s="18">
        <f>COUNTIFS(Scenario2[winner1],"avenger",Scenario2[winner1-cp],AvengerEquipScenario2[[#This Row],[level]])+COUNTIFS(Scenario2[loser1],"avenger",Scenario2[loser1-cp],AvengerEquipScenario2[[#This Row],[level]])</f>
        <v>2</v>
      </c>
    </row>
    <row r="46" spans="12:21" x14ac:dyDescent="0.25">
      <c r="L46" t="s">
        <v>152</v>
      </c>
      <c r="M46">
        <f>COUNTIF(Scenario2[winner1-ability1],AvengerAbilities1Scenario2[[#This Row],[ability]])+COUNTIF(Scenario2[loser1-ability1],AvengerAbilities1Scenario2[[#This Row],[ability]])</f>
        <v>2</v>
      </c>
      <c r="N46">
        <f>COUNTIF(Scenario2[winner1-ability1],AvengerAbilities1Scenario2[[#This Row],[ability]])</f>
        <v>1</v>
      </c>
      <c r="O46" s="3">
        <f>IF(SUM(AvengerAbilities1Scenario2[[#This Row],[takes]]) &gt; 0,AvengerAbilities1Scenario2[[#This Row],[takes]]/SUM(AvengerAbilities1Scenario2[takes]),0)</f>
        <v>0.14285714285714285</v>
      </c>
      <c r="P46" s="3">
        <f>IF(AvengerAbilities1Scenario2[[#This Row],[takes]]&gt;0,AvengerAbilities1Scenario2[[#This Row],[wins]]/AvengerAbilities1Scenario2[[#This Row],[takes]],0)</f>
        <v>0.5</v>
      </c>
      <c r="R46">
        <v>2</v>
      </c>
      <c r="S46">
        <f>COUNTIFS(Scenario2[winner1],"avenger",Scenario2[winner1-pw],AvengerEquipScenario2[[#This Row],[level]])+COUNTIFS(Scenario2[loser1],"avenger",Scenario2[loser1-pw],AvengerEquipScenario2[[#This Row],[level]])</f>
        <v>4</v>
      </c>
      <c r="T46">
        <f>COUNTIFS(Scenario2[winner1],"avenger",Scenario2[winner1-sw],AvengerEquipScenario2[[#This Row],[level]])+COUNTIFS(Scenario2[loser1],"avenger",Scenario2[loser1-sw],AvengerEquipScenario2[[#This Row],[level]])</f>
        <v>4</v>
      </c>
      <c r="U46" s="18">
        <f>COUNTIFS(Scenario2[winner1],"avenger",Scenario2[winner1-cp],AvengerEquipScenario2[[#This Row],[level]])+COUNTIFS(Scenario2[loser1],"avenger",Scenario2[loser1-cp],AvengerEquipScenario2[[#This Row],[level]])</f>
        <v>10</v>
      </c>
    </row>
    <row r="47" spans="12:21" x14ac:dyDescent="0.25">
      <c r="L47" t="s">
        <v>39</v>
      </c>
      <c r="M47">
        <f>COUNTIF(Scenario2[winner1-ability1],AvengerAbilities1Scenario2[[#This Row],[ability]])+COUNTIF(Scenario2[loser1-ability1],AvengerAbilities1Scenario2[[#This Row],[ability]])</f>
        <v>10</v>
      </c>
      <c r="N47">
        <f>COUNTIF(Scenario2[winner1-ability1],AvengerAbilities1Scenario2[[#This Row],[ability]])</f>
        <v>4</v>
      </c>
      <c r="O47" s="3">
        <f>IF(SUM(AvengerAbilities1Scenario2[[#This Row],[takes]]) &gt; 0,AvengerAbilities1Scenario2[[#This Row],[takes]]/SUM(AvengerAbilities1Scenario2[takes]),0)</f>
        <v>0.7142857142857143</v>
      </c>
      <c r="P47" s="3">
        <f>IF(AvengerAbilities1Scenario2[[#This Row],[takes]]&gt;0,AvengerAbilities1Scenario2[[#This Row],[wins]]/AvengerAbilities1Scenario2[[#This Row],[takes]],0)</f>
        <v>0.4</v>
      </c>
      <c r="R47">
        <v>3</v>
      </c>
      <c r="S47">
        <f>COUNTIFS(Scenario2[winner1],"avenger",Scenario2[winner1-pw],AvengerEquipScenario2[[#This Row],[level]])+COUNTIFS(Scenario2[loser1],"avenger",Scenario2[loser1-pw],AvengerEquipScenario2[[#This Row],[level]])</f>
        <v>4</v>
      </c>
      <c r="T47">
        <f>COUNTIFS(Scenario2[winner1],"avenger",Scenario2[winner1-sw],AvengerEquipScenario2[[#This Row],[level]])+COUNTIFS(Scenario2[loser1],"avenger",Scenario2[loser1-sw],AvengerEquipScenario2[[#This Row],[level]])</f>
        <v>3</v>
      </c>
      <c r="U47" s="18">
        <f>COUNTIFS(Scenario2[winner1],"avenger",Scenario2[winner1-cp],AvengerEquipScenario2[[#This Row],[level]])+COUNTIFS(Scenario2[loser1],"avenger",Scenario2[loser1-cp],AvengerEquipScenario2[[#This Row],[level]])</f>
        <v>2</v>
      </c>
    </row>
    <row r="48" spans="12:21" x14ac:dyDescent="0.25">
      <c r="L48" s="17"/>
      <c r="O48" s="3"/>
      <c r="P48" s="3"/>
      <c r="U48" s="18"/>
    </row>
    <row r="49" spans="12:21" x14ac:dyDescent="0.25">
      <c r="L49" s="19" t="s">
        <v>109</v>
      </c>
      <c r="M49" s="8" t="s">
        <v>110</v>
      </c>
      <c r="N49" s="8" t="s">
        <v>79</v>
      </c>
      <c r="O49" s="9" t="s">
        <v>117</v>
      </c>
      <c r="P49" s="9" t="s">
        <v>118</v>
      </c>
      <c r="U49" s="18"/>
    </row>
    <row r="50" spans="12:21" x14ac:dyDescent="0.25">
      <c r="L50" s="2" t="s">
        <v>40</v>
      </c>
      <c r="M50" s="2">
        <f>COUNTIF(Scenario2[winner1-ability2],AvengerAbilities2Scenario2[[#This Row],[ability]])+COUNTIF(Scenario2[loser1-ability2],AvengerAbilities2Scenario2[[#This Row],[ability]])</f>
        <v>3</v>
      </c>
      <c r="N50" s="2">
        <f>COUNTIF(Scenario2[winner1-ability2],AvengerAbilities2Scenario2[[#This Row],[ability]])</f>
        <v>1</v>
      </c>
      <c r="O50" s="12">
        <f>IF(SUM(AvengerAbilities2Scenario2[[#This Row],[takes]]) &gt; 0,AvengerAbilities2Scenario2[[#This Row],[takes]]/SUM(AvengerAbilities2Scenario2[takes]),0)</f>
        <v>0.27272727272727271</v>
      </c>
      <c r="P50" s="12">
        <f>IF(AvengerAbilities2Scenario2[[#This Row],[takes]]&gt;0,AvengerAbilities2Scenario2[[#This Row],[wins]]/AvengerAbilities2Scenario2[[#This Row],[takes]],0)</f>
        <v>0.33333333333333331</v>
      </c>
      <c r="U50" s="18"/>
    </row>
    <row r="51" spans="12:21" x14ac:dyDescent="0.25">
      <c r="L51" t="s">
        <v>70</v>
      </c>
      <c r="M51" s="2">
        <f>COUNTIF(Scenario2[winner1-ability2],AvengerAbilities2Scenario2[[#This Row],[ability]])+COUNTIF(Scenario2[loser1-ability2],AvengerAbilities2Scenario2[[#This Row],[ability]])</f>
        <v>1</v>
      </c>
      <c r="N51" s="2">
        <f>COUNTIF(Scenario2[winner1-ability2],AvengerAbilities2Scenario2[[#This Row],[ability]])</f>
        <v>1</v>
      </c>
      <c r="O51" s="3">
        <f>IF(SUM(AvengerAbilities2Scenario2[[#This Row],[takes]]) &gt; 0,AvengerAbilities2Scenario2[[#This Row],[takes]]/SUM(AvengerAbilities2Scenario2[takes]),0)</f>
        <v>9.0909090909090912E-2</v>
      </c>
      <c r="P51" s="3">
        <f>IF(AvengerAbilities2Scenario2[[#This Row],[takes]]&gt;0,AvengerAbilities2Scenario2[[#This Row],[wins]]/AvengerAbilities2Scenario2[[#This Row],[takes]],0)</f>
        <v>1</v>
      </c>
      <c r="U51" s="18"/>
    </row>
    <row r="52" spans="12:21" x14ac:dyDescent="0.25">
      <c r="L52" s="10" t="s">
        <v>96</v>
      </c>
      <c r="M52" s="2">
        <f>COUNTIF(Scenario2[winner1-ability2],AvengerAbilities2Scenario2[[#This Row],[ability]])+COUNTIF(Scenario2[loser1-ability2],AvengerAbilities2Scenario2[[#This Row],[ability]])</f>
        <v>7</v>
      </c>
      <c r="N52" s="2">
        <f>COUNTIF(Scenario2[winner1-ability2],AvengerAbilities2Scenario2[[#This Row],[ability]])</f>
        <v>3</v>
      </c>
      <c r="O52" s="13">
        <f>IF(SUM(AvengerAbilities2Scenario2[[#This Row],[takes]]) &gt; 0,AvengerAbilities2Scenario2[[#This Row],[takes]]/SUM(AvengerAbilities2Scenario2[takes]),0)</f>
        <v>0.63636363636363635</v>
      </c>
      <c r="P52" s="13">
        <f>IF(AvengerAbilities2Scenario2[[#This Row],[takes]]&gt;0,AvengerAbilities2Scenario2[[#This Row],[wins]]/AvengerAbilities2Scenario2[[#This Row],[takes]],0)</f>
        <v>0.42857142857142855</v>
      </c>
      <c r="U52" s="18"/>
    </row>
    <row r="53" spans="12:21" x14ac:dyDescent="0.25">
      <c r="L53" s="17"/>
      <c r="O53" s="3"/>
      <c r="P53" s="3"/>
      <c r="U53" s="18"/>
    </row>
    <row r="54" spans="12:21" x14ac:dyDescent="0.25">
      <c r="L54" s="19" t="s">
        <v>109</v>
      </c>
      <c r="M54" s="8" t="s">
        <v>110</v>
      </c>
      <c r="N54" s="8" t="s">
        <v>79</v>
      </c>
      <c r="O54" s="9" t="s">
        <v>117</v>
      </c>
      <c r="P54" s="9" t="s">
        <v>118</v>
      </c>
      <c r="U54" s="18"/>
    </row>
    <row r="55" spans="12:21" x14ac:dyDescent="0.25">
      <c r="L55" s="1" t="s">
        <v>41</v>
      </c>
      <c r="M55" s="1">
        <f>COUNTIF(Scenario2[winner1-ability3],AvengerAbilities3Scenario2[[#This Row],[ability]])+COUNTIF(Scenario2[loser1-ability3],AvengerAbilities3Scenario2[[#This Row],[ability]])</f>
        <v>6</v>
      </c>
      <c r="N55" s="1">
        <f>COUNTIF(Scenario2[winner1-ability3],AvengerAbilities3Scenario2[[#This Row],[ability]])</f>
        <v>4</v>
      </c>
      <c r="O55" s="14">
        <f>IF(SUM(AvengerAbilities3Scenario2[[#This Row],[takes]]) &gt; 0,AvengerAbilities3Scenario2[[#This Row],[takes]]/SUM(AvengerAbilities3Scenario2[takes]),0)</f>
        <v>0.54545454545454541</v>
      </c>
      <c r="P55" s="14">
        <f>IF(AvengerAbilities3Scenario2[[#This Row],[takes]]&gt;0,AvengerAbilities3Scenario2[[#This Row],[wins]]/AvengerAbilities3Scenario2[[#This Row],[takes]],0)</f>
        <v>0.66666666666666663</v>
      </c>
      <c r="U55" s="18"/>
    </row>
    <row r="56" spans="12:21" x14ac:dyDescent="0.25">
      <c r="L56" s="2" t="s">
        <v>153</v>
      </c>
      <c r="M56" s="2">
        <f>COUNTIF(Scenario2[winner1-ability3],AvengerAbilities3Scenario2[[#This Row],[ability]])+COUNTIF(Scenario2[loser1-ability3],AvengerAbilities3Scenario2[[#This Row],[ability]])</f>
        <v>2</v>
      </c>
      <c r="N56" s="2">
        <f>COUNTIF(Scenario2[winner1-ability3],AvengerAbilities3Scenario2[[#This Row],[ability]])</f>
        <v>0</v>
      </c>
      <c r="O56" s="12">
        <f>IF(SUM(AvengerAbilities3Scenario2[[#This Row],[takes]]) &gt; 0,AvengerAbilities3Scenario2[[#This Row],[takes]]/SUM(AvengerAbilities3Scenario2[takes]),0)</f>
        <v>0.18181818181818182</v>
      </c>
      <c r="P56" s="12">
        <f>IF(AvengerAbilities3Scenario2[[#This Row],[takes]]&gt;0,AvengerAbilities3Scenario2[[#This Row],[wins]]/AvengerAbilities3Scenario2[[#This Row],[takes]],0)</f>
        <v>0</v>
      </c>
      <c r="U56" s="18"/>
    </row>
    <row r="57" spans="12:21" x14ac:dyDescent="0.25">
      <c r="L57" s="11" t="s">
        <v>154</v>
      </c>
      <c r="M57" s="1">
        <f>COUNTIF(Scenario2[winner1-ability3],AvengerAbilities3Scenario2[[#This Row],[ability]])+COUNTIF(Scenario2[loser1-ability3],AvengerAbilities3Scenario2[[#This Row],[ability]])</f>
        <v>3</v>
      </c>
      <c r="N57" s="1">
        <f>COUNTIF(Scenario2[winner1-ability3],AvengerAbilities3Scenario2[[#This Row],[ability]])</f>
        <v>1</v>
      </c>
      <c r="O57" s="15">
        <f>IF(SUM(AvengerAbilities3Scenario2[[#This Row],[takes]]) &gt; 0,AvengerAbilities3Scenario2[[#This Row],[takes]]/SUM(AvengerAbilities3Scenario2[takes]),0)</f>
        <v>0.27272727272727271</v>
      </c>
      <c r="P57" s="15">
        <f>IF(AvengerAbilities3Scenario2[[#This Row],[takes]]&gt;0,AvengerAbilities3Scenario2[[#This Row],[wins]]/AvengerAbilities3Scenario2[[#This Row],[takes]],0)</f>
        <v>0.33333333333333331</v>
      </c>
      <c r="U57" s="18"/>
    </row>
    <row r="58" spans="12:21" x14ac:dyDescent="0.25">
      <c r="L58" s="17"/>
      <c r="O58" s="3"/>
      <c r="P58" s="3"/>
      <c r="U58" s="18"/>
    </row>
    <row r="59" spans="12:21" x14ac:dyDescent="0.25">
      <c r="L59" s="19" t="s">
        <v>109</v>
      </c>
      <c r="M59" s="8" t="s">
        <v>110</v>
      </c>
      <c r="N59" s="8" t="s">
        <v>79</v>
      </c>
      <c r="O59" s="9" t="s">
        <v>117</v>
      </c>
      <c r="P59" s="9" t="s">
        <v>118</v>
      </c>
      <c r="U59" s="18"/>
    </row>
    <row r="60" spans="12:21" x14ac:dyDescent="0.25">
      <c r="L60" s="2" t="s">
        <v>155</v>
      </c>
      <c r="M60" s="2">
        <f>COUNTIF(Scenario2[winner1-ability4],AvengerAbilities4Scenario2[[#This Row],[ability]])+COUNTIF(Scenario2[loser1-ability4],AvengerAbilities4Scenario2[[#This Row],[ability]])</f>
        <v>2</v>
      </c>
      <c r="N60" s="2">
        <f>COUNTIF(Scenario2[winner1-ability4],AvengerAbilities4Scenario2[[#This Row],[ability]])</f>
        <v>1</v>
      </c>
      <c r="O60" s="12">
        <f>IF(SUM(AvengerAbilities4Scenario2[[#This Row],[takes]]) &gt; 0,AvengerAbilities4Scenario2[[#This Row],[takes]]/SUM(AvengerAbilities4Scenario2[takes]),0)</f>
        <v>0.22222222222222221</v>
      </c>
      <c r="P60" s="12">
        <f>IF(AvengerAbilities4Scenario2[[#This Row],[takes]]&gt;0,AvengerAbilities4Scenario2[[#This Row],[wins]]/AvengerAbilities4Scenario2[[#This Row],[takes]],0)</f>
        <v>0.5</v>
      </c>
      <c r="U60" s="18"/>
    </row>
    <row r="61" spans="12:21" x14ac:dyDescent="0.25">
      <c r="L61" s="2" t="s">
        <v>156</v>
      </c>
      <c r="M61" s="2">
        <f>COUNTIF(Scenario2[winner1-ability4],AvengerAbilities4Scenario2[[#This Row],[ability]])+COUNTIF(Scenario2[loser1-ability4],AvengerAbilities4Scenario2[[#This Row],[ability]])</f>
        <v>7</v>
      </c>
      <c r="N61" s="2">
        <f>COUNTIF(Scenario2[winner1-ability4],AvengerAbilities4Scenario2[[#This Row],[ability]])</f>
        <v>2</v>
      </c>
      <c r="O61" s="12">
        <f>IF(SUM(AvengerAbilities4Scenario2[[#This Row],[takes]]) &gt; 0,AvengerAbilities4Scenario2[[#This Row],[takes]]/SUM(AvengerAbilities4Scenario2[takes]),0)</f>
        <v>0.77777777777777779</v>
      </c>
      <c r="P61" s="12">
        <f>IF(AvengerAbilities4Scenario2[[#This Row],[takes]]&gt;0,AvengerAbilities4Scenario2[[#This Row],[wins]]/AvengerAbilities4Scenario2[[#This Row],[takes]],0)</f>
        <v>0.2857142857142857</v>
      </c>
      <c r="U61" s="18"/>
    </row>
    <row r="62" spans="12:21" ht="15.75" thickBot="1" x14ac:dyDescent="0.3">
      <c r="L62" s="10" t="s">
        <v>42</v>
      </c>
      <c r="M62" s="2">
        <f>COUNTIF(Scenario2[winner1-ability4],AvengerAbilities4Scenario2[[#This Row],[ability]])+COUNTIF(Scenario2[loser1-ability4],AvengerAbilities4Scenario2[[#This Row],[ability]])</f>
        <v>0</v>
      </c>
      <c r="N62" s="2">
        <f>COUNTIF(Scenario2[winner1-ability4],AvengerAbilities4Scenario2[[#This Row],[ability]])</f>
        <v>0</v>
      </c>
      <c r="O62" s="26">
        <f>IF(SUM(AvengerAbilities4Scenario2[[#This Row],[takes]]) &gt; 0,AvengerAbilities4Scenario2[[#This Row],[takes]]/SUM(AvengerAbilities4Scenario2[takes]),0)</f>
        <v>0</v>
      </c>
      <c r="P62" s="26">
        <f>IF(AvengerAbilities4Scenario2[[#This Row],[takes]]&gt;0,AvengerAbilities4Scenario2[[#This Row],[wins]]/AvengerAbilities4Scenario2[[#This Row],[takes]],0)</f>
        <v>0</v>
      </c>
      <c r="Q62" s="27"/>
      <c r="R62" s="27"/>
      <c r="S62" s="27"/>
      <c r="T62" s="27"/>
      <c r="U62" s="28"/>
    </row>
    <row r="63" spans="12:21" ht="15.75" thickBot="1" x14ac:dyDescent="0.3"/>
    <row r="64" spans="12:21" ht="15.75" thickBot="1" x14ac:dyDescent="0.3">
      <c r="L64" s="37" t="s">
        <v>209</v>
      </c>
      <c r="M64" s="38"/>
      <c r="N64" s="38"/>
      <c r="O64" s="38"/>
      <c r="P64" s="38"/>
      <c r="Q64" s="38"/>
      <c r="R64" s="38"/>
      <c r="S64" s="38"/>
      <c r="T64" s="38"/>
      <c r="U64" s="39"/>
    </row>
    <row r="65" spans="12:21" x14ac:dyDescent="0.25">
      <c r="L65" s="17" t="s">
        <v>109</v>
      </c>
      <c r="M65" t="s">
        <v>110</v>
      </c>
      <c r="N65" t="s">
        <v>79</v>
      </c>
      <c r="O65" s="3" t="s">
        <v>117</v>
      </c>
      <c r="P65" s="3" t="s">
        <v>118</v>
      </c>
      <c r="R65" t="s">
        <v>161</v>
      </c>
      <c r="S65" t="s">
        <v>171</v>
      </c>
      <c r="T65" t="s">
        <v>172</v>
      </c>
      <c r="U65" s="18" t="s">
        <v>164</v>
      </c>
    </row>
    <row r="66" spans="12:21" x14ac:dyDescent="0.25">
      <c r="L66" t="s">
        <v>67</v>
      </c>
      <c r="M66">
        <f>COUNTIF(Scenario3[winner1-ability1],AvengerAbilities1Scenario3[[#This Row],[ability]])+COUNTIF(Scenario3[loser1-ability1],AvengerAbilities1Scenario3[[#This Row],[ability]])+COUNTIF(Scenario3[loser2-ability1],AvengerAbilities1Scenario3[[#This Row],[ability]])</f>
        <v>0</v>
      </c>
      <c r="N66">
        <f>COUNTIF(Scenario3[winner1-ability1],AvengerAbilities1Scenario3[[#This Row],[ability]])</f>
        <v>0</v>
      </c>
      <c r="O66" s="3">
        <f>IF(SUM(AvengerAbilities1Scenario3[[#This Row],[takes]]) &gt; 0,AvengerAbilities1Scenario3[[#This Row],[takes]]/SUM(AvengerAbilities1Scenario3[takes]),0)</f>
        <v>0</v>
      </c>
      <c r="P66" s="3">
        <f>IF(AvengerAbilities1Scenario3[[#This Row],[takes]]&gt;0,AvengerAbilities1Scenario3[[#This Row],[wins]]/AvengerAbilities1Scenario3[[#This Row],[takes]],0)</f>
        <v>0</v>
      </c>
      <c r="R66">
        <v>1</v>
      </c>
      <c r="S66">
        <f>COUNTIFS(Scenario3[winner1],"avenger",Scenario3[winner1-pw],AvengerEquipScenario3[[#This Row],[level]])+COUNTIFS(Scenario3[loser1],"avenger",Scenario3[loser1-pw],AvengerEquipScenario3[[#This Row],[level]])+COUNTIFS(Scenario3[loser2],"avenger",Scenario3[loser2-pw],AvengerEquipScenario3[[#This Row],[level]])</f>
        <v>7</v>
      </c>
      <c r="T66">
        <f>COUNTIFS(Scenario3[winner1],"avenger",Scenario3[winner1-sw],AvengerEquipScenario3[[#This Row],[level]])+COUNTIFS(Scenario3[loser1],"avenger",Scenario3[loser1-sw],AvengerEquipScenario3[[#This Row],[level]])+COUNTIFS(Scenario3[loser2],"avenger",Scenario3[loser2-sw],AvengerEquipScenario3[[#This Row],[level]])</f>
        <v>11</v>
      </c>
      <c r="U66" s="18">
        <f>COUNTIFS(Scenario3[winner1],"avenger",Scenario3[winner1-cp],AvengerEquipScenario3[[#This Row],[level]])+COUNTIFS(Scenario3[loser1],"avenger",Scenario3[loser1-cp],AvengerEquipScenario3[[#This Row],[level]])+COUNTIFS(Scenario3[loser2],"avenger",Scenario3[loser2-cp],AvengerEquipScenario3[[#This Row],[level]])</f>
        <v>5</v>
      </c>
    </row>
    <row r="67" spans="12:21" x14ac:dyDescent="0.25">
      <c r="L67" t="s">
        <v>152</v>
      </c>
      <c r="M67">
        <f>COUNTIF(Scenario3[winner1-ability1],AvengerAbilities1Scenario3[[#This Row],[ability]])+COUNTIF(Scenario3[loser1-ability1],AvengerAbilities1Scenario3[[#This Row],[ability]])+COUNTIF(Scenario3[loser2-ability1],AvengerAbilities1Scenario3[[#This Row],[ability]])</f>
        <v>0</v>
      </c>
      <c r="N67">
        <f>COUNTIF(Scenario3[winner1-ability1],AvengerAbilities1Scenario3[[#This Row],[ability]])</f>
        <v>0</v>
      </c>
      <c r="O67" s="3">
        <f>IF(SUM(AvengerAbilities1Scenario3[[#This Row],[takes]]) &gt; 0,AvengerAbilities1Scenario3[[#This Row],[takes]]/SUM(AvengerAbilities1Scenario3[takes]),0)</f>
        <v>0</v>
      </c>
      <c r="P67" s="3">
        <f>IF(AvengerAbilities1Scenario3[[#This Row],[takes]]&gt;0,AvengerAbilities1Scenario3[[#This Row],[wins]]/AvengerAbilities1Scenario3[[#This Row],[takes]],0)</f>
        <v>0</v>
      </c>
      <c r="R67">
        <v>2</v>
      </c>
      <c r="S67">
        <f>COUNTIFS(Scenario3[winner1],"avenger",Scenario3[winner1-pw],AvengerEquipScenario3[[#This Row],[level]])+COUNTIFS(Scenario3[loser1],"avenger",Scenario3[loser1-pw],AvengerEquipScenario3[[#This Row],[level]])+COUNTIFS(Scenario3[loser2],"avenger",Scenario3[loser2-pw],AvengerEquipScenario3[[#This Row],[level]])</f>
        <v>4</v>
      </c>
      <c r="T67">
        <f>COUNTIFS(Scenario3[winner1],"avenger",Scenario3[winner1-sw],AvengerEquipScenario3[[#This Row],[level]])+COUNTIFS(Scenario3[loser1],"avenger",Scenario3[loser1-sw],AvengerEquipScenario3[[#This Row],[level]])+COUNTIFS(Scenario3[loser2],"avenger",Scenario3[loser2-sw],AvengerEquipScenario3[[#This Row],[level]])</f>
        <v>4</v>
      </c>
      <c r="U67" s="18">
        <f>COUNTIFS(Scenario3[winner1],"avenger",Scenario3[winner1-cp],AvengerEquipScenario3[[#This Row],[level]])+COUNTIFS(Scenario3[loser1],"avenger",Scenario3[loser1-cp],AvengerEquipScenario3[[#This Row],[level]])+COUNTIFS(Scenario3[loser2],"avenger",Scenario3[loser2-cp],AvengerEquipScenario3[[#This Row],[level]])</f>
        <v>6</v>
      </c>
    </row>
    <row r="68" spans="12:21" x14ac:dyDescent="0.25">
      <c r="L68" t="s">
        <v>39</v>
      </c>
      <c r="M68">
        <f>COUNTIF(Scenario3[winner1-ability1],AvengerAbilities1Scenario3[[#This Row],[ability]])+COUNTIF(Scenario3[loser1-ability1],AvengerAbilities1Scenario3[[#This Row],[ability]])+COUNTIF(Scenario3[loser2-ability1],AvengerAbilities1Scenario3[[#This Row],[ability]])</f>
        <v>21</v>
      </c>
      <c r="N68">
        <f>COUNTIF(Scenario3[winner1-ability1],AvengerAbilities1Scenario3[[#This Row],[ability]])</f>
        <v>8</v>
      </c>
      <c r="O68" s="3">
        <f>IF(SUM(AvengerAbilities1Scenario3[[#This Row],[takes]]) &gt; 0,AvengerAbilities1Scenario3[[#This Row],[takes]]/SUM(AvengerAbilities1Scenario3[takes]),0)</f>
        <v>1</v>
      </c>
      <c r="P68" s="3">
        <f>IF(AvengerAbilities1Scenario3[[#This Row],[takes]]&gt;0,AvengerAbilities1Scenario3[[#This Row],[wins]]/AvengerAbilities1Scenario3[[#This Row],[takes]],0)</f>
        <v>0.38095238095238093</v>
      </c>
      <c r="R68">
        <v>3</v>
      </c>
      <c r="S68">
        <f>COUNTIFS(Scenario3[winner1],"avenger",Scenario3[winner1-pw],AvengerEquipScenario3[[#This Row],[level]])+COUNTIFS(Scenario3[loser1],"avenger",Scenario3[loser1-pw],AvengerEquipScenario3[[#This Row],[level]])+COUNTIFS(Scenario3[loser2],"avenger",Scenario3[loser2-pw],AvengerEquipScenario3[[#This Row],[level]])</f>
        <v>10</v>
      </c>
      <c r="T68">
        <f>COUNTIFS(Scenario3[winner1],"avenger",Scenario3[winner1-sw],AvengerEquipScenario3[[#This Row],[level]])+COUNTIFS(Scenario3[loser1],"avenger",Scenario3[loser1-sw],AvengerEquipScenario3[[#This Row],[level]])+COUNTIFS(Scenario3[loser2],"avenger",Scenario3[loser2-sw],AvengerEquipScenario3[[#This Row],[level]])</f>
        <v>6</v>
      </c>
      <c r="U68" s="18">
        <f>COUNTIFS(Scenario3[winner1],"avenger",Scenario3[winner1-cp],AvengerEquipScenario3[[#This Row],[level]])+COUNTIFS(Scenario3[loser1],"avenger",Scenario3[loser1-cp],AvengerEquipScenario3[[#This Row],[level]])+COUNTIFS(Scenario3[loser2],"avenger",Scenario3[loser2-cp],AvengerEquipScenario3[[#This Row],[level]])</f>
        <v>10</v>
      </c>
    </row>
    <row r="69" spans="12:21" x14ac:dyDescent="0.25">
      <c r="L69" s="17"/>
      <c r="O69" s="3"/>
      <c r="P69" s="3"/>
      <c r="U69" s="18"/>
    </row>
    <row r="70" spans="12:21" x14ac:dyDescent="0.25">
      <c r="L70" s="19" t="s">
        <v>109</v>
      </c>
      <c r="M70" s="8" t="s">
        <v>110</v>
      </c>
      <c r="N70" s="8" t="s">
        <v>79</v>
      </c>
      <c r="O70" s="9" t="s">
        <v>117</v>
      </c>
      <c r="P70" s="9" t="s">
        <v>118</v>
      </c>
      <c r="U70" s="18"/>
    </row>
    <row r="71" spans="12:21" x14ac:dyDescent="0.25">
      <c r="L71" s="2" t="s">
        <v>40</v>
      </c>
      <c r="M71" s="2">
        <f>COUNTIF(Scenario3[winner1-ability2],AvengerAbilities2Scenario3[[#This Row],[ability]])+COUNTIF(Scenario3[loser1-ability2],AvengerAbilities2Scenario3[[#This Row],[ability]])+COUNTIF(Scenario3[loser2-ability2],AvengerAbilities2Scenario3[[#This Row],[ability]])</f>
        <v>16</v>
      </c>
      <c r="N71" s="2">
        <f>COUNTIF(Scenario3[winner1-ability2],AvengerAbilities2Scenario3[[#This Row],[ability]])</f>
        <v>7</v>
      </c>
      <c r="O71" s="12">
        <f>IF(SUM(AvengerAbilities2Scenario3[[#This Row],[takes]]) &gt; 0,AvengerAbilities2Scenario3[[#This Row],[takes]]/SUM(AvengerAbilities2Scenario3[takes]),0)</f>
        <v>0.8</v>
      </c>
      <c r="P71" s="12">
        <f>IF(AvengerAbilities2Scenario3[[#This Row],[takes]]&gt;0,AvengerAbilities2Scenario3[[#This Row],[wins]]/AvengerAbilities2Scenario3[[#This Row],[takes]],0)</f>
        <v>0.4375</v>
      </c>
      <c r="U71" s="18"/>
    </row>
    <row r="72" spans="12:21" x14ac:dyDescent="0.25">
      <c r="L72" t="s">
        <v>70</v>
      </c>
      <c r="M72" s="2">
        <f>COUNTIF(Scenario3[winner1-ability2],AvengerAbilities2Scenario3[[#This Row],[ability]])+COUNTIF(Scenario3[loser1-ability2],AvengerAbilities2Scenario3[[#This Row],[ability]])+COUNTIF(Scenario3[loser2-ability2],AvengerAbilities2Scenario3[[#This Row],[ability]])</f>
        <v>0</v>
      </c>
      <c r="N72" s="2">
        <f>COUNTIF(Scenario3[winner1-ability2],AvengerAbilities2Scenario3[[#This Row],[ability]])</f>
        <v>0</v>
      </c>
      <c r="O72" s="3">
        <f>IF(SUM(AvengerAbilities2Scenario3[[#This Row],[takes]]) &gt; 0,AvengerAbilities2Scenario3[[#This Row],[takes]]/SUM(AvengerAbilities2Scenario3[takes]),0)</f>
        <v>0</v>
      </c>
      <c r="P72" s="3">
        <f>IF(AvengerAbilities2Scenario3[[#This Row],[takes]]&gt;0,AvengerAbilities2Scenario3[[#This Row],[wins]]/AvengerAbilities2Scenario3[[#This Row],[takes]],0)</f>
        <v>0</v>
      </c>
      <c r="U72" s="18"/>
    </row>
    <row r="73" spans="12:21" x14ac:dyDescent="0.25">
      <c r="L73" s="10" t="s">
        <v>96</v>
      </c>
      <c r="M73" s="2">
        <f>COUNTIF(Scenario3[winner1-ability2],AvengerAbilities2Scenario3[[#This Row],[ability]])+COUNTIF(Scenario3[loser1-ability2],AvengerAbilities2Scenario3[[#This Row],[ability]])+COUNTIF(Scenario3[loser2-ability2],AvengerAbilities2Scenario3[[#This Row],[ability]])</f>
        <v>4</v>
      </c>
      <c r="N73" s="2">
        <f>COUNTIF(Scenario3[winner1-ability2],AvengerAbilities2Scenario3[[#This Row],[ability]])</f>
        <v>1</v>
      </c>
      <c r="O73" s="13">
        <f>IF(SUM(AvengerAbilities2Scenario3[[#This Row],[takes]]) &gt; 0,AvengerAbilities2Scenario3[[#This Row],[takes]]/SUM(AvengerAbilities2Scenario3[takes]),0)</f>
        <v>0.2</v>
      </c>
      <c r="P73" s="13">
        <f>IF(AvengerAbilities2Scenario3[[#This Row],[takes]]&gt;0,AvengerAbilities2Scenario3[[#This Row],[wins]]/AvengerAbilities2Scenario3[[#This Row],[takes]],0)</f>
        <v>0.25</v>
      </c>
      <c r="U73" s="18"/>
    </row>
    <row r="74" spans="12:21" x14ac:dyDescent="0.25">
      <c r="L74" s="17"/>
      <c r="O74" s="3"/>
      <c r="P74" s="3"/>
      <c r="U74" s="18"/>
    </row>
    <row r="75" spans="12:21" x14ac:dyDescent="0.25">
      <c r="L75" s="19" t="s">
        <v>109</v>
      </c>
      <c r="M75" s="8" t="s">
        <v>110</v>
      </c>
      <c r="N75" s="8" t="s">
        <v>79</v>
      </c>
      <c r="O75" s="9" t="s">
        <v>117</v>
      </c>
      <c r="P75" s="9" t="s">
        <v>118</v>
      </c>
      <c r="U75" s="18"/>
    </row>
    <row r="76" spans="12:21" x14ac:dyDescent="0.25">
      <c r="L76" s="1" t="s">
        <v>41</v>
      </c>
      <c r="M76" s="1">
        <f>COUNTIF(Scenario3[winner1-ability3],AvengerAbilities3Scenario3[[#This Row],[ability]])+COUNTIF(Scenario3[loser1-ability3],AvengerAbilities3Scenario3[[#This Row],[ability]])+COUNTIF(Scenario3[loser2-ability3],AvengerAbilities3Scenario3[[#This Row],[ability]])</f>
        <v>9</v>
      </c>
      <c r="N76" s="1">
        <f>COUNTIF(Scenario3[winner1-ability3],AvengerAbilities3Scenario3[[#This Row],[ability]])</f>
        <v>4</v>
      </c>
      <c r="O76" s="14">
        <f>IF(SUM(AvengerAbilities3Scenario3[[#This Row],[takes]]) &gt; 0,AvengerAbilities3Scenario3[[#This Row],[takes]]/SUM(AvengerAbilities3Scenario3[takes]),0)</f>
        <v>0.5</v>
      </c>
      <c r="P76" s="14">
        <f>IF(AvengerAbilities3Scenario3[[#This Row],[takes]]&gt;0,AvengerAbilities3Scenario3[[#This Row],[wins]]/AvengerAbilities3Scenario3[[#This Row],[takes]],0)</f>
        <v>0.44444444444444442</v>
      </c>
      <c r="U76" s="18"/>
    </row>
    <row r="77" spans="12:21" x14ac:dyDescent="0.25">
      <c r="L77" s="2" t="s">
        <v>153</v>
      </c>
      <c r="M77" s="2">
        <f>COUNTIF(Scenario3[winner1-ability3],AvengerAbilities3Scenario3[[#This Row],[ability]])+COUNTIF(Scenario3[loser1-ability3],AvengerAbilities3Scenario3[[#This Row],[ability]])+COUNTIF(Scenario3[loser2-ability3],AvengerAbilities3Scenario3[[#This Row],[ability]])</f>
        <v>6</v>
      </c>
      <c r="N77" s="2">
        <f>COUNTIF(Scenario3[winner1-ability3],AvengerAbilities3Scenario3[[#This Row],[ability]])</f>
        <v>3</v>
      </c>
      <c r="O77" s="12">
        <f>IF(SUM(AvengerAbilities3Scenario3[[#This Row],[takes]]) &gt; 0,AvengerAbilities3Scenario3[[#This Row],[takes]]/SUM(AvengerAbilities3Scenario3[takes]),0)</f>
        <v>0.33333333333333331</v>
      </c>
      <c r="P77" s="12">
        <f>IF(AvengerAbilities3Scenario3[[#This Row],[takes]]&gt;0,AvengerAbilities3Scenario3[[#This Row],[wins]]/AvengerAbilities3Scenario3[[#This Row],[takes]],0)</f>
        <v>0.5</v>
      </c>
      <c r="U77" s="18"/>
    </row>
    <row r="78" spans="12:21" x14ac:dyDescent="0.25">
      <c r="L78" s="11" t="s">
        <v>154</v>
      </c>
      <c r="M78" s="1">
        <f>COUNTIF(Scenario3[winner1-ability3],AvengerAbilities3Scenario3[[#This Row],[ability]])+COUNTIF(Scenario3[loser1-ability3],AvengerAbilities3Scenario3[[#This Row],[ability]])+COUNTIF(Scenario3[loser2-ability3],AvengerAbilities3Scenario3[[#This Row],[ability]])</f>
        <v>3</v>
      </c>
      <c r="N78" s="1">
        <f>COUNTIF(Scenario3[winner1-ability3],AvengerAbilities3Scenario3[[#This Row],[ability]])</f>
        <v>1</v>
      </c>
      <c r="O78" s="15">
        <f>IF(SUM(AvengerAbilities3Scenario3[[#This Row],[takes]]) &gt; 0,AvengerAbilities3Scenario3[[#This Row],[takes]]/SUM(AvengerAbilities3Scenario3[takes]),0)</f>
        <v>0.16666666666666666</v>
      </c>
      <c r="P78" s="15">
        <f>IF(AvengerAbilities3Scenario3[[#This Row],[takes]]&gt;0,AvengerAbilities3Scenario3[[#This Row],[wins]]/AvengerAbilities3Scenario3[[#This Row],[takes]],0)</f>
        <v>0.33333333333333331</v>
      </c>
      <c r="U78" s="18"/>
    </row>
    <row r="79" spans="12:21" x14ac:dyDescent="0.25">
      <c r="L79" s="17"/>
      <c r="O79" s="3"/>
      <c r="P79" s="3"/>
      <c r="U79" s="18"/>
    </row>
    <row r="80" spans="12:21" x14ac:dyDescent="0.25">
      <c r="L80" s="19" t="s">
        <v>109</v>
      </c>
      <c r="M80" s="8" t="s">
        <v>110</v>
      </c>
      <c r="N80" s="8" t="s">
        <v>79</v>
      </c>
      <c r="O80" s="9" t="s">
        <v>117</v>
      </c>
      <c r="P80" s="9" t="s">
        <v>118</v>
      </c>
      <c r="U80" s="18"/>
    </row>
    <row r="81" spans="12:21" x14ac:dyDescent="0.25">
      <c r="L81" s="2" t="s">
        <v>155</v>
      </c>
      <c r="M81" s="2">
        <f>COUNTIF(Scenario3[winner1-ability4],AvengerAbilities4Scenario3[[#This Row],[ability]])+COUNTIF(Scenario3[loser1-ability4],AvengerAbilities4Scenario3[[#This Row],[ability]])+COUNTIF(Scenario3[loser2-ability4],AvengerAbilities4Scenario3[[#This Row],[ability]])</f>
        <v>0</v>
      </c>
      <c r="N81" s="2">
        <f>COUNTIF(Scenario3[winner1-ability4],AvengerAbilities4Scenario3[[#This Row],[ability]])</f>
        <v>0</v>
      </c>
      <c r="O81" s="12">
        <f>IF(SUM(AvengerAbilities4Scenario3[[#This Row],[takes]]) &gt; 0,AvengerAbilities4Scenario3[[#This Row],[takes]]/SUM(AvengerAbilities4Scenario3[takes]),0)</f>
        <v>0</v>
      </c>
      <c r="P81" s="12">
        <f>IF(AvengerAbilities4Scenario3[[#This Row],[takes]]&gt;0,AvengerAbilities4Scenario3[[#This Row],[wins]]/AvengerAbilities4Scenario3[[#This Row],[takes]],0)</f>
        <v>0</v>
      </c>
      <c r="U81" s="18"/>
    </row>
    <row r="82" spans="12:21" x14ac:dyDescent="0.25">
      <c r="L82" s="2" t="s">
        <v>156</v>
      </c>
      <c r="M82" s="2">
        <f>COUNTIF(Scenario3[winner1-ability4],AvengerAbilities4Scenario3[[#This Row],[ability]])+COUNTIF(Scenario3[loser1-ability4],AvengerAbilities4Scenario3[[#This Row],[ability]])+COUNTIF(Scenario3[loser2-ability4],AvengerAbilities4Scenario3[[#This Row],[ability]])</f>
        <v>13</v>
      </c>
      <c r="N82" s="2">
        <f>COUNTIF(Scenario3[winner1-ability4],AvengerAbilities4Scenario3[[#This Row],[ability]])</f>
        <v>8</v>
      </c>
      <c r="O82" s="12">
        <f>IF(SUM(AvengerAbilities4Scenario3[[#This Row],[takes]]) &gt; 0,AvengerAbilities4Scenario3[[#This Row],[takes]]/SUM(AvengerAbilities4Scenario3[takes]),0)</f>
        <v>1</v>
      </c>
      <c r="P82" s="12">
        <f>IF(AvengerAbilities4Scenario3[[#This Row],[takes]]&gt;0,AvengerAbilities4Scenario3[[#This Row],[wins]]/AvengerAbilities4Scenario3[[#This Row],[takes]],0)</f>
        <v>0.61538461538461542</v>
      </c>
      <c r="U82" s="18"/>
    </row>
    <row r="83" spans="12:21" ht="15.75" thickBot="1" x14ac:dyDescent="0.3">
      <c r="L83" s="10" t="s">
        <v>42</v>
      </c>
      <c r="M83" s="2">
        <f>COUNTIF(Scenario3[winner1-ability4],AvengerAbilities4Scenario3[[#This Row],[ability]])+COUNTIF(Scenario3[loser1-ability4],AvengerAbilities4Scenario3[[#This Row],[ability]])+COUNTIF(Scenario3[loser2-ability4],AvengerAbilities4Scenario3[[#This Row],[ability]])</f>
        <v>0</v>
      </c>
      <c r="N83" s="2">
        <f>COUNTIF(Scenario3[winner1-ability4],AvengerAbilities4Scenario3[[#This Row],[ability]])</f>
        <v>0</v>
      </c>
      <c r="O83" s="26">
        <f>IF(SUM(AvengerAbilities4Scenario3[[#This Row],[takes]]) &gt; 0,AvengerAbilities4Scenario3[[#This Row],[takes]]/SUM(AvengerAbilities4Scenario3[takes]),0)</f>
        <v>0</v>
      </c>
      <c r="P83" s="26">
        <f>IF(AvengerAbilities4Scenario3[[#This Row],[takes]]&gt;0,AvengerAbilities4Scenario3[[#This Row],[wins]]/AvengerAbilities4Scenario3[[#This Row],[takes]],0)</f>
        <v>0</v>
      </c>
      <c r="Q83" s="27"/>
      <c r="R83" s="27"/>
      <c r="S83" s="27"/>
      <c r="T83" s="27"/>
      <c r="U83" s="28"/>
    </row>
    <row r="84" spans="12:21" ht="15.75" thickBot="1" x14ac:dyDescent="0.3"/>
    <row r="85" spans="12:21" ht="15.75" thickBot="1" x14ac:dyDescent="0.3">
      <c r="L85" s="37" t="s">
        <v>219</v>
      </c>
      <c r="M85" s="38"/>
      <c r="N85" s="38"/>
      <c r="O85" s="38"/>
      <c r="P85" s="38"/>
      <c r="Q85" s="38"/>
      <c r="R85" s="38"/>
      <c r="S85" s="38"/>
      <c r="T85" s="38"/>
      <c r="U85" s="39"/>
    </row>
    <row r="86" spans="12:21" x14ac:dyDescent="0.25">
      <c r="L86" s="17" t="s">
        <v>109</v>
      </c>
      <c r="M86" t="s">
        <v>110</v>
      </c>
      <c r="N86" t="s">
        <v>79</v>
      </c>
      <c r="O86" s="3" t="s">
        <v>117</v>
      </c>
      <c r="P86" s="3" t="s">
        <v>118</v>
      </c>
      <c r="R86" t="s">
        <v>161</v>
      </c>
      <c r="S86" t="s">
        <v>171</v>
      </c>
      <c r="T86" t="s">
        <v>172</v>
      </c>
      <c r="U86" s="18" t="s">
        <v>164</v>
      </c>
    </row>
    <row r="87" spans="12:21" x14ac:dyDescent="0.25">
      <c r="L87" t="s">
        <v>67</v>
      </c>
      <c r="M87">
        <f>COUNTIF(Scenario4[winner1-ability1],AvengerAbilities1Scenario4[[#This Row],[ability]])+COUNTIF(Scenario4[loser1-ability1],AvengerAbilities1Scenario4[[#This Row],[ability]])+COUNTIF(Scenario4[loser2-ability1],AvengerAbilities1Scenario4[[#This Row],[ability]])+COUNTIF(Scenario4[loser3-ability1],AvengerAbilities1Scenario4[[#This Row],[ability]])</f>
        <v>0</v>
      </c>
      <c r="N87">
        <f>COUNTIF(Scenario4[winner1-ability1],AvengerAbilities1Scenario4[[#This Row],[ability]])</f>
        <v>0</v>
      </c>
      <c r="O87" s="3">
        <f>IF(SUM(AvengerAbilities1Scenario4[[#This Row],[takes]]) &gt; 0,AvengerAbilities1Scenario4[[#This Row],[takes]]/SUM(AvengerAbilities1Scenario4[takes]),0)</f>
        <v>0</v>
      </c>
      <c r="P87" s="3">
        <f>IF(AvengerAbilities1Scenario4[[#This Row],[takes]]&gt;0,AvengerAbilities1Scenario4[[#This Row],[wins]]/AvengerAbilities1Scenario4[[#This Row],[takes]],0)</f>
        <v>0</v>
      </c>
      <c r="R87">
        <v>1</v>
      </c>
      <c r="S87">
        <f>COUNTIFS(Scenario4[winner1],"avenger",Scenario4[winner1-pw],AvengerEquipScenario4[[#This Row],[level]])+COUNTIFS(Scenario4[loser1],"avenger",Scenario4[loser1-pw],AvengerEquipScenario4[[#This Row],[level]])+COUNTIFS(Scenario4[loser2],"avenger",Scenario4[loser2-pw],AvengerEquipScenario4[[#This Row],[level]])+COUNTIFS(Scenario4[loser3],"avenger",Scenario4[loser3-pw],AvengerEquipScenario4[[#This Row],[level]])</f>
        <v>5</v>
      </c>
      <c r="T87">
        <f>COUNTIFS(Scenario4[winner1],"avenger",Scenario4[winner1-sw],AvengerEquipScenario4[[#This Row],[level]])+COUNTIFS(Scenario4[loser1],"avenger",Scenario4[loser1-sw],AvengerEquipScenario4[[#This Row],[level]])+COUNTIFS(Scenario4[loser2],"avenger",Scenario4[loser2-sw],AvengerEquipScenario4[[#This Row],[level]])+COUNTIFS(Scenario4[loser3],"avenger",Scenario4[loser3-sw],AvengerEquipScenario4[[#This Row],[level]])</f>
        <v>9</v>
      </c>
      <c r="U87" s="18">
        <f>COUNTIFS(Scenario4[winner1],"avenger",Scenario4[winner1-cp],AvengerEquipScenario4[[#This Row],[level]])+COUNTIFS(Scenario4[loser1],"avenger",Scenario4[loser1-cp],AvengerEquipScenario4[[#This Row],[level]])+COUNTIFS(Scenario4[loser2],"avenger",Scenario4[loser2-cp],AvengerEquipScenario4[[#This Row],[level]])+COUNTIFS(Scenario4[loser3],"avenger",Scenario4[loser3-cp],AvengerEquipScenario4[[#This Row],[level]])</f>
        <v>1</v>
      </c>
    </row>
    <row r="88" spans="12:21" x14ac:dyDescent="0.25">
      <c r="L88" t="s">
        <v>152</v>
      </c>
      <c r="M88">
        <f>COUNTIF(Scenario4[winner1-ability1],AvengerAbilities1Scenario4[[#This Row],[ability]])+COUNTIF(Scenario4[loser1-ability1],AvengerAbilities1Scenario4[[#This Row],[ability]])+COUNTIF(Scenario4[loser2-ability1],AvengerAbilities1Scenario4[[#This Row],[ability]])+COUNTIF(Scenario4[loser3-ability1],AvengerAbilities1Scenario4[[#This Row],[ability]])</f>
        <v>0</v>
      </c>
      <c r="N88">
        <f>COUNTIF(Scenario4[winner1-ability1],AvengerAbilities1Scenario4[[#This Row],[ability]])</f>
        <v>0</v>
      </c>
      <c r="O88" s="3">
        <f>IF(SUM(AvengerAbilities1Scenario4[[#This Row],[takes]]) &gt; 0,AvengerAbilities1Scenario4[[#This Row],[takes]]/SUM(AvengerAbilities1Scenario4[takes]),0)</f>
        <v>0</v>
      </c>
      <c r="P88" s="3">
        <f>IF(AvengerAbilities1Scenario4[[#This Row],[takes]]&gt;0,AvengerAbilities1Scenario4[[#This Row],[wins]]/AvengerAbilities1Scenario4[[#This Row],[takes]],0)</f>
        <v>0</v>
      </c>
      <c r="R88">
        <v>2</v>
      </c>
      <c r="S88">
        <f>COUNTIFS(Scenario4[winner1],"avenger",Scenario4[winner1-pw],AvengerEquipScenario4[[#This Row],[level]])+COUNTIFS(Scenario4[loser1],"avenger",Scenario4[loser1-pw],AvengerEquipScenario4[[#This Row],[level]])+COUNTIFS(Scenario4[loser2],"avenger",Scenario4[loser2-pw],AvengerEquipScenario4[[#This Row],[level]])+COUNTIFS(Scenario4[loser3],"avenger",Scenario4[loser3-pw],AvengerEquipScenario4[[#This Row],[level]])</f>
        <v>5</v>
      </c>
      <c r="T88">
        <f>COUNTIFS(Scenario4[winner1],"avenger",Scenario4[winner1-sw],AvengerEquipScenario4[[#This Row],[level]])+COUNTIFS(Scenario4[loser1],"avenger",Scenario4[loser1-sw],AvengerEquipScenario4[[#This Row],[level]])+COUNTIFS(Scenario4[loser2],"avenger",Scenario4[loser2-sw],AvengerEquipScenario4[[#This Row],[level]])+COUNTIFS(Scenario4[loser3],"avenger",Scenario4[loser3-sw],AvengerEquipScenario4[[#This Row],[level]])</f>
        <v>1</v>
      </c>
      <c r="U88" s="18">
        <f>COUNTIFS(Scenario4[winner1],"avenger",Scenario4[winner1-cp],AvengerEquipScenario4[[#This Row],[level]])+COUNTIFS(Scenario4[loser1],"avenger",Scenario4[loser1-cp],AvengerEquipScenario4[[#This Row],[level]])+COUNTIFS(Scenario4[loser2],"avenger",Scenario4[loser2-cp],AvengerEquipScenario4[[#This Row],[level]])+COUNTIFS(Scenario4[loser3],"avenger",Scenario4[loser3-cp],AvengerEquipScenario4[[#This Row],[level]])</f>
        <v>5</v>
      </c>
    </row>
    <row r="89" spans="12:21" x14ac:dyDescent="0.25">
      <c r="L89" t="s">
        <v>39</v>
      </c>
      <c r="M89">
        <f>COUNTIF(Scenario4[winner1-ability1],AvengerAbilities1Scenario4[[#This Row],[ability]])+COUNTIF(Scenario4[loser1-ability1],AvengerAbilities1Scenario4[[#This Row],[ability]])+COUNTIF(Scenario4[loser2-ability1],AvengerAbilities1Scenario4[[#This Row],[ability]])+COUNTIF(Scenario4[loser3-ability1],AvengerAbilities1Scenario4[[#This Row],[ability]])</f>
        <v>35</v>
      </c>
      <c r="N89">
        <f>COUNTIF(Scenario4[winner1-ability1],AvengerAbilities1Scenario4[[#This Row],[ability]])</f>
        <v>14</v>
      </c>
      <c r="O89" s="3">
        <f>IF(SUM(AvengerAbilities1Scenario4[[#This Row],[takes]]) &gt; 0,AvengerAbilities1Scenario4[[#This Row],[takes]]/SUM(AvengerAbilities1Scenario4[takes]),0)</f>
        <v>1</v>
      </c>
      <c r="P89" s="3">
        <f>IF(AvengerAbilities1Scenario4[[#This Row],[takes]]&gt;0,AvengerAbilities1Scenario4[[#This Row],[wins]]/AvengerAbilities1Scenario4[[#This Row],[takes]],0)</f>
        <v>0.4</v>
      </c>
      <c r="R89">
        <v>3</v>
      </c>
      <c r="S89">
        <f>COUNTIFS(Scenario4[winner1],"avenger",Scenario4[winner1-pw],AvengerEquipScenario4[[#This Row],[level]])+COUNTIFS(Scenario4[loser1],"avenger",Scenario4[loser1-pw],AvengerEquipScenario4[[#This Row],[level]])+COUNTIFS(Scenario4[loser2],"avenger",Scenario4[loser2-pw],AvengerEquipScenario4[[#This Row],[level]])+COUNTIFS(Scenario4[loser3],"avenger",Scenario4[loser3-pw],AvengerEquipScenario4[[#This Row],[level]])</f>
        <v>25</v>
      </c>
      <c r="T89">
        <f>COUNTIFS(Scenario4[winner1],"avenger",Scenario4[winner1-sw],AvengerEquipScenario4[[#This Row],[level]])+COUNTIFS(Scenario4[loser1],"avenger",Scenario4[loser1-sw],AvengerEquipScenario4[[#This Row],[level]])+COUNTIFS(Scenario4[loser2],"avenger",Scenario4[loser2-sw],AvengerEquipScenario4[[#This Row],[level]])+COUNTIFS(Scenario4[loser3],"avenger",Scenario4[loser3-sw],AvengerEquipScenario4[[#This Row],[level]])</f>
        <v>25</v>
      </c>
      <c r="U89" s="18">
        <f>COUNTIFS(Scenario4[winner1],"avenger",Scenario4[winner1-cp],AvengerEquipScenario4[[#This Row],[level]])+COUNTIFS(Scenario4[loser1],"avenger",Scenario4[loser1-cp],AvengerEquipScenario4[[#This Row],[level]])+COUNTIFS(Scenario4[loser2],"avenger",Scenario4[loser2-cp],AvengerEquipScenario4[[#This Row],[level]])+COUNTIFS(Scenario4[loser3],"avenger",Scenario4[loser3-cp],AvengerEquipScenario4[[#This Row],[level]])</f>
        <v>29</v>
      </c>
    </row>
    <row r="90" spans="12:21" x14ac:dyDescent="0.25">
      <c r="L90" s="17"/>
      <c r="O90" s="3"/>
      <c r="P90" s="3"/>
      <c r="U90" s="18"/>
    </row>
    <row r="91" spans="12:21" x14ac:dyDescent="0.25">
      <c r="L91" s="19" t="s">
        <v>109</v>
      </c>
      <c r="M91" s="8" t="s">
        <v>110</v>
      </c>
      <c r="N91" s="8" t="s">
        <v>79</v>
      </c>
      <c r="O91" s="9" t="s">
        <v>117</v>
      </c>
      <c r="P91" s="9" t="s">
        <v>118</v>
      </c>
      <c r="U91" s="18"/>
    </row>
    <row r="92" spans="12:21" x14ac:dyDescent="0.25">
      <c r="L92" s="2" t="s">
        <v>40</v>
      </c>
      <c r="M92" s="2">
        <f>COUNTIF(Scenario4[winner1-ability2],AvengerAbilities2Scenario4[[#This Row],[ability]])+COUNTIF(Scenario4[loser1-ability2],AvengerAbilities2Scenario4[[#This Row],[ability]])+COUNTIF(Scenario4[loser2-ability2],AvengerAbilities2Scenario4[[#This Row],[ability]])+COUNTIF(Scenario4[loser3-ability2],AvengerAbilities2Scenario4[[#This Row],[ability]])</f>
        <v>31</v>
      </c>
      <c r="N92" s="2">
        <f>COUNTIF(Scenario4[winner1-ability2],AvengerAbilities2Scenario4[[#This Row],[ability]])</f>
        <v>12</v>
      </c>
      <c r="O92" s="12">
        <f>IF(SUM(AvengerAbilities2Scenario4[[#This Row],[takes]]) &gt; 0,AvengerAbilities2Scenario4[[#This Row],[takes]]/SUM(AvengerAbilities2Scenario4[takes]),0)</f>
        <v>0.91176470588235292</v>
      </c>
      <c r="P92" s="12">
        <f>IF(AvengerAbilities2Scenario4[[#This Row],[takes]]&gt;0,AvengerAbilities2Scenario4[[#This Row],[wins]]/AvengerAbilities2Scenario4[[#This Row],[takes]],0)</f>
        <v>0.38709677419354838</v>
      </c>
      <c r="U92" s="18"/>
    </row>
    <row r="93" spans="12:21" x14ac:dyDescent="0.25">
      <c r="L93" t="s">
        <v>70</v>
      </c>
      <c r="M93" s="2">
        <f>COUNTIF(Scenario4[winner1-ability2],AvengerAbilities2Scenario4[[#This Row],[ability]])+COUNTIF(Scenario4[loser1-ability2],AvengerAbilities2Scenario4[[#This Row],[ability]])+COUNTIF(Scenario4[loser2-ability2],AvengerAbilities2Scenario4[[#This Row],[ability]])+COUNTIF(Scenario4[loser3-ability2],AvengerAbilities2Scenario4[[#This Row],[ability]])</f>
        <v>0</v>
      </c>
      <c r="N93" s="2">
        <f>COUNTIF(Scenario4[winner1-ability2],AvengerAbilities2Scenario4[[#This Row],[ability]])</f>
        <v>0</v>
      </c>
      <c r="O93" s="3">
        <f>IF(SUM(AvengerAbilities2Scenario4[[#This Row],[takes]]) &gt; 0,AvengerAbilities2Scenario4[[#This Row],[takes]]/SUM(AvengerAbilities2Scenario4[takes]),0)</f>
        <v>0</v>
      </c>
      <c r="P93" s="3">
        <f>IF(AvengerAbilities2Scenario4[[#This Row],[takes]]&gt;0,AvengerAbilities2Scenario4[[#This Row],[wins]]/AvengerAbilities2Scenario4[[#This Row],[takes]],0)</f>
        <v>0</v>
      </c>
      <c r="U93" s="18"/>
    </row>
    <row r="94" spans="12:21" x14ac:dyDescent="0.25">
      <c r="L94" s="10" t="s">
        <v>96</v>
      </c>
      <c r="M94" s="2">
        <f>COUNTIF(Scenario4[winner1-ability2],AvengerAbilities2Scenario4[[#This Row],[ability]])+COUNTIF(Scenario4[loser1-ability2],AvengerAbilities2Scenario4[[#This Row],[ability]])+COUNTIF(Scenario4[loser2-ability2],AvengerAbilities2Scenario4[[#This Row],[ability]])+COUNTIF(Scenario4[loser3-ability2],AvengerAbilities2Scenario4[[#This Row],[ability]])</f>
        <v>3</v>
      </c>
      <c r="N94" s="2">
        <f>COUNTIF(Scenario4[winner1-ability2],AvengerAbilities2Scenario4[[#This Row],[ability]])</f>
        <v>2</v>
      </c>
      <c r="O94" s="13">
        <f>IF(SUM(AvengerAbilities2Scenario4[[#This Row],[takes]]) &gt; 0,AvengerAbilities2Scenario4[[#This Row],[takes]]/SUM(AvengerAbilities2Scenario4[takes]),0)</f>
        <v>8.8235294117647065E-2</v>
      </c>
      <c r="P94" s="13">
        <f>IF(AvengerAbilities2Scenario4[[#This Row],[takes]]&gt;0,AvengerAbilities2Scenario4[[#This Row],[wins]]/AvengerAbilities2Scenario4[[#This Row],[takes]],0)</f>
        <v>0.66666666666666663</v>
      </c>
      <c r="U94" s="18"/>
    </row>
    <row r="95" spans="12:21" x14ac:dyDescent="0.25">
      <c r="L95" s="17"/>
      <c r="O95" s="3"/>
      <c r="P95" s="3"/>
      <c r="U95" s="18"/>
    </row>
    <row r="96" spans="12:21" x14ac:dyDescent="0.25">
      <c r="L96" s="19" t="s">
        <v>109</v>
      </c>
      <c r="M96" s="8" t="s">
        <v>110</v>
      </c>
      <c r="N96" s="8" t="s">
        <v>79</v>
      </c>
      <c r="O96" s="9" t="s">
        <v>117</v>
      </c>
      <c r="P96" s="9" t="s">
        <v>118</v>
      </c>
      <c r="U96" s="18"/>
    </row>
    <row r="97" spans="12:21" x14ac:dyDescent="0.25">
      <c r="L97" s="1" t="s">
        <v>41</v>
      </c>
      <c r="M97" s="1">
        <f>COUNTIF(Scenario4[winner1-ability3],AvengerAbilities3Scenario4[[#This Row],[ability]])+COUNTIF(Scenario4[loser1-ability3],AvengerAbilities3Scenario4[[#This Row],[ability]])+COUNTIF(Scenario4[loser2-ability3],AvengerAbilities3Scenario4[[#This Row],[ability]])+COUNTIF(Scenario4[loser3-ability3],AvengerAbilities3Scenario4[[#This Row],[ability]])</f>
        <v>22</v>
      </c>
      <c r="N97" s="1">
        <f>COUNTIF(Scenario4[winner1-ability3],AvengerAbilities3Scenario4[[#This Row],[ability]])</f>
        <v>8</v>
      </c>
      <c r="O97" s="14">
        <f>IF(SUM(AvengerAbilities3Scenario4[[#This Row],[takes]]) &gt; 0,AvengerAbilities3Scenario4[[#This Row],[takes]]/SUM(AvengerAbilities3Scenario4[takes]),0)</f>
        <v>0.6470588235294118</v>
      </c>
      <c r="P97" s="14">
        <f>IF(AvengerAbilities3Scenario4[[#This Row],[takes]]&gt;0,AvengerAbilities3Scenario4[[#This Row],[wins]]/AvengerAbilities3Scenario4[[#This Row],[takes]],0)</f>
        <v>0.36363636363636365</v>
      </c>
      <c r="U97" s="18"/>
    </row>
    <row r="98" spans="12:21" x14ac:dyDescent="0.25">
      <c r="L98" s="2" t="s">
        <v>153</v>
      </c>
      <c r="M98" s="2">
        <f>COUNTIF(Scenario4[winner1-ability3],AvengerAbilities3Scenario4[[#This Row],[ability]])+COUNTIF(Scenario4[loser1-ability3],AvengerAbilities3Scenario4[[#This Row],[ability]])+COUNTIF(Scenario4[loser2-ability3],AvengerAbilities3Scenario4[[#This Row],[ability]])+COUNTIF(Scenario4[loser3-ability3],AvengerAbilities3Scenario4[[#This Row],[ability]])</f>
        <v>9</v>
      </c>
      <c r="N98" s="2">
        <f>COUNTIF(Scenario4[winner1-ability3],AvengerAbilities3Scenario4[[#This Row],[ability]])</f>
        <v>5</v>
      </c>
      <c r="O98" s="12">
        <f>IF(SUM(AvengerAbilities3Scenario4[[#This Row],[takes]]) &gt; 0,AvengerAbilities3Scenario4[[#This Row],[takes]]/SUM(AvengerAbilities3Scenario4[takes]),0)</f>
        <v>0.26470588235294118</v>
      </c>
      <c r="P98" s="12">
        <f>IF(AvengerAbilities3Scenario4[[#This Row],[takes]]&gt;0,AvengerAbilities3Scenario4[[#This Row],[wins]]/AvengerAbilities3Scenario4[[#This Row],[takes]],0)</f>
        <v>0.55555555555555558</v>
      </c>
      <c r="U98" s="18"/>
    </row>
    <row r="99" spans="12:21" x14ac:dyDescent="0.25">
      <c r="L99" s="11" t="s">
        <v>154</v>
      </c>
      <c r="M99" s="1">
        <f>COUNTIF(Scenario4[winner1-ability3],AvengerAbilities3Scenario4[[#This Row],[ability]])+COUNTIF(Scenario4[loser1-ability3],AvengerAbilities3Scenario4[[#This Row],[ability]])+COUNTIF(Scenario4[loser2-ability3],AvengerAbilities3Scenario4[[#This Row],[ability]])+COUNTIF(Scenario4[loser3-ability3],AvengerAbilities3Scenario4[[#This Row],[ability]])</f>
        <v>3</v>
      </c>
      <c r="N99" s="1">
        <f>COUNTIF(Scenario4[winner1-ability3],AvengerAbilities3Scenario4[[#This Row],[ability]])</f>
        <v>1</v>
      </c>
      <c r="O99" s="15">
        <f>IF(SUM(AvengerAbilities3Scenario4[[#This Row],[takes]]) &gt; 0,AvengerAbilities3Scenario4[[#This Row],[takes]]/SUM(AvengerAbilities3Scenario4[takes]),0)</f>
        <v>8.8235294117647065E-2</v>
      </c>
      <c r="P99" s="15">
        <f>IF(AvengerAbilities3Scenario4[[#This Row],[takes]]&gt;0,AvengerAbilities3Scenario4[[#This Row],[wins]]/AvengerAbilities3Scenario4[[#This Row],[takes]],0)</f>
        <v>0.33333333333333331</v>
      </c>
      <c r="U99" s="18"/>
    </row>
    <row r="100" spans="12:21" x14ac:dyDescent="0.25">
      <c r="L100" s="17"/>
      <c r="O100" s="3"/>
      <c r="P100" s="3"/>
      <c r="U100" s="18"/>
    </row>
    <row r="101" spans="12:21" x14ac:dyDescent="0.25">
      <c r="L101" s="19" t="s">
        <v>109</v>
      </c>
      <c r="M101" s="8" t="s">
        <v>110</v>
      </c>
      <c r="N101" s="8" t="s">
        <v>79</v>
      </c>
      <c r="O101" s="9" t="s">
        <v>117</v>
      </c>
      <c r="P101" s="9" t="s">
        <v>118</v>
      </c>
      <c r="U101" s="18"/>
    </row>
    <row r="102" spans="12:21" x14ac:dyDescent="0.25">
      <c r="L102" s="2" t="s">
        <v>155</v>
      </c>
      <c r="M102" s="2">
        <f>COUNTIF(Scenario4[winner1-ability4],AvengerAbilities4Scenario4[[#This Row],[ability]])+COUNTIF(Scenario4[loser1-ability4],AvengerAbilities4Scenario4[[#This Row],[ability]])+COUNTIF(Scenario4[loser2-ability4],AvengerAbilities4Scenario4[[#This Row],[ability]])+COUNTIF(Scenario4[loser3-ability4],AvengerAbilities4Scenario4[[#This Row],[ability]])</f>
        <v>3</v>
      </c>
      <c r="N102" s="2">
        <f>COUNTIF(Scenario4[winner1-ability4],AvengerAbilities4Scenario4[[#This Row],[ability]])</f>
        <v>0</v>
      </c>
      <c r="O102" s="12">
        <f>IF(SUM(AvengerAbilities4Scenario4[[#This Row],[takes]]) &gt; 0,AvengerAbilities4Scenario4[[#This Row],[takes]]/SUM(AvengerAbilities4Scenario4[takes]),0)</f>
        <v>9.6774193548387094E-2</v>
      </c>
      <c r="P102" s="12">
        <f>IF(AvengerAbilities4Scenario4[[#This Row],[takes]]&gt;0,AvengerAbilities4Scenario4[[#This Row],[wins]]/AvengerAbilities4Scenario4[[#This Row],[takes]],0)</f>
        <v>0</v>
      </c>
      <c r="U102" s="18"/>
    </row>
    <row r="103" spans="12:21" x14ac:dyDescent="0.25">
      <c r="L103" s="2" t="s">
        <v>156</v>
      </c>
      <c r="M103" s="2">
        <f>COUNTIF(Scenario4[winner1-ability4],AvengerAbilities4Scenario4[[#This Row],[ability]])+COUNTIF(Scenario4[loser1-ability4],AvengerAbilities4Scenario4[[#This Row],[ability]])+COUNTIF(Scenario4[loser2-ability4],AvengerAbilities4Scenario4[[#This Row],[ability]])+COUNTIF(Scenario4[loser3-ability4],AvengerAbilities4Scenario4[[#This Row],[ability]])</f>
        <v>28</v>
      </c>
      <c r="N103" s="2">
        <f>COUNTIF(Scenario4[winner1-ability4],AvengerAbilities4Scenario4[[#This Row],[ability]])</f>
        <v>14</v>
      </c>
      <c r="O103" s="12">
        <f>IF(SUM(AvengerAbilities4Scenario4[[#This Row],[takes]]) &gt; 0,AvengerAbilities4Scenario4[[#This Row],[takes]]/SUM(AvengerAbilities4Scenario4[takes]),0)</f>
        <v>0.90322580645161288</v>
      </c>
      <c r="P103" s="12">
        <f>IF(AvengerAbilities4Scenario4[[#This Row],[takes]]&gt;0,AvengerAbilities4Scenario4[[#This Row],[wins]]/AvengerAbilities4Scenario4[[#This Row],[takes]],0)</f>
        <v>0.5</v>
      </c>
      <c r="U103" s="18"/>
    </row>
    <row r="104" spans="12:21" ht="15.75" thickBot="1" x14ac:dyDescent="0.3">
      <c r="L104" s="10" t="s">
        <v>42</v>
      </c>
      <c r="M104" s="2">
        <f>COUNTIF(Scenario4[winner1-ability4],AvengerAbilities4Scenario4[[#This Row],[ability]])+COUNTIF(Scenario4[loser1-ability4],AvengerAbilities4Scenario4[[#This Row],[ability]])+COUNTIF(Scenario4[loser2-ability4],AvengerAbilities4Scenario4[[#This Row],[ability]])+COUNTIF(Scenario4[loser3-ability4],AvengerAbilities4Scenario4[[#This Row],[ability]])</f>
        <v>0</v>
      </c>
      <c r="N104" s="2">
        <f>COUNTIF(Scenario4[winner1-ability4],AvengerAbilities4Scenario4[[#This Row],[ability]])</f>
        <v>0</v>
      </c>
      <c r="O104" s="26">
        <f>IF(SUM(AvengerAbilities4Scenario4[[#This Row],[takes]]) &gt; 0,AvengerAbilities4Scenario4[[#This Row],[takes]]/SUM(AvengerAbilities4Scenario4[takes]),0)</f>
        <v>0</v>
      </c>
      <c r="P104" s="26">
        <f>IF(AvengerAbilities4Scenario4[[#This Row],[takes]]&gt;0,AvengerAbilities4Scenario4[[#This Row],[wins]]/AvengerAbilities4Scenario4[[#This Row],[takes]],0)</f>
        <v>0</v>
      </c>
      <c r="Q104" s="27"/>
      <c r="R104" s="27"/>
      <c r="S104" s="27"/>
      <c r="T104" s="27"/>
      <c r="U104" s="28"/>
    </row>
    <row r="105" spans="12:21" ht="15.75" thickBot="1" x14ac:dyDescent="0.3"/>
    <row r="106" spans="12:21" ht="15.75" thickBot="1" x14ac:dyDescent="0.3">
      <c r="L106" s="37" t="s">
        <v>220</v>
      </c>
      <c r="M106" s="38"/>
      <c r="N106" s="38"/>
      <c r="O106" s="38"/>
      <c r="P106" s="38"/>
      <c r="Q106" s="38"/>
      <c r="R106" s="38"/>
      <c r="S106" s="38"/>
      <c r="T106" s="38"/>
      <c r="U106" s="39"/>
    </row>
    <row r="107" spans="12:21" x14ac:dyDescent="0.25">
      <c r="L107" s="17" t="s">
        <v>109</v>
      </c>
      <c r="M107" t="s">
        <v>110</v>
      </c>
      <c r="N107" t="s">
        <v>79</v>
      </c>
      <c r="O107" s="3" t="s">
        <v>117</v>
      </c>
      <c r="P107" s="3" t="s">
        <v>118</v>
      </c>
      <c r="R107" t="s">
        <v>161</v>
      </c>
      <c r="S107" t="s">
        <v>171</v>
      </c>
      <c r="T107" t="s">
        <v>172</v>
      </c>
      <c r="U107" s="18" t="s">
        <v>164</v>
      </c>
    </row>
    <row r="108" spans="12:21" x14ac:dyDescent="0.25">
      <c r="L108" t="s">
        <v>67</v>
      </c>
      <c r="M108">
        <f>COUNTIF(Scenario5[winner1-ability1],AvengerAbilities1Scenario5[[#This Row],[ability]])+COUNTIF(Scenario5[winner2-ability1],AvengerAbilities1Scenario5[[#This Row],[ability]])+COUNTIF(Scenario5[loser1-ability1],AvengerAbilities1Scenario5[[#This Row],[ability]])+COUNTIF(Scenario5[loser2-ability1],AvengerAbilities1Scenario5[[#This Row],[ability]])</f>
        <v>36</v>
      </c>
      <c r="N108">
        <f>COUNTIF(Scenario5[winner1-ability1],AvengerAbilities1Scenario5[[#This Row],[ability]])+COUNTIF(Scenario5[winner2-ability1],AvengerAbilities1Scenario5[[#This Row],[ability]])</f>
        <v>25</v>
      </c>
      <c r="O108" s="3">
        <f>IF(SUM(AvengerAbilities1Scenario5[[#This Row],[takes]]) &gt; 0,AvengerAbilities1Scenario5[[#This Row],[takes]]/SUM(AvengerAbilities1Scenario5[takes]),0)</f>
        <v>0.34285714285714286</v>
      </c>
      <c r="P108" s="3">
        <f>IF(AvengerAbilities1Scenario5[[#This Row],[takes]]&gt;0,AvengerAbilities1Scenario5[[#This Row],[wins]]/AvengerAbilities1Scenario5[[#This Row],[takes]],0)</f>
        <v>0.69444444444444442</v>
      </c>
      <c r="R108">
        <v>1</v>
      </c>
      <c r="S108">
        <f>COUNTIFS(Scenario5[winner1],"avenger",Scenario5[winner1-pw],AvengerEquipScenario5[[#This Row],[level]])+COUNTIFS(Scenario5[winner2],"avenger",Scenario5[winner2-pw],AvengerEquipScenario5[[#This Row],[level]])+COUNTIFS(Scenario5[loser1],"avenger",Scenario5[loser1-pw],AvengerEquipScenario5[[#This Row],[level]])+COUNTIFS(Scenario5[loser2],"avenger",Scenario5[loser2-pw],AvengerEquipScenario5[[#This Row],[level]])</f>
        <v>38</v>
      </c>
      <c r="T108">
        <f>COUNTIFS(Scenario5[winner1],"avenger",Scenario5[winner1-sw],AvengerEquipScenario5[[#This Row],[level]])+COUNTIFS(Scenario5[winner2],"avenger",Scenario5[winner2-sw],AvengerEquipScenario5[[#This Row],[level]])+COUNTIFS(Scenario5[loser1],"avenger",Scenario5[loser1-sw],AvengerEquipScenario5[[#This Row],[level]])+COUNTIFS(Scenario5[loser2],"avenger",Scenario5[loser2-sw],AvengerEquipScenario5[[#This Row],[level]])</f>
        <v>71</v>
      </c>
      <c r="U108" s="18">
        <f>COUNTIFS(Scenario5[winner1],"avenger",Scenario5[winner1-cp],AvengerEquipScenario5[[#This Row],[level]])+COUNTIFS(Scenario5[winner2],"avenger",Scenario5[winner2-cp],AvengerEquipScenario5[[#This Row],[level]])+COUNTIFS(Scenario5[loser1],"avenger",Scenario5[loser1-cp],AvengerEquipScenario5[[#This Row],[level]])+COUNTIFS(Scenario5[loser2],"avenger",Scenario5[loser2-cp],AvengerEquipScenario5[[#This Row],[level]])</f>
        <v>27</v>
      </c>
    </row>
    <row r="109" spans="12:21" x14ac:dyDescent="0.25">
      <c r="L109" t="s">
        <v>152</v>
      </c>
      <c r="M109">
        <f>COUNTIF(Scenario5[winner1-ability1],AvengerAbilities1Scenario5[[#This Row],[ability]])+COUNTIF(Scenario5[winner2-ability1],AvengerAbilities1Scenario5[[#This Row],[ability]])+COUNTIF(Scenario5[loser1-ability1],AvengerAbilities1Scenario5[[#This Row],[ability]])+COUNTIF(Scenario5[loser2-ability1],AvengerAbilities1Scenario5[[#This Row],[ability]])</f>
        <v>20</v>
      </c>
      <c r="N109">
        <f>COUNTIF(Scenario5[winner1-ability1],AvengerAbilities1Scenario5[[#This Row],[ability]])+COUNTIF(Scenario5[winner2-ability1],AvengerAbilities1Scenario5[[#This Row],[ability]])</f>
        <v>7</v>
      </c>
      <c r="O109" s="3">
        <f>IF(SUM(AvengerAbilities1Scenario5[[#This Row],[takes]]) &gt; 0,AvengerAbilities1Scenario5[[#This Row],[takes]]/SUM(AvengerAbilities1Scenario5[takes]),0)</f>
        <v>0.19047619047619047</v>
      </c>
      <c r="P109" s="3">
        <f>IF(AvengerAbilities1Scenario5[[#This Row],[takes]]&gt;0,AvengerAbilities1Scenario5[[#This Row],[wins]]/AvengerAbilities1Scenario5[[#This Row],[takes]],0)</f>
        <v>0.35</v>
      </c>
      <c r="R109">
        <v>2</v>
      </c>
      <c r="S109">
        <f>COUNTIFS(Scenario5[winner1],"avenger",Scenario5[winner1-pw],AvengerEquipScenario5[[#This Row],[level]])+COUNTIFS(Scenario5[winner2],"avenger",Scenario5[winner2-pw],AvengerEquipScenario5[[#This Row],[level]])+COUNTIFS(Scenario5[loser1],"avenger",Scenario5[loser1-pw],AvengerEquipScenario5[[#This Row],[level]])+COUNTIFS(Scenario5[loser2],"avenger",Scenario5[loser2-pw],AvengerEquipScenario5[[#This Row],[level]])</f>
        <v>18</v>
      </c>
      <c r="T109">
        <f>COUNTIFS(Scenario5[winner1],"avenger",Scenario5[winner1-sw],AvengerEquipScenario5[[#This Row],[level]])+COUNTIFS(Scenario5[winner2],"avenger",Scenario5[winner2-sw],AvengerEquipScenario5[[#This Row],[level]])+COUNTIFS(Scenario5[loser1],"avenger",Scenario5[loser1-sw],AvengerEquipScenario5[[#This Row],[level]])+COUNTIFS(Scenario5[loser2],"avenger",Scenario5[loser2-sw],AvengerEquipScenario5[[#This Row],[level]])</f>
        <v>24</v>
      </c>
      <c r="U109" s="18">
        <f>COUNTIFS(Scenario5[winner1],"avenger",Scenario5[winner1-cp],AvengerEquipScenario5[[#This Row],[level]])+COUNTIFS(Scenario5[winner2],"avenger",Scenario5[winner2-cp],AvengerEquipScenario5[[#This Row],[level]])+COUNTIFS(Scenario5[loser1],"avenger",Scenario5[loser1-cp],AvengerEquipScenario5[[#This Row],[level]])+COUNTIFS(Scenario5[loser2],"avenger",Scenario5[loser2-cp],AvengerEquipScenario5[[#This Row],[level]])</f>
        <v>63</v>
      </c>
    </row>
    <row r="110" spans="12:21" x14ac:dyDescent="0.25">
      <c r="L110" t="s">
        <v>39</v>
      </c>
      <c r="M110">
        <f>COUNTIF(Scenario5[winner1-ability1],AvengerAbilities1Scenario5[[#This Row],[ability]])+COUNTIF(Scenario5[winner2-ability1],AvengerAbilities1Scenario5[[#This Row],[ability]])+COUNTIF(Scenario5[loser1-ability1],AvengerAbilities1Scenario5[[#This Row],[ability]])+COUNTIF(Scenario5[loser2-ability1],AvengerAbilities1Scenario5[[#This Row],[ability]])</f>
        <v>49</v>
      </c>
      <c r="N110">
        <f>COUNTIF(Scenario5[winner1-ability1],AvengerAbilities1Scenario5[[#This Row],[ability]])+COUNTIF(Scenario5[winner2-ability1],AvengerAbilities1Scenario5[[#This Row],[ability]])</f>
        <v>22</v>
      </c>
      <c r="O110" s="3">
        <f>IF(SUM(AvengerAbilities1Scenario5[[#This Row],[takes]]) &gt; 0,AvengerAbilities1Scenario5[[#This Row],[takes]]/SUM(AvengerAbilities1Scenario5[takes]),0)</f>
        <v>0.46666666666666667</v>
      </c>
      <c r="P110" s="3">
        <f>IF(AvengerAbilities1Scenario5[[#This Row],[takes]]&gt;0,AvengerAbilities1Scenario5[[#This Row],[wins]]/AvengerAbilities1Scenario5[[#This Row],[takes]],0)</f>
        <v>0.44897959183673469</v>
      </c>
      <c r="R110">
        <v>3</v>
      </c>
      <c r="S110">
        <f>COUNTIFS(Scenario5[winner1],"avenger",Scenario5[winner1-pw],AvengerEquipScenario5[[#This Row],[level]])+COUNTIFS(Scenario5[winner2],"avenger",Scenario5[winner2-pw],AvengerEquipScenario5[[#This Row],[level]])+COUNTIFS(Scenario5[loser1],"avenger",Scenario5[loser1-pw],AvengerEquipScenario5[[#This Row],[level]])+COUNTIFS(Scenario5[loser2],"avenger",Scenario5[loser2-pw],AvengerEquipScenario5[[#This Row],[level]])</f>
        <v>49</v>
      </c>
      <c r="T110">
        <f>COUNTIFS(Scenario5[winner1],"avenger",Scenario5[winner1-sw],AvengerEquipScenario5[[#This Row],[level]])+COUNTIFS(Scenario5[winner2],"avenger",Scenario5[winner2-sw],AvengerEquipScenario5[[#This Row],[level]])+COUNTIFS(Scenario5[loser1],"avenger",Scenario5[loser1-sw],AvengerEquipScenario5[[#This Row],[level]])+COUNTIFS(Scenario5[loser2],"avenger",Scenario5[loser2-sw],AvengerEquipScenario5[[#This Row],[level]])</f>
        <v>10</v>
      </c>
      <c r="U110" s="18">
        <f>COUNTIFS(Scenario5[winner1],"avenger",Scenario5[winner1-cp],AvengerEquipScenario5[[#This Row],[level]])+COUNTIFS(Scenario5[winner2],"avenger",Scenario5[winner2-cp],AvengerEquipScenario5[[#This Row],[level]])+COUNTIFS(Scenario5[loser1],"avenger",Scenario5[loser1-cp],AvengerEquipScenario5[[#This Row],[level]])+COUNTIFS(Scenario5[loser2],"avenger",Scenario5[loser2-cp],AvengerEquipScenario5[[#This Row],[level]])</f>
        <v>15</v>
      </c>
    </row>
    <row r="111" spans="12:21" x14ac:dyDescent="0.25">
      <c r="L111" s="17"/>
      <c r="O111" s="3"/>
      <c r="P111" s="3"/>
      <c r="U111" s="18"/>
    </row>
    <row r="112" spans="12:21" x14ac:dyDescent="0.25">
      <c r="L112" s="19" t="s">
        <v>109</v>
      </c>
      <c r="M112" s="8" t="s">
        <v>110</v>
      </c>
      <c r="N112" s="8" t="s">
        <v>79</v>
      </c>
      <c r="O112" s="9" t="s">
        <v>117</v>
      </c>
      <c r="P112" s="9" t="s">
        <v>118</v>
      </c>
      <c r="U112" s="18"/>
    </row>
    <row r="113" spans="12:21" x14ac:dyDescent="0.25">
      <c r="L113" s="2" t="s">
        <v>40</v>
      </c>
      <c r="M113" s="2">
        <f>COUNTIF(Scenario5[winner1-ability2],AvengerAbilities2Scenario5[[#This Row],[ability]])+COUNTIF(Scenario5[winner2-ability2],AvengerAbilities2Scenario5[[#This Row],[ability]])+COUNTIF(Scenario5[loser1-ability2],AvengerAbilities2Scenario5[[#This Row],[ability]])+COUNTIF(Scenario5[loser2-ability2],AvengerAbilities2Scenario5[[#This Row],[ability]])</f>
        <v>41</v>
      </c>
      <c r="N113" s="2">
        <f>COUNTIF(Scenario5[winner1-ability2],AvengerAbilities2Scenario5[[#This Row],[ability]])+COUNTIF(Scenario5[winner2-ability2],AvengerAbilities2Scenario5[[#This Row],[ability]])</f>
        <v>21</v>
      </c>
      <c r="O113" s="12">
        <f>IF(SUM(AvengerAbilities2Scenario5[[#This Row],[takes]]) &gt; 0,AvengerAbilities2Scenario5[[#This Row],[takes]]/SUM(AvengerAbilities2Scenario5[takes]),0)</f>
        <v>0.47126436781609193</v>
      </c>
      <c r="P113" s="12">
        <f>IF(AvengerAbilities2Scenario5[[#This Row],[takes]]&gt;0,AvengerAbilities2Scenario5[[#This Row],[wins]]/AvengerAbilities2Scenario5[[#This Row],[takes]],0)</f>
        <v>0.51219512195121952</v>
      </c>
      <c r="U113" s="18"/>
    </row>
    <row r="114" spans="12:21" x14ac:dyDescent="0.25">
      <c r="L114" t="s">
        <v>70</v>
      </c>
      <c r="M114" s="2">
        <f>COUNTIF(Scenario5[winner1-ability2],AvengerAbilities2Scenario5[[#This Row],[ability]])+COUNTIF(Scenario5[winner2-ability2],AvengerAbilities2Scenario5[[#This Row],[ability]])+COUNTIF(Scenario5[loser1-ability2],AvengerAbilities2Scenario5[[#This Row],[ability]])+COUNTIF(Scenario5[loser2-ability2],AvengerAbilities2Scenario5[[#This Row],[ability]])</f>
        <v>3</v>
      </c>
      <c r="N114" s="2">
        <f>COUNTIF(Scenario5[winner1-ability2],AvengerAbilities2Scenario5[[#This Row],[ability]])+COUNTIF(Scenario5[winner2-ability2],AvengerAbilities2Scenario5[[#This Row],[ability]])</f>
        <v>3</v>
      </c>
      <c r="O114" s="3">
        <f>IF(SUM(AvengerAbilities2Scenario5[[#This Row],[takes]]) &gt; 0,AvengerAbilities2Scenario5[[#This Row],[takes]]/SUM(AvengerAbilities2Scenario5[takes]),0)</f>
        <v>3.4482758620689655E-2</v>
      </c>
      <c r="P114" s="3">
        <f>IF(AvengerAbilities2Scenario5[[#This Row],[takes]]&gt;0,AvengerAbilities2Scenario5[[#This Row],[wins]]/AvengerAbilities2Scenario5[[#This Row],[takes]],0)</f>
        <v>1</v>
      </c>
      <c r="U114" s="18"/>
    </row>
    <row r="115" spans="12:21" x14ac:dyDescent="0.25">
      <c r="L115" s="10" t="s">
        <v>96</v>
      </c>
      <c r="M115" s="2">
        <f>COUNTIF(Scenario5[winner1-ability2],AvengerAbilities2Scenario5[[#This Row],[ability]])+COUNTIF(Scenario5[winner2-ability2],AvengerAbilities2Scenario5[[#This Row],[ability]])+COUNTIF(Scenario5[loser1-ability2],AvengerAbilities2Scenario5[[#This Row],[ability]])+COUNTIF(Scenario5[loser2-ability2],AvengerAbilities2Scenario5[[#This Row],[ability]])</f>
        <v>43</v>
      </c>
      <c r="N115" s="2">
        <f>COUNTIF(Scenario5[winner1-ability2],AvengerAbilities2Scenario5[[#This Row],[ability]])+COUNTIF(Scenario5[winner2-ability2],AvengerAbilities2Scenario5[[#This Row],[ability]])</f>
        <v>26</v>
      </c>
      <c r="O115" s="13">
        <f>IF(SUM(AvengerAbilities2Scenario5[[#This Row],[takes]]) &gt; 0,AvengerAbilities2Scenario5[[#This Row],[takes]]/SUM(AvengerAbilities2Scenario5[takes]),0)</f>
        <v>0.4942528735632184</v>
      </c>
      <c r="P115" s="13">
        <f>IF(AvengerAbilities2Scenario5[[#This Row],[takes]]&gt;0,AvengerAbilities2Scenario5[[#This Row],[wins]]/AvengerAbilities2Scenario5[[#This Row],[takes]],0)</f>
        <v>0.60465116279069764</v>
      </c>
      <c r="U115" s="18"/>
    </row>
    <row r="116" spans="12:21" x14ac:dyDescent="0.25">
      <c r="L116" s="17"/>
      <c r="O116" s="3"/>
      <c r="P116" s="3"/>
      <c r="U116" s="18"/>
    </row>
    <row r="117" spans="12:21" x14ac:dyDescent="0.25">
      <c r="L117" s="19" t="s">
        <v>109</v>
      </c>
      <c r="M117" s="8" t="s">
        <v>110</v>
      </c>
      <c r="N117" s="8" t="s">
        <v>79</v>
      </c>
      <c r="O117" s="9" t="s">
        <v>117</v>
      </c>
      <c r="P117" s="9" t="s">
        <v>118</v>
      </c>
      <c r="U117" s="18"/>
    </row>
    <row r="118" spans="12:21" x14ac:dyDescent="0.25">
      <c r="L118" s="1" t="s">
        <v>41</v>
      </c>
      <c r="M118" s="1">
        <f>COUNTIF(Scenario5[winner1-ability3],AvengerAbilities3Scenario5[[#This Row],[ability]])+COUNTIF(Scenario5[winner2-ability3],AvengerAbilities3Scenario5[[#This Row],[ability]])+COUNTIF(Scenario5[loser1-ability3],AvengerAbilities3Scenario5[[#This Row],[ability]])+COUNTIF(Scenario5[loser2-ability3],AvengerAbilities3Scenario5[[#This Row],[ability]])</f>
        <v>28</v>
      </c>
      <c r="N118" s="1">
        <f>COUNTIF(Scenario5[winner1-ability3],AvengerAbilities3Scenario5[[#This Row],[ability]])+COUNTIF(Scenario5[winner2-ability3],AvengerAbilities3Scenario5[[#This Row],[ability]])</f>
        <v>15</v>
      </c>
      <c r="O118" s="14">
        <f>IF(SUM(AvengerAbilities3Scenario5[[#This Row],[takes]]) &gt; 0,AvengerAbilities3Scenario5[[#This Row],[takes]]/SUM(AvengerAbilities3Scenario5[takes]),0)</f>
        <v>0.47457627118644069</v>
      </c>
      <c r="P118" s="14">
        <f>IF(AvengerAbilities3Scenario5[[#This Row],[takes]]&gt;0,AvengerAbilities3Scenario5[[#This Row],[wins]]/AvengerAbilities3Scenario5[[#This Row],[takes]],0)</f>
        <v>0.5357142857142857</v>
      </c>
      <c r="U118" s="18"/>
    </row>
    <row r="119" spans="12:21" x14ac:dyDescent="0.25">
      <c r="L119" s="2" t="s">
        <v>153</v>
      </c>
      <c r="M119" s="2">
        <f>COUNTIF(Scenario5[winner1-ability3],AvengerAbilities3Scenario5[[#This Row],[ability]])+COUNTIF(Scenario5[winner2-ability3],AvengerAbilities3Scenario5[[#This Row],[ability]])+COUNTIF(Scenario5[loser1-ability3],AvengerAbilities3Scenario5[[#This Row],[ability]])+COUNTIF(Scenario5[loser2-ability3],AvengerAbilities3Scenario5[[#This Row],[ability]])</f>
        <v>7</v>
      </c>
      <c r="N119" s="2">
        <f>COUNTIF(Scenario5[winner1-ability3],AvengerAbilities3Scenario5[[#This Row],[ability]])+COUNTIF(Scenario5[winner2-ability3],AvengerAbilities3Scenario5[[#This Row],[ability]])</f>
        <v>2</v>
      </c>
      <c r="O119" s="12">
        <f>IF(SUM(AvengerAbilities3Scenario5[[#This Row],[takes]]) &gt; 0,AvengerAbilities3Scenario5[[#This Row],[takes]]/SUM(AvengerAbilities3Scenario5[takes]),0)</f>
        <v>0.11864406779661017</v>
      </c>
      <c r="P119" s="12">
        <f>IF(AvengerAbilities3Scenario5[[#This Row],[takes]]&gt;0,AvengerAbilities3Scenario5[[#This Row],[wins]]/AvengerAbilities3Scenario5[[#This Row],[takes]],0)</f>
        <v>0.2857142857142857</v>
      </c>
      <c r="U119" s="18"/>
    </row>
    <row r="120" spans="12:21" x14ac:dyDescent="0.25">
      <c r="L120" s="11" t="s">
        <v>154</v>
      </c>
      <c r="M120" s="1">
        <f>COUNTIF(Scenario5[winner1-ability3],AvengerAbilities3Scenario5[[#This Row],[ability]])+COUNTIF(Scenario5[winner2-ability3],AvengerAbilities3Scenario5[[#This Row],[ability]])+COUNTIF(Scenario5[loser1-ability3],AvengerAbilities3Scenario5[[#This Row],[ability]])+COUNTIF(Scenario5[loser2-ability3],AvengerAbilities3Scenario5[[#This Row],[ability]])</f>
        <v>24</v>
      </c>
      <c r="N120" s="1">
        <f>COUNTIF(Scenario5[winner1-ability3],AvengerAbilities3Scenario5[[#This Row],[ability]])+COUNTIF(Scenario5[winner2-ability3],AvengerAbilities3Scenario5[[#This Row],[ability]])</f>
        <v>18</v>
      </c>
      <c r="O120" s="15">
        <f>IF(SUM(AvengerAbilities3Scenario5[[#This Row],[takes]]) &gt; 0,AvengerAbilities3Scenario5[[#This Row],[takes]]/SUM(AvengerAbilities3Scenario5[takes]),0)</f>
        <v>0.40677966101694918</v>
      </c>
      <c r="P120" s="15">
        <f>IF(AvengerAbilities3Scenario5[[#This Row],[takes]]&gt;0,AvengerAbilities3Scenario5[[#This Row],[wins]]/AvengerAbilities3Scenario5[[#This Row],[takes]],0)</f>
        <v>0.75</v>
      </c>
      <c r="U120" s="18"/>
    </row>
    <row r="121" spans="12:21" x14ac:dyDescent="0.25">
      <c r="L121" s="17"/>
      <c r="O121" s="3"/>
      <c r="P121" s="3"/>
      <c r="U121" s="18"/>
    </row>
    <row r="122" spans="12:21" x14ac:dyDescent="0.25">
      <c r="L122" s="19" t="s">
        <v>109</v>
      </c>
      <c r="M122" s="8" t="s">
        <v>110</v>
      </c>
      <c r="N122" s="8" t="s">
        <v>79</v>
      </c>
      <c r="O122" s="9" t="s">
        <v>117</v>
      </c>
      <c r="P122" s="9" t="s">
        <v>118</v>
      </c>
      <c r="U122" s="18"/>
    </row>
    <row r="123" spans="12:21" x14ac:dyDescent="0.25">
      <c r="L123" s="2" t="s">
        <v>155</v>
      </c>
      <c r="M123" s="2">
        <f>COUNTIF(Scenario5[winner1-ability4],AvengerAbilities4Scenario5[[#This Row],[ability]])+COUNTIF(Scenario5[winner2-ability4],AvengerAbilities4Scenario5[[#This Row],[ability]])+COUNTIF(Scenario5[loser1-ability4],AvengerAbilities4Scenario5[[#This Row],[ability]])+COUNTIF(Scenario5[loser2-ability4],AvengerAbilities4Scenario5[[#This Row],[ability]])</f>
        <v>12</v>
      </c>
      <c r="N123" s="2">
        <f>COUNTIF(Scenario5[winner1-ability4],AvengerAbilities4Scenario5[[#This Row],[ability]])+COUNTIF(Scenario5[winner2-ability4],AvengerAbilities4Scenario5[[#This Row],[ability]])</f>
        <v>5</v>
      </c>
      <c r="O123" s="12">
        <f>IF(SUM(AvengerAbilities4Scenario5[[#This Row],[takes]]) &gt; 0,AvengerAbilities4Scenario5[[#This Row],[takes]]/SUM(AvengerAbilities4Scenario5[takes]),0)</f>
        <v>0.34285714285714286</v>
      </c>
      <c r="P123" s="12">
        <f>IF(AvengerAbilities4Scenario5[[#This Row],[takes]]&gt;0,AvengerAbilities4Scenario5[[#This Row],[wins]]/AvengerAbilities4Scenario5[[#This Row],[takes]],0)</f>
        <v>0.41666666666666669</v>
      </c>
      <c r="U123" s="18"/>
    </row>
    <row r="124" spans="12:21" x14ac:dyDescent="0.25">
      <c r="L124" s="2" t="s">
        <v>156</v>
      </c>
      <c r="M124" s="2">
        <f>COUNTIF(Scenario5[winner1-ability4],AvengerAbilities4Scenario5[[#This Row],[ability]])+COUNTIF(Scenario5[winner2-ability4],AvengerAbilities4Scenario5[[#This Row],[ability]])+COUNTIF(Scenario5[loser1-ability4],AvengerAbilities4Scenario5[[#This Row],[ability]])+COUNTIF(Scenario5[loser2-ability4],AvengerAbilities4Scenario5[[#This Row],[ability]])</f>
        <v>17</v>
      </c>
      <c r="N124" s="2">
        <f>COUNTIF(Scenario5[winner1-ability4],AvengerAbilities4Scenario5[[#This Row],[ability]])+COUNTIF(Scenario5[winner2-ability4],AvengerAbilities4Scenario5[[#This Row],[ability]])</f>
        <v>10</v>
      </c>
      <c r="O124" s="12">
        <f>IF(SUM(AvengerAbilities4Scenario5[[#This Row],[takes]]) &gt; 0,AvengerAbilities4Scenario5[[#This Row],[takes]]/SUM(AvengerAbilities4Scenario5[takes]),0)</f>
        <v>0.48571428571428571</v>
      </c>
      <c r="P124" s="12">
        <f>IF(AvengerAbilities4Scenario5[[#This Row],[takes]]&gt;0,AvengerAbilities4Scenario5[[#This Row],[wins]]/AvengerAbilities4Scenario5[[#This Row],[takes]],0)</f>
        <v>0.58823529411764708</v>
      </c>
      <c r="U124" s="18"/>
    </row>
    <row r="125" spans="12:21" ht="15.75" thickBot="1" x14ac:dyDescent="0.3">
      <c r="L125" s="10" t="s">
        <v>42</v>
      </c>
      <c r="M125" s="2">
        <f>COUNTIF(Scenario5[winner1-ability4],AvengerAbilities4Scenario5[[#This Row],[ability]])+COUNTIF(Scenario5[winner2-ability4],AvengerAbilities4Scenario5[[#This Row],[ability]])+COUNTIF(Scenario5[loser1-ability4],AvengerAbilities4Scenario5[[#This Row],[ability]])+COUNTIF(Scenario5[loser2-ability4],AvengerAbilities4Scenario5[[#This Row],[ability]])</f>
        <v>6</v>
      </c>
      <c r="N125" s="2">
        <f>COUNTIF(Scenario5[winner1-ability4],AvengerAbilities4Scenario5[[#This Row],[ability]])+COUNTIF(Scenario5[winner2-ability4],AvengerAbilities4Scenario5[[#This Row],[ability]])</f>
        <v>3</v>
      </c>
      <c r="O125" s="26">
        <f>IF(SUM(AvengerAbilities4Scenario5[[#This Row],[takes]]) &gt; 0,AvengerAbilities4Scenario5[[#This Row],[takes]]/SUM(AvengerAbilities4Scenario5[takes]),0)</f>
        <v>0.17142857142857143</v>
      </c>
      <c r="P125" s="26">
        <f>IF(AvengerAbilities4Scenario5[[#This Row],[takes]]&gt;0,AvengerAbilities4Scenario5[[#This Row],[wins]]/AvengerAbilities4Scenario5[[#This Row],[takes]],0)</f>
        <v>0.5</v>
      </c>
      <c r="Q125" s="27"/>
      <c r="R125" s="27"/>
      <c r="S125" s="27"/>
      <c r="T125" s="27"/>
      <c r="U125" s="28"/>
    </row>
  </sheetData>
  <mergeCells count="7">
    <mergeCell ref="L106:U106"/>
    <mergeCell ref="L85:U85"/>
    <mergeCell ref="A1:J1"/>
    <mergeCell ref="L1:U1"/>
    <mergeCell ref="L22:U22"/>
    <mergeCell ref="L43:U43"/>
    <mergeCell ref="L64:U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02A4-1B7E-462F-A7A0-BC39936C76A9}">
  <dimension ref="A1:AV211"/>
  <sheetViews>
    <sheetView topLeftCell="A196" workbookViewId="0">
      <selection activeCell="K108" sqref="K108"/>
    </sheetView>
  </sheetViews>
  <sheetFormatPr defaultRowHeight="15" x14ac:dyDescent="0.25"/>
  <cols>
    <col min="1" max="1" width="38" bestFit="1" customWidth="1"/>
    <col min="2" max="2" width="8.28515625" bestFit="1" customWidth="1"/>
    <col min="3" max="3" width="11.42578125" bestFit="1" customWidth="1"/>
    <col min="4" max="4" width="13" hidden="1" customWidth="1"/>
    <col min="5" max="5" width="12.7109375" hidden="1" customWidth="1"/>
    <col min="6" max="6" width="12.42578125" hidden="1" customWidth="1"/>
    <col min="7" max="7" width="17.140625" hidden="1" customWidth="1"/>
    <col min="8" max="10" width="16.5703125" hidden="1" customWidth="1"/>
    <col min="11" max="11" width="11.42578125" bestFit="1" customWidth="1"/>
    <col min="12" max="12" width="14" hidden="1" customWidth="1"/>
    <col min="13" max="13" width="13.7109375" hidden="1" customWidth="1"/>
    <col min="14" max="14" width="13.28515625" hidden="1" customWidth="1"/>
    <col min="15" max="15" width="18" hidden="1" customWidth="1"/>
    <col min="16" max="16" width="18.28515625" hidden="1" customWidth="1"/>
    <col min="17" max="18" width="18" hidden="1" customWidth="1"/>
    <col min="19" max="19" width="11.42578125" bestFit="1" customWidth="1"/>
    <col min="20" max="20" width="14" hidden="1" customWidth="1"/>
    <col min="21" max="21" width="13.7109375" hidden="1" customWidth="1"/>
    <col min="22" max="22" width="13.28515625" hidden="1" customWidth="1"/>
    <col min="23" max="23" width="18.42578125" hidden="1" customWidth="1"/>
    <col min="24" max="24" width="18.7109375" hidden="1" customWidth="1"/>
    <col min="25" max="25" width="18" hidden="1" customWidth="1"/>
    <col min="26" max="26" width="18.42578125" hidden="1" customWidth="1"/>
    <col min="27" max="27" width="11.42578125" bestFit="1" customWidth="1"/>
    <col min="28" max="28" width="12.140625" hidden="1" customWidth="1"/>
    <col min="29" max="29" width="11.85546875" hidden="1" customWidth="1"/>
    <col min="30" max="30" width="11.42578125" hidden="1" customWidth="1"/>
    <col min="31" max="31" width="16.140625" hidden="1" customWidth="1"/>
    <col min="32" max="32" width="18.85546875" hidden="1" customWidth="1"/>
    <col min="33" max="34" width="16.140625" hidden="1" customWidth="1"/>
    <col min="35" max="35" width="9.85546875" bestFit="1" customWidth="1"/>
    <col min="36" max="36" width="7.85546875" bestFit="1" customWidth="1"/>
    <col min="37" max="38" width="16.140625" customWidth="1"/>
    <col min="39" max="39" width="19.42578125" customWidth="1"/>
    <col min="40" max="40" width="16.140625" customWidth="1"/>
    <col min="41" max="41" width="11.42578125" bestFit="1" customWidth="1"/>
    <col min="42" max="42" width="12.140625" customWidth="1"/>
    <col min="43" max="43" width="11.85546875" hidden="1" customWidth="1"/>
    <col min="44" max="44" width="11.42578125" hidden="1" customWidth="1"/>
    <col min="45" max="45" width="16.140625" hidden="1" customWidth="1"/>
    <col min="46" max="46" width="19.140625" hidden="1" customWidth="1"/>
    <col min="47" max="47" width="16.140625" hidden="1" customWidth="1"/>
    <col min="48" max="48" width="19.85546875" hidden="1" customWidth="1"/>
    <col min="49" max="49" width="9.85546875" bestFit="1" customWidth="1"/>
    <col min="50" max="50" width="7.85546875" bestFit="1" customWidth="1"/>
    <col min="51" max="51" width="12.7109375" bestFit="1" customWidth="1"/>
    <col min="52" max="52" width="9" bestFit="1" customWidth="1"/>
  </cols>
  <sheetData>
    <row r="1" spans="1:36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119</v>
      </c>
      <c r="AG1" t="s">
        <v>30</v>
      </c>
      <c r="AH1" t="s">
        <v>31</v>
      </c>
      <c r="AI1" t="s">
        <v>64</v>
      </c>
      <c r="AJ1" t="s">
        <v>32</v>
      </c>
    </row>
    <row r="2" spans="1:36" x14ac:dyDescent="0.25">
      <c r="A2" t="s">
        <v>798</v>
      </c>
      <c r="B2">
        <v>0</v>
      </c>
      <c r="C2" t="s">
        <v>53</v>
      </c>
      <c r="D2">
        <v>2</v>
      </c>
      <c r="E2">
        <v>1</v>
      </c>
      <c r="F2">
        <v>1</v>
      </c>
      <c r="G2" t="s">
        <v>111</v>
      </c>
      <c r="H2" t="s">
        <v>113</v>
      </c>
      <c r="K2" t="s">
        <v>56</v>
      </c>
      <c r="L2">
        <v>2</v>
      </c>
      <c r="N2">
        <v>3</v>
      </c>
      <c r="O2" t="s">
        <v>68</v>
      </c>
      <c r="S2" t="s">
        <v>48</v>
      </c>
      <c r="T2">
        <v>2</v>
      </c>
      <c r="V2">
        <v>2</v>
      </c>
      <c r="W2" t="s">
        <v>89</v>
      </c>
      <c r="AA2" t="s">
        <v>33</v>
      </c>
      <c r="AB2">
        <v>1</v>
      </c>
      <c r="AD2">
        <v>3</v>
      </c>
      <c r="AE2" t="s">
        <v>46</v>
      </c>
      <c r="AF2" t="s">
        <v>66</v>
      </c>
      <c r="AI2">
        <v>10</v>
      </c>
      <c r="AJ2">
        <v>30</v>
      </c>
    </row>
    <row r="3" spans="1:36" x14ac:dyDescent="0.25">
      <c r="A3" t="s">
        <v>799</v>
      </c>
      <c r="B3">
        <v>1</v>
      </c>
      <c r="C3" t="s">
        <v>48</v>
      </c>
      <c r="D3">
        <v>3</v>
      </c>
      <c r="F3">
        <v>1</v>
      </c>
      <c r="G3" t="s">
        <v>89</v>
      </c>
      <c r="K3" t="s">
        <v>43</v>
      </c>
      <c r="L3">
        <v>3</v>
      </c>
      <c r="N3">
        <v>1</v>
      </c>
      <c r="O3" t="s">
        <v>73</v>
      </c>
      <c r="P3" t="s">
        <v>74</v>
      </c>
      <c r="Q3" t="s">
        <v>100</v>
      </c>
      <c r="R3" t="s">
        <v>101</v>
      </c>
      <c r="S3" t="s">
        <v>53</v>
      </c>
      <c r="T3">
        <v>1</v>
      </c>
      <c r="U3">
        <v>1</v>
      </c>
      <c r="V3">
        <v>2</v>
      </c>
      <c r="W3" t="s">
        <v>111</v>
      </c>
      <c r="X3" t="s">
        <v>83</v>
      </c>
      <c r="Y3" t="s">
        <v>105</v>
      </c>
      <c r="AA3" t="s">
        <v>56</v>
      </c>
      <c r="AB3">
        <v>2</v>
      </c>
      <c r="AD3">
        <v>1</v>
      </c>
      <c r="AE3" t="s">
        <v>68</v>
      </c>
      <c r="AI3">
        <v>11</v>
      </c>
      <c r="AJ3">
        <v>35</v>
      </c>
    </row>
    <row r="4" spans="1:36" x14ac:dyDescent="0.25">
      <c r="A4" t="s">
        <v>800</v>
      </c>
      <c r="B4">
        <v>2</v>
      </c>
      <c r="C4" t="s">
        <v>53</v>
      </c>
      <c r="D4">
        <v>3</v>
      </c>
      <c r="E4">
        <v>3</v>
      </c>
      <c r="F4">
        <v>2</v>
      </c>
      <c r="G4" t="s">
        <v>111</v>
      </c>
      <c r="H4" t="s">
        <v>83</v>
      </c>
      <c r="I4" t="s">
        <v>105</v>
      </c>
      <c r="K4" t="s">
        <v>56</v>
      </c>
      <c r="L4">
        <v>3</v>
      </c>
      <c r="N4">
        <v>1</v>
      </c>
      <c r="O4" t="s">
        <v>68</v>
      </c>
      <c r="P4" t="s">
        <v>121</v>
      </c>
      <c r="S4" t="s">
        <v>48</v>
      </c>
      <c r="T4">
        <v>3</v>
      </c>
      <c r="V4">
        <v>3</v>
      </c>
      <c r="W4" t="s">
        <v>89</v>
      </c>
      <c r="X4" t="s">
        <v>50</v>
      </c>
      <c r="Y4" t="s">
        <v>127</v>
      </c>
      <c r="AA4" t="s">
        <v>45</v>
      </c>
      <c r="AB4">
        <v>2</v>
      </c>
      <c r="AD4">
        <v>1</v>
      </c>
      <c r="AE4" t="s">
        <v>47</v>
      </c>
      <c r="AI4">
        <v>17</v>
      </c>
      <c r="AJ4">
        <v>39</v>
      </c>
    </row>
    <row r="5" spans="1:36" x14ac:dyDescent="0.25">
      <c r="A5" t="s">
        <v>801</v>
      </c>
      <c r="B5">
        <v>3</v>
      </c>
      <c r="C5" t="s">
        <v>53</v>
      </c>
      <c r="D5">
        <v>1</v>
      </c>
      <c r="E5">
        <v>1</v>
      </c>
      <c r="F5">
        <v>1</v>
      </c>
      <c r="G5" t="s">
        <v>54</v>
      </c>
      <c r="H5" t="s">
        <v>113</v>
      </c>
      <c r="K5" t="s">
        <v>56</v>
      </c>
      <c r="L5">
        <v>3</v>
      </c>
      <c r="N5">
        <v>1</v>
      </c>
      <c r="O5" t="s">
        <v>57</v>
      </c>
      <c r="P5" t="s">
        <v>122</v>
      </c>
      <c r="Q5" t="s">
        <v>85</v>
      </c>
      <c r="S5" t="s">
        <v>48</v>
      </c>
      <c r="T5">
        <v>3</v>
      </c>
      <c r="V5">
        <v>1</v>
      </c>
      <c r="W5" t="s">
        <v>89</v>
      </c>
      <c r="X5" t="s">
        <v>50</v>
      </c>
      <c r="Y5" t="s">
        <v>90</v>
      </c>
      <c r="AA5" t="s">
        <v>63</v>
      </c>
      <c r="AB5">
        <v>1</v>
      </c>
      <c r="AD5">
        <v>1</v>
      </c>
      <c r="AE5" t="s">
        <v>103</v>
      </c>
      <c r="AF5" t="s">
        <v>95</v>
      </c>
      <c r="AI5">
        <v>10</v>
      </c>
      <c r="AJ5">
        <v>29</v>
      </c>
    </row>
    <row r="6" spans="1:36" x14ac:dyDescent="0.25">
      <c r="A6" t="s">
        <v>802</v>
      </c>
      <c r="B6">
        <v>4</v>
      </c>
      <c r="C6" t="s">
        <v>53</v>
      </c>
      <c r="D6">
        <v>2</v>
      </c>
      <c r="E6">
        <v>1</v>
      </c>
      <c r="F6">
        <v>1</v>
      </c>
      <c r="G6" t="s">
        <v>111</v>
      </c>
      <c r="H6" t="s">
        <v>83</v>
      </c>
      <c r="I6" t="s">
        <v>105</v>
      </c>
      <c r="K6" t="s">
        <v>56</v>
      </c>
      <c r="L6">
        <v>2</v>
      </c>
      <c r="N6">
        <v>1</v>
      </c>
      <c r="O6" t="s">
        <v>57</v>
      </c>
      <c r="P6" t="s">
        <v>121</v>
      </c>
      <c r="S6" t="s">
        <v>48</v>
      </c>
      <c r="T6">
        <v>3</v>
      </c>
      <c r="V6">
        <v>1</v>
      </c>
      <c r="W6" t="s">
        <v>89</v>
      </c>
      <c r="X6" t="s">
        <v>50</v>
      </c>
      <c r="AA6" t="s">
        <v>38</v>
      </c>
      <c r="AB6">
        <v>1</v>
      </c>
      <c r="AC6">
        <v>1</v>
      </c>
      <c r="AD6">
        <v>2</v>
      </c>
      <c r="AE6" t="s">
        <v>152</v>
      </c>
      <c r="AI6">
        <v>9</v>
      </c>
      <c r="AJ6">
        <v>22</v>
      </c>
    </row>
    <row r="7" spans="1:36" x14ac:dyDescent="0.25">
      <c r="A7" t="s">
        <v>803</v>
      </c>
      <c r="B7">
        <v>5</v>
      </c>
      <c r="C7" t="s">
        <v>53</v>
      </c>
      <c r="D7">
        <v>1</v>
      </c>
      <c r="E7">
        <v>1</v>
      </c>
      <c r="F7">
        <v>1</v>
      </c>
      <c r="G7" t="s">
        <v>111</v>
      </c>
      <c r="H7" t="s">
        <v>113</v>
      </c>
      <c r="K7" t="s">
        <v>56</v>
      </c>
      <c r="L7">
        <v>3</v>
      </c>
      <c r="N7">
        <v>1</v>
      </c>
      <c r="O7" t="s">
        <v>68</v>
      </c>
      <c r="P7" t="s">
        <v>121</v>
      </c>
      <c r="Q7" t="s">
        <v>87</v>
      </c>
      <c r="S7" t="s">
        <v>33</v>
      </c>
      <c r="T7">
        <v>2</v>
      </c>
      <c r="V7">
        <v>2</v>
      </c>
      <c r="W7" t="s">
        <v>46</v>
      </c>
      <c r="AA7" t="s">
        <v>43</v>
      </c>
      <c r="AB7">
        <v>1</v>
      </c>
      <c r="AD7">
        <v>1</v>
      </c>
      <c r="AE7" t="s">
        <v>73</v>
      </c>
      <c r="AF7" t="s">
        <v>99</v>
      </c>
      <c r="AG7" t="s">
        <v>100</v>
      </c>
      <c r="AH7" t="s">
        <v>101</v>
      </c>
      <c r="AI7">
        <v>10</v>
      </c>
      <c r="AJ7">
        <v>30</v>
      </c>
    </row>
    <row r="8" spans="1:36" x14ac:dyDescent="0.25">
      <c r="A8" t="s">
        <v>804</v>
      </c>
      <c r="B8">
        <v>6</v>
      </c>
      <c r="C8" t="s">
        <v>33</v>
      </c>
      <c r="D8">
        <v>1</v>
      </c>
      <c r="F8">
        <v>3</v>
      </c>
      <c r="G8" t="s">
        <v>46</v>
      </c>
      <c r="K8" t="s">
        <v>45</v>
      </c>
      <c r="L8">
        <v>3</v>
      </c>
      <c r="N8">
        <v>1</v>
      </c>
      <c r="O8" t="s">
        <v>47</v>
      </c>
      <c r="S8" t="s">
        <v>53</v>
      </c>
      <c r="T8">
        <v>1</v>
      </c>
      <c r="U8">
        <v>1</v>
      </c>
      <c r="V8">
        <v>1</v>
      </c>
      <c r="W8" t="s">
        <v>111</v>
      </c>
      <c r="X8" t="s">
        <v>83</v>
      </c>
      <c r="Y8" t="s">
        <v>105</v>
      </c>
      <c r="AA8" t="s">
        <v>56</v>
      </c>
      <c r="AB8">
        <v>2</v>
      </c>
      <c r="AD8">
        <v>2</v>
      </c>
      <c r="AE8" t="s">
        <v>68</v>
      </c>
      <c r="AI8">
        <v>8</v>
      </c>
      <c r="AJ8">
        <v>24</v>
      </c>
    </row>
    <row r="9" spans="1:36" x14ac:dyDescent="0.25">
      <c r="A9" t="s">
        <v>805</v>
      </c>
      <c r="B9">
        <v>7</v>
      </c>
      <c r="C9" t="s">
        <v>53</v>
      </c>
      <c r="D9">
        <v>2</v>
      </c>
      <c r="E9">
        <v>3</v>
      </c>
      <c r="F9">
        <v>1</v>
      </c>
      <c r="G9" t="s">
        <v>111</v>
      </c>
      <c r="K9" t="s">
        <v>56</v>
      </c>
      <c r="L9">
        <v>3</v>
      </c>
      <c r="N9">
        <v>2</v>
      </c>
      <c r="O9" t="s">
        <v>68</v>
      </c>
      <c r="S9" t="s">
        <v>33</v>
      </c>
      <c r="T9">
        <v>1</v>
      </c>
      <c r="V9">
        <v>2</v>
      </c>
      <c r="W9" t="s">
        <v>46</v>
      </c>
      <c r="AA9" t="s">
        <v>63</v>
      </c>
      <c r="AB9">
        <v>2</v>
      </c>
      <c r="AD9">
        <v>1</v>
      </c>
      <c r="AE9" t="s">
        <v>103</v>
      </c>
      <c r="AF9" t="s">
        <v>95</v>
      </c>
      <c r="AI9">
        <v>9</v>
      </c>
      <c r="AJ9">
        <v>27</v>
      </c>
    </row>
    <row r="10" spans="1:36" x14ac:dyDescent="0.25">
      <c r="A10" t="s">
        <v>806</v>
      </c>
      <c r="B10">
        <v>8</v>
      </c>
      <c r="C10" t="s">
        <v>53</v>
      </c>
      <c r="D10">
        <v>2</v>
      </c>
      <c r="E10">
        <v>1</v>
      </c>
      <c r="F10">
        <v>2</v>
      </c>
      <c r="G10" t="s">
        <v>111</v>
      </c>
      <c r="K10" t="s">
        <v>56</v>
      </c>
      <c r="L10">
        <v>2</v>
      </c>
      <c r="N10">
        <v>1</v>
      </c>
      <c r="O10" t="s">
        <v>68</v>
      </c>
      <c r="S10" t="s">
        <v>33</v>
      </c>
      <c r="T10">
        <v>1</v>
      </c>
      <c r="V10">
        <v>3</v>
      </c>
      <c r="W10" t="s">
        <v>46</v>
      </c>
      <c r="X10" t="s">
        <v>35</v>
      </c>
      <c r="AA10" t="s">
        <v>38</v>
      </c>
      <c r="AB10">
        <v>2</v>
      </c>
      <c r="AC10">
        <v>1</v>
      </c>
      <c r="AD10">
        <v>1</v>
      </c>
      <c r="AE10" t="s">
        <v>152</v>
      </c>
      <c r="AI10">
        <v>7</v>
      </c>
      <c r="AJ10">
        <v>22</v>
      </c>
    </row>
    <row r="11" spans="1:36" x14ac:dyDescent="0.25">
      <c r="A11" t="s">
        <v>807</v>
      </c>
      <c r="B11">
        <v>9</v>
      </c>
      <c r="C11" t="s">
        <v>43</v>
      </c>
      <c r="D11">
        <v>2</v>
      </c>
      <c r="F11">
        <v>1</v>
      </c>
      <c r="G11" t="s">
        <v>73</v>
      </c>
      <c r="H11" t="s">
        <v>99</v>
      </c>
      <c r="I11" t="s">
        <v>75</v>
      </c>
      <c r="J11" t="s">
        <v>101</v>
      </c>
      <c r="K11" t="s">
        <v>45</v>
      </c>
      <c r="L11">
        <v>3</v>
      </c>
      <c r="N11">
        <v>1</v>
      </c>
      <c r="O11" t="s">
        <v>47</v>
      </c>
      <c r="S11" t="s">
        <v>53</v>
      </c>
      <c r="T11">
        <v>2</v>
      </c>
      <c r="U11">
        <v>3</v>
      </c>
      <c r="V11">
        <v>3</v>
      </c>
      <c r="W11" t="s">
        <v>111</v>
      </c>
      <c r="AA11" t="s">
        <v>56</v>
      </c>
      <c r="AB11">
        <v>1</v>
      </c>
      <c r="AD11">
        <v>1</v>
      </c>
      <c r="AE11" t="s">
        <v>68</v>
      </c>
      <c r="AI11">
        <v>11</v>
      </c>
      <c r="AJ11">
        <v>31</v>
      </c>
    </row>
    <row r="12" spans="1:36" x14ac:dyDescent="0.25">
      <c r="A12" t="s">
        <v>808</v>
      </c>
      <c r="B12">
        <v>10</v>
      </c>
      <c r="C12" t="s">
        <v>43</v>
      </c>
      <c r="D12">
        <v>1</v>
      </c>
      <c r="F12">
        <v>1</v>
      </c>
      <c r="G12" t="s">
        <v>73</v>
      </c>
      <c r="H12" t="s">
        <v>99</v>
      </c>
      <c r="I12" t="s">
        <v>75</v>
      </c>
      <c r="K12" t="s">
        <v>63</v>
      </c>
      <c r="L12">
        <v>2</v>
      </c>
      <c r="N12">
        <v>1</v>
      </c>
      <c r="O12" t="s">
        <v>103</v>
      </c>
      <c r="P12" t="s">
        <v>95</v>
      </c>
      <c r="Q12" t="s">
        <v>104</v>
      </c>
      <c r="S12" t="s">
        <v>53</v>
      </c>
      <c r="T12">
        <v>2</v>
      </c>
      <c r="U12">
        <v>1</v>
      </c>
      <c r="V12">
        <v>1</v>
      </c>
      <c r="W12" t="s">
        <v>111</v>
      </c>
      <c r="X12" t="s">
        <v>83</v>
      </c>
      <c r="Y12" t="s">
        <v>97</v>
      </c>
      <c r="AA12" t="s">
        <v>56</v>
      </c>
      <c r="AB12">
        <v>2</v>
      </c>
      <c r="AD12">
        <v>1</v>
      </c>
      <c r="AE12" t="s">
        <v>57</v>
      </c>
      <c r="AI12">
        <v>9</v>
      </c>
      <c r="AJ12">
        <v>27</v>
      </c>
    </row>
    <row r="13" spans="1:36" x14ac:dyDescent="0.25">
      <c r="A13" t="s">
        <v>809</v>
      </c>
      <c r="B13">
        <v>11</v>
      </c>
      <c r="C13" t="s">
        <v>43</v>
      </c>
      <c r="D13">
        <v>2</v>
      </c>
      <c r="F13">
        <v>1</v>
      </c>
      <c r="G13" t="s">
        <v>73</v>
      </c>
      <c r="H13" t="s">
        <v>74</v>
      </c>
      <c r="I13" t="s">
        <v>75</v>
      </c>
      <c r="J13" t="s">
        <v>139</v>
      </c>
      <c r="K13" t="s">
        <v>38</v>
      </c>
      <c r="L13">
        <v>1</v>
      </c>
      <c r="M13">
        <v>2</v>
      </c>
      <c r="N13">
        <v>1</v>
      </c>
      <c r="O13" t="s">
        <v>152</v>
      </c>
      <c r="P13" t="s">
        <v>40</v>
      </c>
      <c r="S13" t="s">
        <v>53</v>
      </c>
      <c r="T13">
        <v>1</v>
      </c>
      <c r="U13">
        <v>1</v>
      </c>
      <c r="V13">
        <v>1</v>
      </c>
      <c r="W13" t="s">
        <v>111</v>
      </c>
      <c r="AA13" t="s">
        <v>56</v>
      </c>
      <c r="AB13">
        <v>2</v>
      </c>
      <c r="AD13">
        <v>3</v>
      </c>
      <c r="AE13" t="s">
        <v>68</v>
      </c>
      <c r="AI13">
        <v>9</v>
      </c>
      <c r="AJ13">
        <v>32</v>
      </c>
    </row>
    <row r="14" spans="1:36" x14ac:dyDescent="0.25">
      <c r="A14" t="s">
        <v>810</v>
      </c>
      <c r="B14">
        <v>12</v>
      </c>
      <c r="C14" t="s">
        <v>45</v>
      </c>
      <c r="D14">
        <v>3</v>
      </c>
      <c r="F14">
        <v>2</v>
      </c>
      <c r="G14" t="s">
        <v>86</v>
      </c>
      <c r="K14" t="s">
        <v>63</v>
      </c>
      <c r="L14">
        <v>3</v>
      </c>
      <c r="N14">
        <v>1</v>
      </c>
      <c r="O14" t="s">
        <v>103</v>
      </c>
      <c r="P14" t="s">
        <v>95</v>
      </c>
      <c r="Q14" t="s">
        <v>104</v>
      </c>
      <c r="S14" t="s">
        <v>53</v>
      </c>
      <c r="T14">
        <v>2</v>
      </c>
      <c r="U14">
        <v>3</v>
      </c>
      <c r="V14">
        <v>2</v>
      </c>
      <c r="W14" t="s">
        <v>111</v>
      </c>
      <c r="X14" t="s">
        <v>83</v>
      </c>
      <c r="Y14" t="s">
        <v>97</v>
      </c>
      <c r="AA14" t="s">
        <v>56</v>
      </c>
      <c r="AB14">
        <v>2</v>
      </c>
      <c r="AD14">
        <v>1</v>
      </c>
      <c r="AE14" t="s">
        <v>57</v>
      </c>
      <c r="AI14">
        <v>14</v>
      </c>
      <c r="AJ14">
        <v>34</v>
      </c>
    </row>
    <row r="15" spans="1:36" x14ac:dyDescent="0.25">
      <c r="A15" t="s">
        <v>811</v>
      </c>
      <c r="B15">
        <v>13</v>
      </c>
      <c r="C15" t="s">
        <v>53</v>
      </c>
      <c r="D15">
        <v>1</v>
      </c>
      <c r="E15">
        <v>1</v>
      </c>
      <c r="F15">
        <v>1</v>
      </c>
      <c r="G15" t="s">
        <v>111</v>
      </c>
      <c r="K15" t="s">
        <v>56</v>
      </c>
      <c r="L15">
        <v>3</v>
      </c>
      <c r="N15">
        <v>3</v>
      </c>
      <c r="O15" t="s">
        <v>68</v>
      </c>
      <c r="P15" t="s">
        <v>121</v>
      </c>
      <c r="S15" t="s">
        <v>45</v>
      </c>
      <c r="T15">
        <v>3</v>
      </c>
      <c r="V15">
        <v>3</v>
      </c>
      <c r="W15" t="s">
        <v>86</v>
      </c>
      <c r="X15" t="s">
        <v>76</v>
      </c>
      <c r="AA15" t="s">
        <v>38</v>
      </c>
      <c r="AB15">
        <v>1</v>
      </c>
      <c r="AC15">
        <v>1</v>
      </c>
      <c r="AD15">
        <v>1</v>
      </c>
      <c r="AE15" t="s">
        <v>152</v>
      </c>
      <c r="AF15" t="s">
        <v>70</v>
      </c>
      <c r="AI15">
        <v>11</v>
      </c>
      <c r="AJ15">
        <v>34</v>
      </c>
    </row>
    <row r="16" spans="1:36" x14ac:dyDescent="0.25">
      <c r="A16" t="s">
        <v>812</v>
      </c>
      <c r="B16">
        <v>14</v>
      </c>
      <c r="C16" t="s">
        <v>63</v>
      </c>
      <c r="D16">
        <v>1</v>
      </c>
      <c r="F16">
        <v>2</v>
      </c>
      <c r="G16" t="s">
        <v>103</v>
      </c>
      <c r="H16" t="s">
        <v>95</v>
      </c>
      <c r="K16" t="s">
        <v>38</v>
      </c>
      <c r="L16">
        <v>3</v>
      </c>
      <c r="M16">
        <v>1</v>
      </c>
      <c r="N16">
        <v>2</v>
      </c>
      <c r="O16" t="s">
        <v>152</v>
      </c>
      <c r="S16" t="s">
        <v>53</v>
      </c>
      <c r="T16">
        <v>2</v>
      </c>
      <c r="U16">
        <v>1</v>
      </c>
      <c r="V16">
        <v>1</v>
      </c>
      <c r="W16" t="s">
        <v>54</v>
      </c>
      <c r="AA16" t="s">
        <v>56</v>
      </c>
      <c r="AB16">
        <v>2</v>
      </c>
      <c r="AD16">
        <v>1</v>
      </c>
      <c r="AE16" t="s">
        <v>57</v>
      </c>
      <c r="AF16" t="s">
        <v>122</v>
      </c>
      <c r="AG16" t="s">
        <v>85</v>
      </c>
      <c r="AI16">
        <v>9</v>
      </c>
      <c r="AJ16">
        <v>26</v>
      </c>
    </row>
    <row r="17" spans="1:36" x14ac:dyDescent="0.25">
      <c r="A17" t="s">
        <v>813</v>
      </c>
      <c r="B17">
        <v>15</v>
      </c>
      <c r="C17" t="s">
        <v>53</v>
      </c>
      <c r="D17">
        <v>2</v>
      </c>
      <c r="E17">
        <v>1</v>
      </c>
      <c r="F17">
        <v>1</v>
      </c>
      <c r="G17" t="s">
        <v>111</v>
      </c>
      <c r="K17" t="s">
        <v>48</v>
      </c>
      <c r="L17">
        <v>3</v>
      </c>
      <c r="N17">
        <v>1</v>
      </c>
      <c r="O17" t="s">
        <v>89</v>
      </c>
      <c r="P17" t="s">
        <v>84</v>
      </c>
      <c r="Q17" t="s">
        <v>127</v>
      </c>
      <c r="R17" t="s">
        <v>129</v>
      </c>
      <c r="S17" t="s">
        <v>56</v>
      </c>
      <c r="T17">
        <v>3</v>
      </c>
      <c r="V17">
        <v>1</v>
      </c>
      <c r="W17" t="s">
        <v>57</v>
      </c>
      <c r="AA17" t="s">
        <v>33</v>
      </c>
      <c r="AB17">
        <v>2</v>
      </c>
      <c r="AD17">
        <v>3</v>
      </c>
      <c r="AE17" t="s">
        <v>65</v>
      </c>
      <c r="AF17" t="s">
        <v>35</v>
      </c>
      <c r="AI17">
        <v>12</v>
      </c>
      <c r="AJ17">
        <v>35</v>
      </c>
    </row>
    <row r="18" spans="1:36" x14ac:dyDescent="0.25">
      <c r="A18" s="36" t="s">
        <v>814</v>
      </c>
      <c r="B18">
        <v>16</v>
      </c>
      <c r="C18" t="s">
        <v>53</v>
      </c>
      <c r="D18">
        <v>1</v>
      </c>
      <c r="E18">
        <v>1</v>
      </c>
      <c r="F18">
        <v>1</v>
      </c>
      <c r="G18" t="s">
        <v>111</v>
      </c>
      <c r="H18" t="s">
        <v>55</v>
      </c>
      <c r="I18" t="s">
        <v>114</v>
      </c>
      <c r="K18" t="s">
        <v>48</v>
      </c>
      <c r="L18">
        <v>3</v>
      </c>
      <c r="N18">
        <v>1</v>
      </c>
      <c r="O18" t="s">
        <v>89</v>
      </c>
      <c r="P18" t="s">
        <v>71</v>
      </c>
      <c r="Q18" t="s">
        <v>51</v>
      </c>
      <c r="R18" t="s">
        <v>128</v>
      </c>
      <c r="S18" t="s">
        <v>56</v>
      </c>
      <c r="T18">
        <v>2</v>
      </c>
      <c r="V18">
        <v>1</v>
      </c>
      <c r="W18" t="s">
        <v>57</v>
      </c>
      <c r="X18" t="s">
        <v>121</v>
      </c>
      <c r="Y18" t="s">
        <v>85</v>
      </c>
      <c r="AA18" t="s">
        <v>43</v>
      </c>
      <c r="AB18">
        <v>1</v>
      </c>
      <c r="AD18">
        <v>1</v>
      </c>
      <c r="AE18" t="s">
        <v>73</v>
      </c>
      <c r="AF18" t="s">
        <v>74</v>
      </c>
      <c r="AG18" t="s">
        <v>75</v>
      </c>
      <c r="AI18">
        <v>12</v>
      </c>
      <c r="AJ18">
        <v>40</v>
      </c>
    </row>
    <row r="19" spans="1:36" x14ac:dyDescent="0.25">
      <c r="A19" t="s">
        <v>815</v>
      </c>
      <c r="B19">
        <v>17</v>
      </c>
      <c r="C19" t="s">
        <v>56</v>
      </c>
      <c r="D19">
        <v>3</v>
      </c>
      <c r="F19">
        <v>1</v>
      </c>
      <c r="G19" t="s">
        <v>57</v>
      </c>
      <c r="H19" t="s">
        <v>121</v>
      </c>
      <c r="K19" t="s">
        <v>45</v>
      </c>
      <c r="L19">
        <v>3</v>
      </c>
      <c r="N19">
        <v>1</v>
      </c>
      <c r="O19" t="s">
        <v>86</v>
      </c>
      <c r="P19" t="s">
        <v>76</v>
      </c>
      <c r="S19" t="s">
        <v>53</v>
      </c>
      <c r="T19">
        <v>1</v>
      </c>
      <c r="U19">
        <v>3</v>
      </c>
      <c r="V19">
        <v>1</v>
      </c>
      <c r="W19" t="s">
        <v>111</v>
      </c>
      <c r="AA19" t="s">
        <v>48</v>
      </c>
      <c r="AB19">
        <v>3</v>
      </c>
      <c r="AD19">
        <v>1</v>
      </c>
      <c r="AE19" t="s">
        <v>89</v>
      </c>
      <c r="AF19" t="s">
        <v>84</v>
      </c>
      <c r="AI19">
        <v>11</v>
      </c>
      <c r="AJ19">
        <v>24</v>
      </c>
    </row>
    <row r="20" spans="1:36" x14ac:dyDescent="0.25">
      <c r="A20" t="s">
        <v>816</v>
      </c>
      <c r="B20">
        <v>18</v>
      </c>
      <c r="C20" t="s">
        <v>53</v>
      </c>
      <c r="D20">
        <v>1</v>
      </c>
      <c r="E20">
        <v>1</v>
      </c>
      <c r="F20">
        <v>1</v>
      </c>
      <c r="G20" t="s">
        <v>54</v>
      </c>
      <c r="H20" t="s">
        <v>113</v>
      </c>
      <c r="K20" t="s">
        <v>48</v>
      </c>
      <c r="L20">
        <v>3</v>
      </c>
      <c r="N20">
        <v>2</v>
      </c>
      <c r="O20" t="s">
        <v>89</v>
      </c>
      <c r="S20" t="s">
        <v>56</v>
      </c>
      <c r="T20">
        <v>2</v>
      </c>
      <c r="V20">
        <v>1</v>
      </c>
      <c r="W20" t="s">
        <v>57</v>
      </c>
      <c r="AA20" t="s">
        <v>63</v>
      </c>
      <c r="AB20">
        <v>2</v>
      </c>
      <c r="AD20">
        <v>1</v>
      </c>
      <c r="AE20" t="s">
        <v>103</v>
      </c>
      <c r="AF20" t="s">
        <v>95</v>
      </c>
      <c r="AG20" t="s">
        <v>147</v>
      </c>
      <c r="AI20">
        <v>8</v>
      </c>
      <c r="AJ20">
        <v>31</v>
      </c>
    </row>
    <row r="21" spans="1:36" x14ac:dyDescent="0.25">
      <c r="A21" t="s">
        <v>817</v>
      </c>
      <c r="B21">
        <v>19</v>
      </c>
      <c r="C21" t="s">
        <v>53</v>
      </c>
      <c r="D21">
        <v>2</v>
      </c>
      <c r="E21">
        <v>3</v>
      </c>
      <c r="F21">
        <v>1</v>
      </c>
      <c r="G21" t="s">
        <v>54</v>
      </c>
      <c r="K21" t="s">
        <v>48</v>
      </c>
      <c r="L21">
        <v>3</v>
      </c>
      <c r="N21">
        <v>1</v>
      </c>
      <c r="O21" t="s">
        <v>89</v>
      </c>
      <c r="S21" t="s">
        <v>56</v>
      </c>
      <c r="T21">
        <v>2</v>
      </c>
      <c r="V21">
        <v>1</v>
      </c>
      <c r="W21" t="s">
        <v>57</v>
      </c>
      <c r="X21" t="s">
        <v>121</v>
      </c>
      <c r="AA21" t="s">
        <v>38</v>
      </c>
      <c r="AB21">
        <v>3</v>
      </c>
      <c r="AC21">
        <v>1</v>
      </c>
      <c r="AD21">
        <v>1</v>
      </c>
      <c r="AE21" t="s">
        <v>152</v>
      </c>
      <c r="AI21">
        <v>9</v>
      </c>
      <c r="AJ21">
        <v>27</v>
      </c>
    </row>
    <row r="22" spans="1:36" x14ac:dyDescent="0.25">
      <c r="A22" t="s">
        <v>818</v>
      </c>
      <c r="B22">
        <v>20</v>
      </c>
      <c r="C22" t="s">
        <v>53</v>
      </c>
      <c r="D22">
        <v>1</v>
      </c>
      <c r="E22">
        <v>1</v>
      </c>
      <c r="F22">
        <v>1</v>
      </c>
      <c r="G22" t="s">
        <v>111</v>
      </c>
      <c r="K22" t="s">
        <v>48</v>
      </c>
      <c r="L22">
        <v>3</v>
      </c>
      <c r="N22">
        <v>3</v>
      </c>
      <c r="O22" t="s">
        <v>89</v>
      </c>
      <c r="P22" t="s">
        <v>71</v>
      </c>
      <c r="Q22" t="s">
        <v>90</v>
      </c>
      <c r="S22" t="s">
        <v>33</v>
      </c>
      <c r="T22">
        <v>3</v>
      </c>
      <c r="V22">
        <v>3</v>
      </c>
      <c r="W22" t="s">
        <v>65</v>
      </c>
      <c r="AA22" t="s">
        <v>43</v>
      </c>
      <c r="AB22">
        <v>3</v>
      </c>
      <c r="AD22">
        <v>1</v>
      </c>
      <c r="AE22" t="s">
        <v>73</v>
      </c>
      <c r="AF22" t="s">
        <v>74</v>
      </c>
      <c r="AI22">
        <v>13</v>
      </c>
      <c r="AJ22">
        <v>40</v>
      </c>
    </row>
    <row r="23" spans="1:36" x14ac:dyDescent="0.25">
      <c r="A23" s="36" t="s">
        <v>819</v>
      </c>
      <c r="B23">
        <v>21</v>
      </c>
      <c r="C23" t="s">
        <v>53</v>
      </c>
      <c r="D23">
        <v>1</v>
      </c>
      <c r="E23">
        <v>1</v>
      </c>
      <c r="F23">
        <v>1</v>
      </c>
      <c r="G23" t="s">
        <v>111</v>
      </c>
      <c r="K23" t="s">
        <v>48</v>
      </c>
      <c r="L23">
        <v>3</v>
      </c>
      <c r="N23">
        <v>3</v>
      </c>
      <c r="O23" t="s">
        <v>89</v>
      </c>
      <c r="S23" t="s">
        <v>33</v>
      </c>
      <c r="T23">
        <v>2</v>
      </c>
      <c r="V23">
        <v>3</v>
      </c>
      <c r="W23" t="s">
        <v>65</v>
      </c>
      <c r="AA23" t="s">
        <v>45</v>
      </c>
      <c r="AB23">
        <v>3</v>
      </c>
      <c r="AD23">
        <v>1</v>
      </c>
      <c r="AE23" t="s">
        <v>86</v>
      </c>
      <c r="AI23">
        <v>9</v>
      </c>
      <c r="AJ23">
        <v>32</v>
      </c>
    </row>
    <row r="24" spans="1:36" x14ac:dyDescent="0.25">
      <c r="A24" t="s">
        <v>820</v>
      </c>
      <c r="B24">
        <v>22</v>
      </c>
      <c r="C24" t="s">
        <v>33</v>
      </c>
      <c r="D24">
        <v>1</v>
      </c>
      <c r="F24">
        <v>3</v>
      </c>
      <c r="G24" t="s">
        <v>65</v>
      </c>
      <c r="K24" t="s">
        <v>63</v>
      </c>
      <c r="L24">
        <v>1</v>
      </c>
      <c r="N24">
        <v>1</v>
      </c>
      <c r="O24" t="s">
        <v>103</v>
      </c>
      <c r="P24" t="s">
        <v>95</v>
      </c>
      <c r="S24" t="s">
        <v>53</v>
      </c>
      <c r="T24">
        <v>1</v>
      </c>
      <c r="U24">
        <v>1</v>
      </c>
      <c r="V24">
        <v>2</v>
      </c>
      <c r="W24" t="s">
        <v>111</v>
      </c>
      <c r="AA24" t="s">
        <v>48</v>
      </c>
      <c r="AB24">
        <v>3</v>
      </c>
      <c r="AD24">
        <v>1</v>
      </c>
      <c r="AE24" t="s">
        <v>89</v>
      </c>
      <c r="AI24">
        <v>6</v>
      </c>
      <c r="AJ24">
        <v>22</v>
      </c>
    </row>
    <row r="25" spans="1:36" x14ac:dyDescent="0.25">
      <c r="A25" t="s">
        <v>821</v>
      </c>
      <c r="B25">
        <v>23</v>
      </c>
      <c r="C25" t="s">
        <v>33</v>
      </c>
      <c r="D25">
        <v>3</v>
      </c>
      <c r="F25">
        <v>3</v>
      </c>
      <c r="G25" t="s">
        <v>65</v>
      </c>
      <c r="H25" t="s">
        <v>35</v>
      </c>
      <c r="I25" t="s">
        <v>131</v>
      </c>
      <c r="J25" t="s">
        <v>134</v>
      </c>
      <c r="K25" t="s">
        <v>38</v>
      </c>
      <c r="L25">
        <v>1</v>
      </c>
      <c r="M25">
        <v>1</v>
      </c>
      <c r="N25">
        <v>1</v>
      </c>
      <c r="O25" t="s">
        <v>152</v>
      </c>
      <c r="P25" t="s">
        <v>70</v>
      </c>
      <c r="S25" t="s">
        <v>53</v>
      </c>
      <c r="T25">
        <v>1</v>
      </c>
      <c r="U25">
        <v>1</v>
      </c>
      <c r="V25">
        <v>1</v>
      </c>
      <c r="W25" t="s">
        <v>111</v>
      </c>
      <c r="AA25" t="s">
        <v>48</v>
      </c>
      <c r="AB25">
        <v>3</v>
      </c>
      <c r="AD25">
        <v>1</v>
      </c>
      <c r="AE25" t="s">
        <v>89</v>
      </c>
      <c r="AF25" t="s">
        <v>50</v>
      </c>
      <c r="AG25" t="s">
        <v>90</v>
      </c>
      <c r="AI25">
        <v>12</v>
      </c>
      <c r="AJ25">
        <v>32</v>
      </c>
    </row>
    <row r="26" spans="1:36" x14ac:dyDescent="0.25">
      <c r="A26" t="s">
        <v>822</v>
      </c>
      <c r="B26">
        <v>24</v>
      </c>
      <c r="C26" t="s">
        <v>43</v>
      </c>
      <c r="D26">
        <v>1</v>
      </c>
      <c r="F26">
        <v>1</v>
      </c>
      <c r="G26" t="s">
        <v>73</v>
      </c>
      <c r="H26" t="s">
        <v>74</v>
      </c>
      <c r="I26" t="s">
        <v>75</v>
      </c>
      <c r="J26" t="s">
        <v>101</v>
      </c>
      <c r="K26" t="s">
        <v>45</v>
      </c>
      <c r="L26">
        <v>2</v>
      </c>
      <c r="N26">
        <v>2</v>
      </c>
      <c r="O26" t="s">
        <v>47</v>
      </c>
      <c r="S26" t="s">
        <v>53</v>
      </c>
      <c r="T26">
        <v>2</v>
      </c>
      <c r="U26">
        <v>1</v>
      </c>
      <c r="V26">
        <v>2</v>
      </c>
      <c r="W26" t="s">
        <v>111</v>
      </c>
      <c r="AA26" t="s">
        <v>48</v>
      </c>
      <c r="AB26">
        <v>3</v>
      </c>
      <c r="AD26">
        <v>1</v>
      </c>
      <c r="AE26" t="s">
        <v>89</v>
      </c>
      <c r="AI26">
        <v>9</v>
      </c>
      <c r="AJ26">
        <v>26</v>
      </c>
    </row>
    <row r="27" spans="1:36" x14ac:dyDescent="0.25">
      <c r="A27" t="s">
        <v>823</v>
      </c>
      <c r="B27">
        <v>25</v>
      </c>
      <c r="C27" t="s">
        <v>43</v>
      </c>
      <c r="D27">
        <v>1</v>
      </c>
      <c r="F27">
        <v>1</v>
      </c>
      <c r="G27" t="s">
        <v>73</v>
      </c>
      <c r="H27" t="s">
        <v>74</v>
      </c>
      <c r="I27" t="s">
        <v>75</v>
      </c>
      <c r="K27" t="s">
        <v>63</v>
      </c>
      <c r="L27">
        <v>2</v>
      </c>
      <c r="N27">
        <v>1</v>
      </c>
      <c r="O27" t="s">
        <v>103</v>
      </c>
      <c r="P27" t="s">
        <v>95</v>
      </c>
      <c r="Q27" t="s">
        <v>104</v>
      </c>
      <c r="S27" t="s">
        <v>53</v>
      </c>
      <c r="T27">
        <v>1</v>
      </c>
      <c r="U27">
        <v>3</v>
      </c>
      <c r="V27">
        <v>1</v>
      </c>
      <c r="W27" t="s">
        <v>111</v>
      </c>
      <c r="AA27" t="s">
        <v>48</v>
      </c>
      <c r="AB27">
        <v>3</v>
      </c>
      <c r="AD27">
        <v>1</v>
      </c>
      <c r="AE27" t="s">
        <v>89</v>
      </c>
      <c r="AF27" t="s">
        <v>71</v>
      </c>
      <c r="AI27">
        <v>10</v>
      </c>
      <c r="AJ27">
        <v>25</v>
      </c>
    </row>
    <row r="28" spans="1:36" x14ac:dyDescent="0.25">
      <c r="A28" t="s">
        <v>824</v>
      </c>
      <c r="B28">
        <v>26</v>
      </c>
      <c r="C28" t="s">
        <v>53</v>
      </c>
      <c r="D28">
        <v>1</v>
      </c>
      <c r="E28">
        <v>1</v>
      </c>
      <c r="F28">
        <v>1</v>
      </c>
      <c r="G28" t="s">
        <v>111</v>
      </c>
      <c r="K28" t="s">
        <v>48</v>
      </c>
      <c r="L28">
        <v>3</v>
      </c>
      <c r="N28">
        <v>3</v>
      </c>
      <c r="O28" t="s">
        <v>89</v>
      </c>
      <c r="P28" t="s">
        <v>71</v>
      </c>
      <c r="Q28" t="s">
        <v>51</v>
      </c>
      <c r="S28" t="s">
        <v>43</v>
      </c>
      <c r="T28">
        <v>1</v>
      </c>
      <c r="V28">
        <v>1</v>
      </c>
      <c r="W28" t="s">
        <v>73</v>
      </c>
      <c r="X28" t="s">
        <v>74</v>
      </c>
      <c r="Y28" t="s">
        <v>75</v>
      </c>
      <c r="Z28" t="s">
        <v>101</v>
      </c>
      <c r="AA28" t="s">
        <v>38</v>
      </c>
      <c r="AB28">
        <v>1</v>
      </c>
      <c r="AC28">
        <v>1</v>
      </c>
      <c r="AD28">
        <v>1</v>
      </c>
      <c r="AE28" t="s">
        <v>152</v>
      </c>
      <c r="AF28" t="s">
        <v>40</v>
      </c>
      <c r="AI28">
        <v>10</v>
      </c>
      <c r="AJ28">
        <v>31</v>
      </c>
    </row>
    <row r="29" spans="1:36" x14ac:dyDescent="0.25">
      <c r="A29" t="s">
        <v>825</v>
      </c>
      <c r="B29">
        <v>27</v>
      </c>
      <c r="C29" t="s">
        <v>45</v>
      </c>
      <c r="D29">
        <v>3</v>
      </c>
      <c r="F29">
        <v>1</v>
      </c>
      <c r="G29" t="s">
        <v>86</v>
      </c>
      <c r="K29" t="s">
        <v>63</v>
      </c>
      <c r="L29">
        <v>1</v>
      </c>
      <c r="N29">
        <v>1</v>
      </c>
      <c r="O29" t="s">
        <v>103</v>
      </c>
      <c r="P29" t="s">
        <v>95</v>
      </c>
      <c r="Q29" t="s">
        <v>104</v>
      </c>
      <c r="S29" t="s">
        <v>53</v>
      </c>
      <c r="T29">
        <v>2</v>
      </c>
      <c r="U29">
        <v>3</v>
      </c>
      <c r="V29">
        <v>1</v>
      </c>
      <c r="W29" t="s">
        <v>111</v>
      </c>
      <c r="AA29" t="s">
        <v>48</v>
      </c>
      <c r="AB29">
        <v>3</v>
      </c>
      <c r="AD29">
        <v>1</v>
      </c>
      <c r="AE29" t="s">
        <v>89</v>
      </c>
      <c r="AI29">
        <v>9</v>
      </c>
      <c r="AJ29">
        <v>25</v>
      </c>
    </row>
    <row r="30" spans="1:36" x14ac:dyDescent="0.25">
      <c r="A30" t="s">
        <v>826</v>
      </c>
      <c r="B30">
        <v>28</v>
      </c>
      <c r="C30" t="s">
        <v>53</v>
      </c>
      <c r="D30">
        <v>2</v>
      </c>
      <c r="E30">
        <v>1</v>
      </c>
      <c r="F30">
        <v>1</v>
      </c>
      <c r="G30" t="s">
        <v>111</v>
      </c>
      <c r="H30" t="s">
        <v>83</v>
      </c>
      <c r="I30" t="s">
        <v>97</v>
      </c>
      <c r="K30" t="s">
        <v>48</v>
      </c>
      <c r="L30">
        <v>2</v>
      </c>
      <c r="N30">
        <v>1</v>
      </c>
      <c r="O30" t="s">
        <v>89</v>
      </c>
      <c r="P30" t="s">
        <v>50</v>
      </c>
      <c r="S30" t="s">
        <v>45</v>
      </c>
      <c r="T30">
        <v>3</v>
      </c>
      <c r="V30">
        <v>1</v>
      </c>
      <c r="W30" t="s">
        <v>47</v>
      </c>
      <c r="AA30" t="s">
        <v>38</v>
      </c>
      <c r="AB30">
        <v>2</v>
      </c>
      <c r="AC30">
        <v>1</v>
      </c>
      <c r="AD30">
        <v>2</v>
      </c>
      <c r="AE30" t="s">
        <v>152</v>
      </c>
      <c r="AF30" t="s">
        <v>96</v>
      </c>
      <c r="AI30">
        <v>11</v>
      </c>
      <c r="AJ30">
        <v>40</v>
      </c>
    </row>
    <row r="31" spans="1:36" x14ac:dyDescent="0.25">
      <c r="A31" t="s">
        <v>827</v>
      </c>
      <c r="B31">
        <v>29</v>
      </c>
      <c r="C31" t="s">
        <v>63</v>
      </c>
      <c r="D31">
        <v>2</v>
      </c>
      <c r="F31">
        <v>1</v>
      </c>
      <c r="G31" t="s">
        <v>103</v>
      </c>
      <c r="H31" t="s">
        <v>95</v>
      </c>
      <c r="I31" t="s">
        <v>104</v>
      </c>
      <c r="J31" t="s">
        <v>149</v>
      </c>
      <c r="K31" t="s">
        <v>38</v>
      </c>
      <c r="L31">
        <v>3</v>
      </c>
      <c r="M31">
        <v>1</v>
      </c>
      <c r="N31">
        <v>1</v>
      </c>
      <c r="O31" t="s">
        <v>152</v>
      </c>
      <c r="S31" t="s">
        <v>53</v>
      </c>
      <c r="T31">
        <v>2</v>
      </c>
      <c r="U31">
        <v>3</v>
      </c>
      <c r="V31">
        <v>3</v>
      </c>
      <c r="W31" t="s">
        <v>111</v>
      </c>
      <c r="AA31" t="s">
        <v>48</v>
      </c>
      <c r="AB31">
        <v>2</v>
      </c>
      <c r="AD31">
        <v>1</v>
      </c>
      <c r="AE31" t="s">
        <v>89</v>
      </c>
      <c r="AI31">
        <v>12</v>
      </c>
      <c r="AJ31">
        <v>28</v>
      </c>
    </row>
    <row r="32" spans="1:36" x14ac:dyDescent="0.25">
      <c r="A32" t="s">
        <v>828</v>
      </c>
      <c r="B32">
        <v>30</v>
      </c>
      <c r="C32" t="s">
        <v>53</v>
      </c>
      <c r="D32">
        <v>2</v>
      </c>
      <c r="E32">
        <v>1</v>
      </c>
      <c r="F32">
        <v>1</v>
      </c>
      <c r="G32" t="s">
        <v>111</v>
      </c>
      <c r="H32" t="s">
        <v>83</v>
      </c>
      <c r="I32" t="s">
        <v>114</v>
      </c>
      <c r="K32" t="s">
        <v>33</v>
      </c>
      <c r="L32">
        <v>1</v>
      </c>
      <c r="N32">
        <v>3</v>
      </c>
      <c r="O32" t="s">
        <v>46</v>
      </c>
      <c r="P32" t="s">
        <v>66</v>
      </c>
      <c r="Q32" t="s">
        <v>36</v>
      </c>
      <c r="S32" t="s">
        <v>56</v>
      </c>
      <c r="T32">
        <v>2</v>
      </c>
      <c r="V32">
        <v>1</v>
      </c>
      <c r="W32" t="s">
        <v>57</v>
      </c>
      <c r="X32" t="s">
        <v>121</v>
      </c>
      <c r="Y32" t="s">
        <v>123</v>
      </c>
      <c r="AA32" t="s">
        <v>48</v>
      </c>
      <c r="AB32">
        <v>3</v>
      </c>
      <c r="AD32">
        <v>1</v>
      </c>
      <c r="AE32" t="s">
        <v>89</v>
      </c>
      <c r="AI32">
        <v>12</v>
      </c>
      <c r="AJ32">
        <v>36</v>
      </c>
    </row>
    <row r="33" spans="1:36" x14ac:dyDescent="0.25">
      <c r="A33" t="s">
        <v>829</v>
      </c>
      <c r="B33">
        <v>31</v>
      </c>
      <c r="C33" t="s">
        <v>53</v>
      </c>
      <c r="D33">
        <v>3</v>
      </c>
      <c r="E33">
        <v>3</v>
      </c>
      <c r="F33">
        <v>2</v>
      </c>
      <c r="G33" t="s">
        <v>111</v>
      </c>
      <c r="K33" t="s">
        <v>33</v>
      </c>
      <c r="L33">
        <v>1</v>
      </c>
      <c r="N33">
        <v>3</v>
      </c>
      <c r="O33" t="s">
        <v>65</v>
      </c>
      <c r="S33" t="s">
        <v>56</v>
      </c>
      <c r="T33">
        <v>2</v>
      </c>
      <c r="V33">
        <v>1</v>
      </c>
      <c r="W33" t="s">
        <v>57</v>
      </c>
      <c r="X33" t="s">
        <v>122</v>
      </c>
      <c r="Y33" t="s">
        <v>85</v>
      </c>
      <c r="Z33" t="s">
        <v>125</v>
      </c>
      <c r="AA33" t="s">
        <v>43</v>
      </c>
      <c r="AB33">
        <v>3</v>
      </c>
      <c r="AD33">
        <v>1</v>
      </c>
      <c r="AE33" t="s">
        <v>73</v>
      </c>
      <c r="AF33" t="s">
        <v>74</v>
      </c>
      <c r="AG33" t="s">
        <v>100</v>
      </c>
      <c r="AI33">
        <v>15</v>
      </c>
      <c r="AJ33">
        <v>34</v>
      </c>
    </row>
    <row r="34" spans="1:36" x14ac:dyDescent="0.25">
      <c r="A34" t="s">
        <v>830</v>
      </c>
      <c r="B34">
        <v>32</v>
      </c>
      <c r="C34" t="s">
        <v>56</v>
      </c>
      <c r="D34">
        <v>2</v>
      </c>
      <c r="F34">
        <v>1</v>
      </c>
      <c r="G34" t="s">
        <v>57</v>
      </c>
      <c r="H34" t="s">
        <v>121</v>
      </c>
      <c r="I34" t="s">
        <v>85</v>
      </c>
      <c r="K34" t="s">
        <v>45</v>
      </c>
      <c r="L34">
        <v>3</v>
      </c>
      <c r="N34">
        <v>2</v>
      </c>
      <c r="O34" t="s">
        <v>86</v>
      </c>
      <c r="S34" t="s">
        <v>53</v>
      </c>
      <c r="T34">
        <v>2</v>
      </c>
      <c r="U34">
        <v>3</v>
      </c>
      <c r="V34">
        <v>2</v>
      </c>
      <c r="W34" t="s">
        <v>111</v>
      </c>
      <c r="AA34" t="s">
        <v>33</v>
      </c>
      <c r="AB34">
        <v>2</v>
      </c>
      <c r="AD34">
        <v>2</v>
      </c>
      <c r="AE34" t="s">
        <v>46</v>
      </c>
      <c r="AI34">
        <v>12</v>
      </c>
      <c r="AJ34">
        <v>27</v>
      </c>
    </row>
    <row r="35" spans="1:36" x14ac:dyDescent="0.25">
      <c r="A35" t="s">
        <v>831</v>
      </c>
      <c r="B35">
        <v>33</v>
      </c>
      <c r="C35" t="s">
        <v>56</v>
      </c>
      <c r="D35">
        <v>2</v>
      </c>
      <c r="F35">
        <v>1</v>
      </c>
      <c r="G35" t="s">
        <v>57</v>
      </c>
      <c r="K35" t="s">
        <v>63</v>
      </c>
      <c r="L35">
        <v>2</v>
      </c>
      <c r="N35">
        <v>2</v>
      </c>
      <c r="O35" t="s">
        <v>145</v>
      </c>
      <c r="P35" t="s">
        <v>95</v>
      </c>
      <c r="Q35" t="s">
        <v>104</v>
      </c>
      <c r="S35" t="s">
        <v>53</v>
      </c>
      <c r="T35">
        <v>1</v>
      </c>
      <c r="U35">
        <v>2</v>
      </c>
      <c r="V35">
        <v>1</v>
      </c>
      <c r="W35" t="s">
        <v>111</v>
      </c>
      <c r="X35" t="s">
        <v>113</v>
      </c>
      <c r="AA35" t="s">
        <v>33</v>
      </c>
      <c r="AB35">
        <v>3</v>
      </c>
      <c r="AD35">
        <v>1</v>
      </c>
      <c r="AE35" t="s">
        <v>46</v>
      </c>
      <c r="AF35" t="s">
        <v>35</v>
      </c>
      <c r="AI35">
        <v>10</v>
      </c>
      <c r="AJ35">
        <v>25</v>
      </c>
    </row>
    <row r="36" spans="1:36" x14ac:dyDescent="0.25">
      <c r="A36" t="s">
        <v>832</v>
      </c>
      <c r="B36">
        <v>34</v>
      </c>
      <c r="C36" t="s">
        <v>53</v>
      </c>
      <c r="D36">
        <v>2</v>
      </c>
      <c r="E36">
        <v>1</v>
      </c>
      <c r="F36">
        <v>2</v>
      </c>
      <c r="G36" t="s">
        <v>111</v>
      </c>
      <c r="H36" t="s">
        <v>113</v>
      </c>
      <c r="K36" t="s">
        <v>33</v>
      </c>
      <c r="L36">
        <v>1</v>
      </c>
      <c r="N36">
        <v>3</v>
      </c>
      <c r="O36" t="s">
        <v>65</v>
      </c>
      <c r="P36" t="s">
        <v>35</v>
      </c>
      <c r="Q36" t="s">
        <v>131</v>
      </c>
      <c r="S36" t="s">
        <v>56</v>
      </c>
      <c r="T36">
        <v>3</v>
      </c>
      <c r="V36">
        <v>1</v>
      </c>
      <c r="W36" t="s">
        <v>57</v>
      </c>
      <c r="AA36" t="s">
        <v>38</v>
      </c>
      <c r="AB36">
        <v>3</v>
      </c>
      <c r="AC36">
        <v>1</v>
      </c>
      <c r="AD36">
        <v>2</v>
      </c>
      <c r="AE36" t="s">
        <v>152</v>
      </c>
      <c r="AF36" t="s">
        <v>96</v>
      </c>
      <c r="AI36">
        <v>13</v>
      </c>
      <c r="AJ36">
        <v>38</v>
      </c>
    </row>
    <row r="37" spans="1:36" x14ac:dyDescent="0.25">
      <c r="A37" t="s">
        <v>833</v>
      </c>
      <c r="B37">
        <v>35</v>
      </c>
      <c r="C37" t="s">
        <v>53</v>
      </c>
      <c r="D37">
        <v>2</v>
      </c>
      <c r="E37">
        <v>1</v>
      </c>
      <c r="F37">
        <v>1</v>
      </c>
      <c r="G37" t="s">
        <v>111</v>
      </c>
      <c r="K37" t="s">
        <v>33</v>
      </c>
      <c r="L37">
        <v>2</v>
      </c>
      <c r="N37">
        <v>2</v>
      </c>
      <c r="O37" t="s">
        <v>65</v>
      </c>
      <c r="S37" t="s">
        <v>48</v>
      </c>
      <c r="T37">
        <v>3</v>
      </c>
      <c r="V37">
        <v>2</v>
      </c>
      <c r="W37" t="s">
        <v>89</v>
      </c>
      <c r="AA37" t="s">
        <v>43</v>
      </c>
      <c r="AB37">
        <v>2</v>
      </c>
      <c r="AD37">
        <v>1</v>
      </c>
      <c r="AE37" t="s">
        <v>44</v>
      </c>
      <c r="AI37">
        <v>7</v>
      </c>
      <c r="AJ37">
        <v>26</v>
      </c>
    </row>
    <row r="38" spans="1:36" x14ac:dyDescent="0.25">
      <c r="A38" t="s">
        <v>834</v>
      </c>
      <c r="B38">
        <v>36</v>
      </c>
      <c r="C38" t="s">
        <v>48</v>
      </c>
      <c r="D38">
        <v>3</v>
      </c>
      <c r="F38">
        <v>1</v>
      </c>
      <c r="G38" t="s">
        <v>89</v>
      </c>
      <c r="K38" t="s">
        <v>45</v>
      </c>
      <c r="L38">
        <v>2</v>
      </c>
      <c r="N38">
        <v>1</v>
      </c>
      <c r="O38" t="s">
        <v>86</v>
      </c>
      <c r="S38" t="s">
        <v>53</v>
      </c>
      <c r="T38">
        <v>2</v>
      </c>
      <c r="U38">
        <v>1</v>
      </c>
      <c r="V38">
        <v>1</v>
      </c>
      <c r="W38" t="s">
        <v>111</v>
      </c>
      <c r="X38" t="s">
        <v>83</v>
      </c>
      <c r="AA38" t="s">
        <v>33</v>
      </c>
      <c r="AB38">
        <v>1</v>
      </c>
      <c r="AD38">
        <v>1</v>
      </c>
      <c r="AE38" t="s">
        <v>46</v>
      </c>
      <c r="AI38">
        <v>5</v>
      </c>
      <c r="AJ38">
        <v>24</v>
      </c>
    </row>
    <row r="39" spans="1:36" x14ac:dyDescent="0.25">
      <c r="A39" t="s">
        <v>835</v>
      </c>
      <c r="B39">
        <v>37</v>
      </c>
      <c r="C39" t="s">
        <v>53</v>
      </c>
      <c r="D39">
        <v>3</v>
      </c>
      <c r="E39">
        <v>1</v>
      </c>
      <c r="F39">
        <v>1</v>
      </c>
      <c r="G39" t="s">
        <v>111</v>
      </c>
      <c r="H39" t="s">
        <v>83</v>
      </c>
      <c r="I39" t="s">
        <v>105</v>
      </c>
      <c r="K39" t="s">
        <v>33</v>
      </c>
      <c r="L39">
        <v>2</v>
      </c>
      <c r="N39">
        <v>3</v>
      </c>
      <c r="O39" t="s">
        <v>46</v>
      </c>
      <c r="S39" t="s">
        <v>48</v>
      </c>
      <c r="T39">
        <v>3</v>
      </c>
      <c r="V39">
        <v>3</v>
      </c>
      <c r="W39" t="s">
        <v>89</v>
      </c>
      <c r="X39" t="s">
        <v>71</v>
      </c>
      <c r="AA39" t="s">
        <v>63</v>
      </c>
      <c r="AB39">
        <v>1</v>
      </c>
      <c r="AD39">
        <v>1</v>
      </c>
      <c r="AE39" t="s">
        <v>72</v>
      </c>
      <c r="AI39">
        <v>12</v>
      </c>
      <c r="AJ39">
        <v>35</v>
      </c>
    </row>
    <row r="40" spans="1:36" x14ac:dyDescent="0.25">
      <c r="A40" t="s">
        <v>836</v>
      </c>
      <c r="B40">
        <v>38</v>
      </c>
      <c r="C40" t="s">
        <v>48</v>
      </c>
      <c r="D40">
        <v>3</v>
      </c>
      <c r="F40">
        <v>3</v>
      </c>
      <c r="G40" t="s">
        <v>89</v>
      </c>
      <c r="H40" t="s">
        <v>50</v>
      </c>
      <c r="I40" t="s">
        <v>51</v>
      </c>
      <c r="J40" t="s">
        <v>128</v>
      </c>
      <c r="K40" t="s">
        <v>38</v>
      </c>
      <c r="L40">
        <v>1</v>
      </c>
      <c r="M40">
        <v>1</v>
      </c>
      <c r="N40">
        <v>1</v>
      </c>
      <c r="O40" t="s">
        <v>152</v>
      </c>
      <c r="P40" t="s">
        <v>70</v>
      </c>
      <c r="S40" t="s">
        <v>53</v>
      </c>
      <c r="T40">
        <v>2</v>
      </c>
      <c r="U40">
        <v>3</v>
      </c>
      <c r="V40">
        <v>1</v>
      </c>
      <c r="W40" t="s">
        <v>111</v>
      </c>
      <c r="X40" t="s">
        <v>55</v>
      </c>
      <c r="AA40" t="s">
        <v>33</v>
      </c>
      <c r="AB40">
        <v>3</v>
      </c>
      <c r="AD40">
        <v>3</v>
      </c>
      <c r="AE40" t="s">
        <v>65</v>
      </c>
      <c r="AI40">
        <v>16</v>
      </c>
      <c r="AJ40">
        <v>39</v>
      </c>
    </row>
    <row r="41" spans="1:36" x14ac:dyDescent="0.25">
      <c r="A41" t="s">
        <v>837</v>
      </c>
      <c r="B41">
        <v>39</v>
      </c>
      <c r="C41" t="s">
        <v>43</v>
      </c>
      <c r="D41">
        <v>3</v>
      </c>
      <c r="F41">
        <v>1</v>
      </c>
      <c r="G41" t="s">
        <v>73</v>
      </c>
      <c r="H41" t="s">
        <v>136</v>
      </c>
      <c r="K41" t="s">
        <v>45</v>
      </c>
      <c r="L41">
        <v>3</v>
      </c>
      <c r="N41">
        <v>1</v>
      </c>
      <c r="O41" t="s">
        <v>140</v>
      </c>
      <c r="S41" t="s">
        <v>53</v>
      </c>
      <c r="T41">
        <v>2</v>
      </c>
      <c r="U41">
        <v>1</v>
      </c>
      <c r="V41">
        <v>1</v>
      </c>
      <c r="W41" t="s">
        <v>111</v>
      </c>
      <c r="X41" t="s">
        <v>83</v>
      </c>
      <c r="AA41" t="s">
        <v>33</v>
      </c>
      <c r="AB41">
        <v>1</v>
      </c>
      <c r="AD41">
        <v>3</v>
      </c>
      <c r="AE41" t="s">
        <v>65</v>
      </c>
      <c r="AF41" t="s">
        <v>66</v>
      </c>
      <c r="AG41" t="s">
        <v>131</v>
      </c>
      <c r="AI41">
        <v>12</v>
      </c>
      <c r="AJ41">
        <v>27</v>
      </c>
    </row>
    <row r="42" spans="1:36" x14ac:dyDescent="0.25">
      <c r="A42" t="s">
        <v>838</v>
      </c>
      <c r="B42">
        <v>40</v>
      </c>
      <c r="C42" t="s">
        <v>53</v>
      </c>
      <c r="D42">
        <v>3</v>
      </c>
      <c r="E42">
        <v>1</v>
      </c>
      <c r="F42">
        <v>1</v>
      </c>
      <c r="G42" t="s">
        <v>111</v>
      </c>
      <c r="H42" t="s">
        <v>83</v>
      </c>
      <c r="K42" t="s">
        <v>33</v>
      </c>
      <c r="L42">
        <v>1</v>
      </c>
      <c r="N42">
        <v>2</v>
      </c>
      <c r="O42" t="s">
        <v>46</v>
      </c>
      <c r="S42" t="s">
        <v>43</v>
      </c>
      <c r="T42">
        <v>3</v>
      </c>
      <c r="V42">
        <v>1</v>
      </c>
      <c r="W42" t="s">
        <v>44</v>
      </c>
      <c r="X42" t="s">
        <v>136</v>
      </c>
      <c r="AA42" t="s">
        <v>63</v>
      </c>
      <c r="AB42">
        <v>2</v>
      </c>
      <c r="AD42">
        <v>1</v>
      </c>
      <c r="AE42" t="s">
        <v>72</v>
      </c>
      <c r="AF42" t="s">
        <v>95</v>
      </c>
      <c r="AG42" t="s">
        <v>104</v>
      </c>
      <c r="AI42">
        <v>10</v>
      </c>
      <c r="AJ42">
        <v>23</v>
      </c>
    </row>
    <row r="43" spans="1:36" x14ac:dyDescent="0.25">
      <c r="A43" t="s">
        <v>839</v>
      </c>
      <c r="B43">
        <v>41</v>
      </c>
      <c r="C43" t="s">
        <v>53</v>
      </c>
      <c r="D43">
        <v>2</v>
      </c>
      <c r="E43">
        <v>1</v>
      </c>
      <c r="F43">
        <v>1</v>
      </c>
      <c r="G43" t="s">
        <v>111</v>
      </c>
      <c r="K43" t="s">
        <v>33</v>
      </c>
      <c r="L43">
        <v>2</v>
      </c>
      <c r="N43">
        <v>3</v>
      </c>
      <c r="O43" t="s">
        <v>65</v>
      </c>
      <c r="S43" t="s">
        <v>43</v>
      </c>
      <c r="T43">
        <v>3</v>
      </c>
      <c r="V43">
        <v>1</v>
      </c>
      <c r="W43" t="s">
        <v>135</v>
      </c>
      <c r="X43" t="s">
        <v>136</v>
      </c>
      <c r="AA43" t="s">
        <v>38</v>
      </c>
      <c r="AB43">
        <v>1</v>
      </c>
      <c r="AC43">
        <v>1</v>
      </c>
      <c r="AD43">
        <v>1</v>
      </c>
      <c r="AE43" t="s">
        <v>152</v>
      </c>
      <c r="AF43" t="s">
        <v>70</v>
      </c>
      <c r="AI43">
        <v>8</v>
      </c>
      <c r="AJ43">
        <v>23</v>
      </c>
    </row>
    <row r="44" spans="1:36" x14ac:dyDescent="0.25">
      <c r="A44" t="s">
        <v>840</v>
      </c>
      <c r="B44">
        <v>42</v>
      </c>
      <c r="C44" t="s">
        <v>53</v>
      </c>
      <c r="D44">
        <v>2</v>
      </c>
      <c r="E44">
        <v>3</v>
      </c>
      <c r="F44">
        <v>3</v>
      </c>
      <c r="G44" t="s">
        <v>111</v>
      </c>
      <c r="H44" t="s">
        <v>83</v>
      </c>
      <c r="K44" t="s">
        <v>33</v>
      </c>
      <c r="L44">
        <v>1</v>
      </c>
      <c r="N44">
        <v>2</v>
      </c>
      <c r="O44" t="s">
        <v>46</v>
      </c>
      <c r="S44" t="s">
        <v>45</v>
      </c>
      <c r="T44">
        <v>3</v>
      </c>
      <c r="V44">
        <v>2</v>
      </c>
      <c r="W44" t="s">
        <v>47</v>
      </c>
      <c r="X44" t="s">
        <v>76</v>
      </c>
      <c r="Y44" t="s">
        <v>93</v>
      </c>
      <c r="Z44" t="s">
        <v>143</v>
      </c>
      <c r="AA44" t="s">
        <v>63</v>
      </c>
      <c r="AB44">
        <v>1</v>
      </c>
      <c r="AD44">
        <v>1</v>
      </c>
      <c r="AE44" t="s">
        <v>103</v>
      </c>
      <c r="AF44" t="s">
        <v>95</v>
      </c>
      <c r="AG44" t="s">
        <v>104</v>
      </c>
      <c r="AI44">
        <v>15</v>
      </c>
      <c r="AJ44">
        <v>34</v>
      </c>
    </row>
    <row r="45" spans="1:36" x14ac:dyDescent="0.25">
      <c r="A45" t="s">
        <v>841</v>
      </c>
      <c r="B45">
        <v>43</v>
      </c>
      <c r="C45" t="s">
        <v>45</v>
      </c>
      <c r="D45">
        <v>3</v>
      </c>
      <c r="F45">
        <v>1</v>
      </c>
      <c r="G45" t="s">
        <v>86</v>
      </c>
      <c r="K45" t="s">
        <v>38</v>
      </c>
      <c r="L45">
        <v>1</v>
      </c>
      <c r="M45">
        <v>2</v>
      </c>
      <c r="N45">
        <v>2</v>
      </c>
      <c r="O45" t="s">
        <v>152</v>
      </c>
      <c r="S45" t="s">
        <v>53</v>
      </c>
      <c r="T45">
        <v>1</v>
      </c>
      <c r="U45">
        <v>1</v>
      </c>
      <c r="V45">
        <v>1</v>
      </c>
      <c r="W45" t="s">
        <v>111</v>
      </c>
      <c r="AA45" t="s">
        <v>33</v>
      </c>
      <c r="AB45">
        <v>1</v>
      </c>
      <c r="AD45">
        <v>1</v>
      </c>
      <c r="AE45" t="s">
        <v>65</v>
      </c>
      <c r="AF45" t="s">
        <v>130</v>
      </c>
      <c r="AG45" t="s">
        <v>36</v>
      </c>
      <c r="AI45">
        <v>6</v>
      </c>
      <c r="AJ45">
        <v>20</v>
      </c>
    </row>
    <row r="46" spans="1:36" x14ac:dyDescent="0.25">
      <c r="A46" t="s">
        <v>842</v>
      </c>
      <c r="B46">
        <v>44</v>
      </c>
      <c r="C46" t="s">
        <v>53</v>
      </c>
      <c r="D46">
        <v>2</v>
      </c>
      <c r="E46">
        <v>2</v>
      </c>
      <c r="F46">
        <v>1</v>
      </c>
      <c r="G46" t="s">
        <v>111</v>
      </c>
      <c r="K46" t="s">
        <v>33</v>
      </c>
      <c r="L46">
        <v>1</v>
      </c>
      <c r="N46">
        <v>3</v>
      </c>
      <c r="O46" t="s">
        <v>65</v>
      </c>
      <c r="P46" t="s">
        <v>35</v>
      </c>
      <c r="Q46" t="s">
        <v>131</v>
      </c>
      <c r="R46" t="s">
        <v>133</v>
      </c>
      <c r="S46" t="s">
        <v>63</v>
      </c>
      <c r="T46">
        <v>2</v>
      </c>
      <c r="V46">
        <v>1</v>
      </c>
      <c r="W46" t="s">
        <v>72</v>
      </c>
      <c r="X46" t="s">
        <v>95</v>
      </c>
      <c r="Y46" t="s">
        <v>104</v>
      </c>
      <c r="AA46" t="s">
        <v>38</v>
      </c>
      <c r="AB46">
        <v>1</v>
      </c>
      <c r="AC46">
        <v>1</v>
      </c>
      <c r="AD46">
        <v>2</v>
      </c>
      <c r="AE46" t="s">
        <v>152</v>
      </c>
      <c r="AI46">
        <v>11</v>
      </c>
      <c r="AJ46">
        <v>25</v>
      </c>
    </row>
    <row r="47" spans="1:36" x14ac:dyDescent="0.25">
      <c r="A47" t="s">
        <v>843</v>
      </c>
      <c r="B47">
        <v>45</v>
      </c>
      <c r="C47" t="s">
        <v>53</v>
      </c>
      <c r="D47">
        <v>1</v>
      </c>
      <c r="E47">
        <v>1</v>
      </c>
      <c r="F47">
        <v>1</v>
      </c>
      <c r="G47" t="s">
        <v>111</v>
      </c>
      <c r="H47" t="s">
        <v>113</v>
      </c>
      <c r="I47" t="s">
        <v>105</v>
      </c>
      <c r="K47" t="s">
        <v>43</v>
      </c>
      <c r="L47">
        <v>3</v>
      </c>
      <c r="N47">
        <v>1</v>
      </c>
      <c r="O47" t="s">
        <v>44</v>
      </c>
      <c r="P47" t="s">
        <v>74</v>
      </c>
      <c r="Q47" t="s">
        <v>100</v>
      </c>
      <c r="S47" t="s">
        <v>56</v>
      </c>
      <c r="T47">
        <v>2</v>
      </c>
      <c r="V47">
        <v>1</v>
      </c>
      <c r="W47" t="s">
        <v>57</v>
      </c>
      <c r="AA47" t="s">
        <v>48</v>
      </c>
      <c r="AB47">
        <v>3</v>
      </c>
      <c r="AD47">
        <v>2</v>
      </c>
      <c r="AE47" t="s">
        <v>89</v>
      </c>
      <c r="AI47">
        <v>10</v>
      </c>
      <c r="AJ47">
        <v>27</v>
      </c>
    </row>
    <row r="48" spans="1:36" x14ac:dyDescent="0.25">
      <c r="A48" t="s">
        <v>844</v>
      </c>
      <c r="B48">
        <v>46</v>
      </c>
      <c r="C48" t="s">
        <v>53</v>
      </c>
      <c r="D48">
        <v>1</v>
      </c>
      <c r="E48">
        <v>1</v>
      </c>
      <c r="F48">
        <v>1</v>
      </c>
      <c r="G48" t="s">
        <v>111</v>
      </c>
      <c r="H48" t="s">
        <v>113</v>
      </c>
      <c r="K48" t="s">
        <v>43</v>
      </c>
      <c r="L48">
        <v>3</v>
      </c>
      <c r="N48">
        <v>1</v>
      </c>
      <c r="O48" t="s">
        <v>44</v>
      </c>
      <c r="P48" t="s">
        <v>136</v>
      </c>
      <c r="Q48" t="s">
        <v>100</v>
      </c>
      <c r="S48" t="s">
        <v>56</v>
      </c>
      <c r="T48">
        <v>2</v>
      </c>
      <c r="V48">
        <v>3</v>
      </c>
      <c r="W48" t="s">
        <v>68</v>
      </c>
      <c r="AA48" t="s">
        <v>33</v>
      </c>
      <c r="AB48">
        <v>1</v>
      </c>
      <c r="AD48">
        <v>2</v>
      </c>
      <c r="AE48" t="s">
        <v>65</v>
      </c>
      <c r="AF48" t="s">
        <v>35</v>
      </c>
      <c r="AI48">
        <v>10</v>
      </c>
      <c r="AJ48">
        <v>26</v>
      </c>
    </row>
    <row r="49" spans="1:36" x14ac:dyDescent="0.25">
      <c r="A49" t="s">
        <v>845</v>
      </c>
      <c r="B49">
        <v>47</v>
      </c>
      <c r="C49" t="s">
        <v>53</v>
      </c>
      <c r="D49">
        <v>1</v>
      </c>
      <c r="E49">
        <v>2</v>
      </c>
      <c r="F49">
        <v>1</v>
      </c>
      <c r="G49" t="s">
        <v>111</v>
      </c>
      <c r="H49" t="s">
        <v>83</v>
      </c>
      <c r="I49" t="s">
        <v>105</v>
      </c>
      <c r="K49" t="s">
        <v>43</v>
      </c>
      <c r="L49">
        <v>2</v>
      </c>
      <c r="N49">
        <v>1</v>
      </c>
      <c r="O49" t="s">
        <v>44</v>
      </c>
      <c r="P49" t="s">
        <v>136</v>
      </c>
      <c r="Q49" t="s">
        <v>100</v>
      </c>
      <c r="S49" t="s">
        <v>56</v>
      </c>
      <c r="T49">
        <v>2</v>
      </c>
      <c r="V49">
        <v>2</v>
      </c>
      <c r="W49" t="s">
        <v>57</v>
      </c>
      <c r="X49" t="s">
        <v>121</v>
      </c>
      <c r="AA49" t="s">
        <v>45</v>
      </c>
      <c r="AB49">
        <v>2</v>
      </c>
      <c r="AD49">
        <v>1</v>
      </c>
      <c r="AE49" t="s">
        <v>86</v>
      </c>
      <c r="AI49">
        <v>10</v>
      </c>
      <c r="AJ49">
        <v>25</v>
      </c>
    </row>
    <row r="50" spans="1:36" x14ac:dyDescent="0.25">
      <c r="A50" t="s">
        <v>846</v>
      </c>
      <c r="B50">
        <v>48</v>
      </c>
      <c r="C50" t="s">
        <v>53</v>
      </c>
      <c r="D50">
        <v>3</v>
      </c>
      <c r="E50">
        <v>1</v>
      </c>
      <c r="F50">
        <v>1</v>
      </c>
      <c r="G50" t="s">
        <v>54</v>
      </c>
      <c r="K50" t="s">
        <v>43</v>
      </c>
      <c r="L50">
        <v>2</v>
      </c>
      <c r="N50">
        <v>1</v>
      </c>
      <c r="O50" t="s">
        <v>44</v>
      </c>
      <c r="P50" t="s">
        <v>99</v>
      </c>
      <c r="S50" t="s">
        <v>56</v>
      </c>
      <c r="T50">
        <v>2</v>
      </c>
      <c r="V50">
        <v>1</v>
      </c>
      <c r="W50" t="s">
        <v>57</v>
      </c>
      <c r="AA50" t="s">
        <v>63</v>
      </c>
      <c r="AB50">
        <v>1</v>
      </c>
      <c r="AD50">
        <v>1</v>
      </c>
      <c r="AE50" t="s">
        <v>72</v>
      </c>
      <c r="AF50" t="s">
        <v>95</v>
      </c>
      <c r="AI50">
        <v>6</v>
      </c>
      <c r="AJ50">
        <v>16</v>
      </c>
    </row>
    <row r="51" spans="1:36" x14ac:dyDescent="0.25">
      <c r="A51" t="s">
        <v>847</v>
      </c>
      <c r="B51">
        <v>49</v>
      </c>
      <c r="C51" t="s">
        <v>56</v>
      </c>
      <c r="D51">
        <v>3</v>
      </c>
      <c r="F51">
        <v>3</v>
      </c>
      <c r="G51" t="s">
        <v>57</v>
      </c>
      <c r="H51" t="s">
        <v>122</v>
      </c>
      <c r="I51" t="s">
        <v>85</v>
      </c>
      <c r="J51" t="s">
        <v>124</v>
      </c>
      <c r="K51" t="s">
        <v>38</v>
      </c>
      <c r="L51">
        <v>1</v>
      </c>
      <c r="M51">
        <v>1</v>
      </c>
      <c r="N51">
        <v>2</v>
      </c>
      <c r="O51" t="s">
        <v>152</v>
      </c>
      <c r="S51" t="s">
        <v>53</v>
      </c>
      <c r="T51">
        <v>2</v>
      </c>
      <c r="U51">
        <v>1</v>
      </c>
      <c r="V51">
        <v>1</v>
      </c>
      <c r="W51" t="s">
        <v>111</v>
      </c>
      <c r="AA51" t="s">
        <v>43</v>
      </c>
      <c r="AB51">
        <v>3</v>
      </c>
      <c r="AD51">
        <v>3</v>
      </c>
      <c r="AE51" t="s">
        <v>73</v>
      </c>
      <c r="AF51" t="s">
        <v>99</v>
      </c>
      <c r="AG51" t="s">
        <v>100</v>
      </c>
      <c r="AH51" t="s">
        <v>101</v>
      </c>
      <c r="AI51">
        <v>16</v>
      </c>
      <c r="AJ51">
        <v>40</v>
      </c>
    </row>
    <row r="52" spans="1:36" x14ac:dyDescent="0.25">
      <c r="A52" t="s">
        <v>848</v>
      </c>
      <c r="B52">
        <v>50</v>
      </c>
      <c r="C52" t="s">
        <v>53</v>
      </c>
      <c r="D52">
        <v>1</v>
      </c>
      <c r="E52">
        <v>1</v>
      </c>
      <c r="F52">
        <v>1</v>
      </c>
      <c r="G52" t="s">
        <v>111</v>
      </c>
      <c r="H52" t="s">
        <v>113</v>
      </c>
      <c r="I52" t="s">
        <v>97</v>
      </c>
      <c r="K52" t="s">
        <v>43</v>
      </c>
      <c r="L52">
        <v>3</v>
      </c>
      <c r="N52">
        <v>2</v>
      </c>
      <c r="O52" t="s">
        <v>44</v>
      </c>
      <c r="S52" t="s">
        <v>48</v>
      </c>
      <c r="T52">
        <v>2</v>
      </c>
      <c r="V52">
        <v>1</v>
      </c>
      <c r="W52" t="s">
        <v>89</v>
      </c>
      <c r="AA52" t="s">
        <v>33</v>
      </c>
      <c r="AB52">
        <v>2</v>
      </c>
      <c r="AD52">
        <v>2</v>
      </c>
      <c r="AE52" t="s">
        <v>65</v>
      </c>
      <c r="AI52">
        <v>8</v>
      </c>
      <c r="AJ52">
        <v>23</v>
      </c>
    </row>
    <row r="53" spans="1:36" x14ac:dyDescent="0.25">
      <c r="A53" t="s">
        <v>849</v>
      </c>
      <c r="B53">
        <v>51</v>
      </c>
      <c r="C53" t="s">
        <v>53</v>
      </c>
      <c r="D53">
        <v>3</v>
      </c>
      <c r="E53">
        <v>2</v>
      </c>
      <c r="F53">
        <v>1</v>
      </c>
      <c r="G53" t="s">
        <v>111</v>
      </c>
      <c r="H53" t="s">
        <v>83</v>
      </c>
      <c r="I53" t="s">
        <v>105</v>
      </c>
      <c r="J53" t="s">
        <v>98</v>
      </c>
      <c r="K53" t="s">
        <v>43</v>
      </c>
      <c r="L53">
        <v>2</v>
      </c>
      <c r="N53">
        <v>1</v>
      </c>
      <c r="O53" t="s">
        <v>44</v>
      </c>
      <c r="S53" t="s">
        <v>48</v>
      </c>
      <c r="T53">
        <v>3</v>
      </c>
      <c r="V53">
        <v>2</v>
      </c>
      <c r="W53" t="s">
        <v>89</v>
      </c>
      <c r="X53" t="s">
        <v>84</v>
      </c>
      <c r="Y53" t="s">
        <v>127</v>
      </c>
      <c r="AA53" t="s">
        <v>45</v>
      </c>
      <c r="AB53">
        <v>2</v>
      </c>
      <c r="AD53">
        <v>1</v>
      </c>
      <c r="AE53" t="s">
        <v>86</v>
      </c>
      <c r="AI53">
        <v>13</v>
      </c>
      <c r="AJ53">
        <v>34</v>
      </c>
    </row>
    <row r="54" spans="1:36" x14ac:dyDescent="0.25">
      <c r="A54" t="s">
        <v>850</v>
      </c>
      <c r="B54">
        <v>52</v>
      </c>
      <c r="C54" t="s">
        <v>53</v>
      </c>
      <c r="D54">
        <v>1</v>
      </c>
      <c r="E54">
        <v>1</v>
      </c>
      <c r="F54">
        <v>1</v>
      </c>
      <c r="G54" t="s">
        <v>111</v>
      </c>
      <c r="H54" t="s">
        <v>55</v>
      </c>
      <c r="K54" t="s">
        <v>43</v>
      </c>
      <c r="L54">
        <v>3</v>
      </c>
      <c r="N54">
        <v>1</v>
      </c>
      <c r="O54" t="s">
        <v>44</v>
      </c>
      <c r="P54" t="s">
        <v>74</v>
      </c>
      <c r="Q54" t="s">
        <v>100</v>
      </c>
      <c r="S54" t="s">
        <v>48</v>
      </c>
      <c r="T54">
        <v>2</v>
      </c>
      <c r="V54">
        <v>1</v>
      </c>
      <c r="W54" t="s">
        <v>89</v>
      </c>
      <c r="AA54" t="s">
        <v>63</v>
      </c>
      <c r="AB54">
        <v>2</v>
      </c>
      <c r="AD54">
        <v>1</v>
      </c>
      <c r="AE54" t="s">
        <v>72</v>
      </c>
      <c r="AF54" t="s">
        <v>95</v>
      </c>
      <c r="AI54">
        <v>8</v>
      </c>
      <c r="AJ54">
        <v>22</v>
      </c>
    </row>
    <row r="55" spans="1:36" x14ac:dyDescent="0.25">
      <c r="A55" t="s">
        <v>851</v>
      </c>
      <c r="B55">
        <v>53</v>
      </c>
      <c r="C55" t="s">
        <v>53</v>
      </c>
      <c r="D55">
        <v>2</v>
      </c>
      <c r="E55">
        <v>1</v>
      </c>
      <c r="F55">
        <v>2</v>
      </c>
      <c r="G55" t="s">
        <v>111</v>
      </c>
      <c r="H55" t="s">
        <v>83</v>
      </c>
      <c r="I55" t="s">
        <v>105</v>
      </c>
      <c r="K55" t="s">
        <v>43</v>
      </c>
      <c r="L55">
        <v>3</v>
      </c>
      <c r="N55">
        <v>1</v>
      </c>
      <c r="O55" t="s">
        <v>44</v>
      </c>
      <c r="P55" t="s">
        <v>74</v>
      </c>
      <c r="S55" t="s">
        <v>48</v>
      </c>
      <c r="T55">
        <v>3</v>
      </c>
      <c r="V55">
        <v>1</v>
      </c>
      <c r="W55" t="s">
        <v>89</v>
      </c>
      <c r="X55" t="s">
        <v>71</v>
      </c>
      <c r="Y55" t="s">
        <v>90</v>
      </c>
      <c r="AA55" t="s">
        <v>38</v>
      </c>
      <c r="AB55">
        <v>2</v>
      </c>
      <c r="AC55">
        <v>2</v>
      </c>
      <c r="AD55">
        <v>1</v>
      </c>
      <c r="AE55" t="s">
        <v>152</v>
      </c>
      <c r="AI55">
        <v>13</v>
      </c>
      <c r="AJ55">
        <v>36</v>
      </c>
    </row>
    <row r="56" spans="1:36" x14ac:dyDescent="0.25">
      <c r="A56" t="s">
        <v>852</v>
      </c>
      <c r="B56">
        <v>54</v>
      </c>
      <c r="C56" t="s">
        <v>53</v>
      </c>
      <c r="D56">
        <v>1</v>
      </c>
      <c r="E56">
        <v>1</v>
      </c>
      <c r="F56">
        <v>1</v>
      </c>
      <c r="G56" t="s">
        <v>111</v>
      </c>
      <c r="K56" t="s">
        <v>43</v>
      </c>
      <c r="L56">
        <v>3</v>
      </c>
      <c r="N56">
        <v>2</v>
      </c>
      <c r="O56" t="s">
        <v>44</v>
      </c>
      <c r="S56" t="s">
        <v>33</v>
      </c>
      <c r="T56">
        <v>2</v>
      </c>
      <c r="V56">
        <v>2</v>
      </c>
      <c r="W56" t="s">
        <v>65</v>
      </c>
      <c r="AA56" t="s">
        <v>45</v>
      </c>
      <c r="AB56">
        <v>2</v>
      </c>
      <c r="AD56">
        <v>1</v>
      </c>
      <c r="AE56" t="s">
        <v>140</v>
      </c>
      <c r="AI56">
        <v>6</v>
      </c>
      <c r="AJ56">
        <v>16</v>
      </c>
    </row>
    <row r="57" spans="1:36" x14ac:dyDescent="0.25">
      <c r="A57" t="s">
        <v>853</v>
      </c>
      <c r="B57">
        <v>55</v>
      </c>
      <c r="C57" t="s">
        <v>53</v>
      </c>
      <c r="D57">
        <v>1</v>
      </c>
      <c r="E57">
        <v>1</v>
      </c>
      <c r="F57">
        <v>1</v>
      </c>
      <c r="G57" t="s">
        <v>111</v>
      </c>
      <c r="K57" t="s">
        <v>43</v>
      </c>
      <c r="L57">
        <v>3</v>
      </c>
      <c r="N57">
        <v>3</v>
      </c>
      <c r="O57" t="s">
        <v>44</v>
      </c>
      <c r="P57" t="s">
        <v>136</v>
      </c>
      <c r="S57" t="s">
        <v>33</v>
      </c>
      <c r="T57">
        <v>3</v>
      </c>
      <c r="V57">
        <v>3</v>
      </c>
      <c r="W57" t="s">
        <v>65</v>
      </c>
      <c r="AA57" t="s">
        <v>63</v>
      </c>
      <c r="AB57">
        <v>1</v>
      </c>
      <c r="AD57">
        <v>1</v>
      </c>
      <c r="AE57" t="s">
        <v>145</v>
      </c>
      <c r="AF57" t="s">
        <v>91</v>
      </c>
      <c r="AI57">
        <v>10</v>
      </c>
      <c r="AJ57">
        <v>31</v>
      </c>
    </row>
    <row r="58" spans="1:36" x14ac:dyDescent="0.25">
      <c r="A58" t="s">
        <v>854</v>
      </c>
      <c r="B58">
        <v>56</v>
      </c>
      <c r="C58" t="s">
        <v>33</v>
      </c>
      <c r="D58">
        <v>3</v>
      </c>
      <c r="F58">
        <v>3</v>
      </c>
      <c r="G58" t="s">
        <v>65</v>
      </c>
      <c r="K58" t="s">
        <v>38</v>
      </c>
      <c r="L58">
        <v>1</v>
      </c>
      <c r="M58">
        <v>1</v>
      </c>
      <c r="N58">
        <v>1</v>
      </c>
      <c r="O58" t="s">
        <v>152</v>
      </c>
      <c r="P58" t="s">
        <v>70</v>
      </c>
      <c r="S58" t="s">
        <v>53</v>
      </c>
      <c r="T58">
        <v>2</v>
      </c>
      <c r="U58">
        <v>1</v>
      </c>
      <c r="V58">
        <v>1</v>
      </c>
      <c r="W58" t="s">
        <v>111</v>
      </c>
      <c r="X58" t="s">
        <v>55</v>
      </c>
      <c r="AA58" t="s">
        <v>43</v>
      </c>
      <c r="AB58">
        <v>3</v>
      </c>
      <c r="AD58">
        <v>1</v>
      </c>
      <c r="AE58" t="s">
        <v>44</v>
      </c>
      <c r="AF58" t="s">
        <v>136</v>
      </c>
      <c r="AI58">
        <v>10</v>
      </c>
      <c r="AJ58">
        <v>33</v>
      </c>
    </row>
    <row r="59" spans="1:36" x14ac:dyDescent="0.25">
      <c r="A59" t="s">
        <v>855</v>
      </c>
      <c r="B59">
        <v>57</v>
      </c>
      <c r="C59" t="s">
        <v>53</v>
      </c>
      <c r="D59">
        <v>2</v>
      </c>
      <c r="E59">
        <v>1</v>
      </c>
      <c r="F59">
        <v>1</v>
      </c>
      <c r="G59" t="s">
        <v>111</v>
      </c>
      <c r="K59" t="s">
        <v>43</v>
      </c>
      <c r="L59">
        <v>2</v>
      </c>
      <c r="N59">
        <v>2</v>
      </c>
      <c r="O59" t="s">
        <v>44</v>
      </c>
      <c r="S59" t="s">
        <v>45</v>
      </c>
      <c r="T59">
        <v>2</v>
      </c>
      <c r="V59">
        <v>1</v>
      </c>
      <c r="W59" t="s">
        <v>86</v>
      </c>
      <c r="AA59" t="s">
        <v>63</v>
      </c>
      <c r="AB59">
        <v>3</v>
      </c>
      <c r="AD59">
        <v>1</v>
      </c>
      <c r="AE59" t="s">
        <v>72</v>
      </c>
      <c r="AI59">
        <v>6</v>
      </c>
      <c r="AJ59">
        <v>15</v>
      </c>
    </row>
    <row r="60" spans="1:36" x14ac:dyDescent="0.25">
      <c r="A60" t="s">
        <v>856</v>
      </c>
      <c r="B60">
        <v>58</v>
      </c>
      <c r="C60" t="s">
        <v>53</v>
      </c>
      <c r="D60">
        <v>1</v>
      </c>
      <c r="E60">
        <v>1</v>
      </c>
      <c r="F60">
        <v>1</v>
      </c>
      <c r="G60" t="s">
        <v>111</v>
      </c>
      <c r="K60" t="s">
        <v>43</v>
      </c>
      <c r="L60">
        <v>3</v>
      </c>
      <c r="N60">
        <v>1</v>
      </c>
      <c r="O60" t="s">
        <v>44</v>
      </c>
      <c r="P60" t="s">
        <v>99</v>
      </c>
      <c r="S60" t="s">
        <v>45</v>
      </c>
      <c r="T60">
        <v>3</v>
      </c>
      <c r="V60">
        <v>1</v>
      </c>
      <c r="W60" t="s">
        <v>47</v>
      </c>
      <c r="AA60" t="s">
        <v>38</v>
      </c>
      <c r="AB60">
        <v>1</v>
      </c>
      <c r="AC60">
        <v>1</v>
      </c>
      <c r="AD60">
        <v>1</v>
      </c>
      <c r="AE60" t="s">
        <v>152</v>
      </c>
      <c r="AI60">
        <v>5</v>
      </c>
      <c r="AJ60">
        <v>17</v>
      </c>
    </row>
    <row r="61" spans="1:36" x14ac:dyDescent="0.25">
      <c r="A61" t="s">
        <v>857</v>
      </c>
      <c r="B61">
        <v>59</v>
      </c>
      <c r="C61" t="s">
        <v>53</v>
      </c>
      <c r="D61">
        <v>2</v>
      </c>
      <c r="E61">
        <v>1</v>
      </c>
      <c r="F61">
        <v>1</v>
      </c>
      <c r="G61" t="s">
        <v>111</v>
      </c>
      <c r="H61" t="s">
        <v>55</v>
      </c>
      <c r="K61" t="s">
        <v>43</v>
      </c>
      <c r="L61">
        <v>2</v>
      </c>
      <c r="N61">
        <v>1</v>
      </c>
      <c r="O61" t="s">
        <v>44</v>
      </c>
      <c r="S61" t="s">
        <v>63</v>
      </c>
      <c r="T61">
        <v>1</v>
      </c>
      <c r="V61">
        <v>1</v>
      </c>
      <c r="W61" t="s">
        <v>72</v>
      </c>
      <c r="X61" t="s">
        <v>95</v>
      </c>
      <c r="Y61" t="s">
        <v>147</v>
      </c>
      <c r="AA61" t="s">
        <v>38</v>
      </c>
      <c r="AB61">
        <v>2</v>
      </c>
      <c r="AC61">
        <v>1</v>
      </c>
      <c r="AD61">
        <v>1</v>
      </c>
      <c r="AE61" t="s">
        <v>152</v>
      </c>
      <c r="AI61">
        <v>6</v>
      </c>
      <c r="AJ61">
        <v>22</v>
      </c>
    </row>
    <row r="62" spans="1:36" x14ac:dyDescent="0.25">
      <c r="A62" t="s">
        <v>858</v>
      </c>
      <c r="B62">
        <v>60</v>
      </c>
      <c r="C62" t="s">
        <v>53</v>
      </c>
      <c r="D62">
        <v>2</v>
      </c>
      <c r="E62">
        <v>1</v>
      </c>
      <c r="F62">
        <v>1</v>
      </c>
      <c r="G62" t="s">
        <v>111</v>
      </c>
      <c r="H62" t="s">
        <v>113</v>
      </c>
      <c r="K62" t="s">
        <v>45</v>
      </c>
      <c r="L62">
        <v>3</v>
      </c>
      <c r="N62">
        <v>1</v>
      </c>
      <c r="O62" t="s">
        <v>47</v>
      </c>
      <c r="S62" t="s">
        <v>56</v>
      </c>
      <c r="T62">
        <v>3</v>
      </c>
      <c r="V62">
        <v>1</v>
      </c>
      <c r="W62" t="s">
        <v>57</v>
      </c>
      <c r="AA62" t="s">
        <v>48</v>
      </c>
      <c r="AB62">
        <v>1</v>
      </c>
      <c r="AD62">
        <v>1</v>
      </c>
      <c r="AE62" t="s">
        <v>89</v>
      </c>
      <c r="AI62">
        <v>6</v>
      </c>
      <c r="AJ62">
        <v>24</v>
      </c>
    </row>
    <row r="63" spans="1:36" x14ac:dyDescent="0.25">
      <c r="A63" t="s">
        <v>859</v>
      </c>
      <c r="B63">
        <v>61</v>
      </c>
      <c r="C63" t="s">
        <v>53</v>
      </c>
      <c r="D63">
        <v>2</v>
      </c>
      <c r="E63">
        <v>1</v>
      </c>
      <c r="F63">
        <v>1</v>
      </c>
      <c r="G63" t="s">
        <v>111</v>
      </c>
      <c r="H63" t="s">
        <v>113</v>
      </c>
      <c r="K63" t="s">
        <v>45</v>
      </c>
      <c r="L63">
        <v>3</v>
      </c>
      <c r="N63">
        <v>1</v>
      </c>
      <c r="O63" t="s">
        <v>86</v>
      </c>
      <c r="S63" t="s">
        <v>56</v>
      </c>
      <c r="T63">
        <v>1</v>
      </c>
      <c r="V63">
        <v>1</v>
      </c>
      <c r="W63" t="s">
        <v>57</v>
      </c>
      <c r="X63" t="s">
        <v>121</v>
      </c>
      <c r="AA63" t="s">
        <v>33</v>
      </c>
      <c r="AB63">
        <v>1</v>
      </c>
      <c r="AD63">
        <v>3</v>
      </c>
      <c r="AE63" t="s">
        <v>46</v>
      </c>
      <c r="AI63">
        <v>7</v>
      </c>
      <c r="AJ63">
        <v>22</v>
      </c>
    </row>
    <row r="64" spans="1:36" x14ac:dyDescent="0.25">
      <c r="A64" t="s">
        <v>860</v>
      </c>
      <c r="B64">
        <v>62</v>
      </c>
      <c r="C64" t="s">
        <v>53</v>
      </c>
      <c r="D64">
        <v>3</v>
      </c>
      <c r="E64">
        <v>2</v>
      </c>
      <c r="F64">
        <v>2</v>
      </c>
      <c r="G64" t="s">
        <v>111</v>
      </c>
      <c r="H64" t="s">
        <v>83</v>
      </c>
      <c r="I64" t="s">
        <v>114</v>
      </c>
      <c r="J64" t="s">
        <v>98</v>
      </c>
      <c r="K64" t="s">
        <v>45</v>
      </c>
      <c r="L64">
        <v>3</v>
      </c>
      <c r="N64">
        <v>1</v>
      </c>
      <c r="O64" t="s">
        <v>86</v>
      </c>
      <c r="P64" t="s">
        <v>76</v>
      </c>
      <c r="S64" t="s">
        <v>56</v>
      </c>
      <c r="T64">
        <v>2</v>
      </c>
      <c r="V64">
        <v>3</v>
      </c>
      <c r="W64" t="s">
        <v>57</v>
      </c>
      <c r="X64" t="s">
        <v>121</v>
      </c>
      <c r="Y64" t="s">
        <v>123</v>
      </c>
      <c r="Z64" t="s">
        <v>125</v>
      </c>
      <c r="AA64" t="s">
        <v>43</v>
      </c>
      <c r="AB64">
        <v>1</v>
      </c>
      <c r="AD64">
        <v>1</v>
      </c>
      <c r="AE64" t="s">
        <v>73</v>
      </c>
      <c r="AI64">
        <v>16</v>
      </c>
      <c r="AJ64">
        <v>46</v>
      </c>
    </row>
    <row r="65" spans="1:36" x14ac:dyDescent="0.25">
      <c r="A65" t="s">
        <v>861</v>
      </c>
      <c r="B65">
        <v>63</v>
      </c>
      <c r="C65" t="s">
        <v>56</v>
      </c>
      <c r="D65">
        <v>2</v>
      </c>
      <c r="F65">
        <v>1</v>
      </c>
      <c r="G65" t="s">
        <v>57</v>
      </c>
      <c r="K65" t="s">
        <v>63</v>
      </c>
      <c r="L65">
        <v>1</v>
      </c>
      <c r="N65">
        <v>1</v>
      </c>
      <c r="O65" t="s">
        <v>72</v>
      </c>
      <c r="P65" t="s">
        <v>95</v>
      </c>
      <c r="S65" t="s">
        <v>53</v>
      </c>
      <c r="T65">
        <v>3</v>
      </c>
      <c r="U65">
        <v>1</v>
      </c>
      <c r="V65">
        <v>1</v>
      </c>
      <c r="W65" t="s">
        <v>54</v>
      </c>
      <c r="AA65" t="s">
        <v>45</v>
      </c>
      <c r="AB65">
        <v>2</v>
      </c>
      <c r="AD65">
        <v>1</v>
      </c>
      <c r="AE65" t="s">
        <v>47</v>
      </c>
      <c r="AI65">
        <v>5</v>
      </c>
      <c r="AJ65">
        <v>17</v>
      </c>
    </row>
    <row r="66" spans="1:36" x14ac:dyDescent="0.25">
      <c r="A66" t="s">
        <v>862</v>
      </c>
      <c r="B66">
        <v>64</v>
      </c>
      <c r="C66" t="s">
        <v>53</v>
      </c>
      <c r="D66">
        <v>3</v>
      </c>
      <c r="E66">
        <v>2</v>
      </c>
      <c r="F66">
        <v>3</v>
      </c>
      <c r="G66" t="s">
        <v>111</v>
      </c>
      <c r="H66" t="s">
        <v>83</v>
      </c>
      <c r="K66" t="s">
        <v>45</v>
      </c>
      <c r="L66">
        <v>2</v>
      </c>
      <c r="N66">
        <v>1</v>
      </c>
      <c r="O66" t="s">
        <v>86</v>
      </c>
      <c r="S66" t="s">
        <v>56</v>
      </c>
      <c r="T66">
        <v>3</v>
      </c>
      <c r="V66">
        <v>3</v>
      </c>
      <c r="W66" t="s">
        <v>57</v>
      </c>
      <c r="X66" t="s">
        <v>121</v>
      </c>
      <c r="Y66" t="s">
        <v>123</v>
      </c>
      <c r="AA66" t="s">
        <v>38</v>
      </c>
      <c r="AB66">
        <v>2</v>
      </c>
      <c r="AC66">
        <v>1</v>
      </c>
      <c r="AD66">
        <v>1</v>
      </c>
      <c r="AE66" t="s">
        <v>152</v>
      </c>
      <c r="AI66">
        <v>15</v>
      </c>
      <c r="AJ66">
        <v>31</v>
      </c>
    </row>
    <row r="67" spans="1:36" x14ac:dyDescent="0.25">
      <c r="A67" t="s">
        <v>863</v>
      </c>
      <c r="B67">
        <v>65</v>
      </c>
      <c r="C67" t="s">
        <v>53</v>
      </c>
      <c r="D67">
        <v>2</v>
      </c>
      <c r="E67">
        <v>1</v>
      </c>
      <c r="F67">
        <v>1</v>
      </c>
      <c r="G67" t="s">
        <v>111</v>
      </c>
      <c r="H67" t="s">
        <v>55</v>
      </c>
      <c r="K67" t="s">
        <v>45</v>
      </c>
      <c r="L67">
        <v>3</v>
      </c>
      <c r="N67">
        <v>1</v>
      </c>
      <c r="O67" t="s">
        <v>86</v>
      </c>
      <c r="S67" t="s">
        <v>48</v>
      </c>
      <c r="T67">
        <v>3</v>
      </c>
      <c r="V67">
        <v>1</v>
      </c>
      <c r="W67" t="s">
        <v>89</v>
      </c>
      <c r="X67" t="s">
        <v>84</v>
      </c>
      <c r="AA67" t="s">
        <v>33</v>
      </c>
      <c r="AB67">
        <v>2</v>
      </c>
      <c r="AD67">
        <v>2</v>
      </c>
      <c r="AE67" t="s">
        <v>46</v>
      </c>
      <c r="AI67">
        <v>9</v>
      </c>
      <c r="AJ67">
        <v>23</v>
      </c>
    </row>
    <row r="68" spans="1:36" x14ac:dyDescent="0.25">
      <c r="A68" t="s">
        <v>864</v>
      </c>
      <c r="B68">
        <v>66</v>
      </c>
      <c r="C68" t="s">
        <v>48</v>
      </c>
      <c r="D68">
        <v>1</v>
      </c>
      <c r="F68">
        <v>1</v>
      </c>
      <c r="G68" t="s">
        <v>89</v>
      </c>
      <c r="H68" t="s">
        <v>50</v>
      </c>
      <c r="K68" t="s">
        <v>43</v>
      </c>
      <c r="L68">
        <v>3</v>
      </c>
      <c r="N68">
        <v>2</v>
      </c>
      <c r="O68" t="s">
        <v>73</v>
      </c>
      <c r="P68" t="s">
        <v>74</v>
      </c>
      <c r="Q68" t="s">
        <v>75</v>
      </c>
      <c r="R68" t="s">
        <v>101</v>
      </c>
      <c r="S68" t="s">
        <v>53</v>
      </c>
      <c r="T68">
        <v>1</v>
      </c>
      <c r="U68">
        <v>1</v>
      </c>
      <c r="V68">
        <v>1</v>
      </c>
      <c r="W68" t="s">
        <v>111</v>
      </c>
      <c r="X68" t="s">
        <v>113</v>
      </c>
      <c r="Y68" t="s">
        <v>105</v>
      </c>
      <c r="AA68" t="s">
        <v>45</v>
      </c>
      <c r="AB68">
        <v>3</v>
      </c>
      <c r="AD68">
        <v>2</v>
      </c>
      <c r="AE68" t="s">
        <v>86</v>
      </c>
      <c r="AI68">
        <v>12</v>
      </c>
      <c r="AJ68">
        <v>27</v>
      </c>
    </row>
    <row r="69" spans="1:36" x14ac:dyDescent="0.25">
      <c r="A69" t="s">
        <v>865</v>
      </c>
      <c r="B69">
        <v>67</v>
      </c>
      <c r="C69" t="s">
        <v>53</v>
      </c>
      <c r="D69">
        <v>2</v>
      </c>
      <c r="E69">
        <v>1</v>
      </c>
      <c r="F69">
        <v>1</v>
      </c>
      <c r="G69" t="s">
        <v>111</v>
      </c>
      <c r="H69" t="s">
        <v>113</v>
      </c>
      <c r="I69" t="s">
        <v>114</v>
      </c>
      <c r="K69" t="s">
        <v>45</v>
      </c>
      <c r="L69">
        <v>3</v>
      </c>
      <c r="N69">
        <v>1</v>
      </c>
      <c r="O69" t="s">
        <v>47</v>
      </c>
      <c r="P69" t="s">
        <v>141</v>
      </c>
      <c r="Q69" t="s">
        <v>93</v>
      </c>
      <c r="S69" t="s">
        <v>48</v>
      </c>
      <c r="T69">
        <v>3</v>
      </c>
      <c r="V69">
        <v>1</v>
      </c>
      <c r="W69" t="s">
        <v>89</v>
      </c>
      <c r="AA69" t="s">
        <v>63</v>
      </c>
      <c r="AB69">
        <v>3</v>
      </c>
      <c r="AD69">
        <v>1</v>
      </c>
      <c r="AE69" t="s">
        <v>72</v>
      </c>
      <c r="AF69" t="s">
        <v>146</v>
      </c>
      <c r="AG69" t="s">
        <v>104</v>
      </c>
      <c r="AI69">
        <v>13</v>
      </c>
      <c r="AJ69">
        <v>35</v>
      </c>
    </row>
    <row r="70" spans="1:36" x14ac:dyDescent="0.25">
      <c r="A70" t="s">
        <v>866</v>
      </c>
      <c r="B70">
        <v>68</v>
      </c>
      <c r="C70" t="s">
        <v>48</v>
      </c>
      <c r="D70">
        <v>3</v>
      </c>
      <c r="F70">
        <v>1</v>
      </c>
      <c r="G70" t="s">
        <v>89</v>
      </c>
      <c r="K70" t="s">
        <v>38</v>
      </c>
      <c r="L70">
        <v>3</v>
      </c>
      <c r="M70">
        <v>1</v>
      </c>
      <c r="N70">
        <v>1</v>
      </c>
      <c r="O70" t="s">
        <v>152</v>
      </c>
      <c r="S70" t="s">
        <v>53</v>
      </c>
      <c r="T70">
        <v>3</v>
      </c>
      <c r="U70">
        <v>1</v>
      </c>
      <c r="V70">
        <v>1</v>
      </c>
      <c r="W70" t="s">
        <v>111</v>
      </c>
      <c r="X70" t="s">
        <v>83</v>
      </c>
      <c r="AA70" t="s">
        <v>45</v>
      </c>
      <c r="AB70">
        <v>3</v>
      </c>
      <c r="AD70">
        <v>1</v>
      </c>
      <c r="AE70" t="s">
        <v>86</v>
      </c>
      <c r="AI70">
        <v>9</v>
      </c>
      <c r="AJ70">
        <v>24</v>
      </c>
    </row>
    <row r="71" spans="1:36" x14ac:dyDescent="0.25">
      <c r="A71" t="s">
        <v>867</v>
      </c>
      <c r="B71">
        <v>69</v>
      </c>
      <c r="C71" t="s">
        <v>53</v>
      </c>
      <c r="D71">
        <v>1</v>
      </c>
      <c r="E71">
        <v>1</v>
      </c>
      <c r="F71">
        <v>1</v>
      </c>
      <c r="G71" t="s">
        <v>111</v>
      </c>
      <c r="H71" t="s">
        <v>113</v>
      </c>
      <c r="K71" t="s">
        <v>45</v>
      </c>
      <c r="L71">
        <v>3</v>
      </c>
      <c r="N71">
        <v>1</v>
      </c>
      <c r="O71" t="s">
        <v>140</v>
      </c>
      <c r="S71" t="s">
        <v>33</v>
      </c>
      <c r="T71">
        <v>1</v>
      </c>
      <c r="V71">
        <v>2</v>
      </c>
      <c r="W71" t="s">
        <v>46</v>
      </c>
      <c r="AA71" t="s">
        <v>43</v>
      </c>
      <c r="AB71">
        <v>1</v>
      </c>
      <c r="AD71">
        <v>1</v>
      </c>
      <c r="AE71" t="s">
        <v>73</v>
      </c>
      <c r="AF71" t="s">
        <v>74</v>
      </c>
      <c r="AG71" t="s">
        <v>100</v>
      </c>
      <c r="AH71" t="s">
        <v>101</v>
      </c>
      <c r="AI71">
        <v>7</v>
      </c>
      <c r="AJ71">
        <v>24</v>
      </c>
    </row>
    <row r="72" spans="1:36" x14ac:dyDescent="0.25">
      <c r="A72" t="s">
        <v>868</v>
      </c>
      <c r="B72">
        <v>70</v>
      </c>
      <c r="C72" t="s">
        <v>53</v>
      </c>
      <c r="D72">
        <v>2</v>
      </c>
      <c r="E72">
        <v>1</v>
      </c>
      <c r="F72">
        <v>2</v>
      </c>
      <c r="G72" t="s">
        <v>111</v>
      </c>
      <c r="K72" t="s">
        <v>45</v>
      </c>
      <c r="L72">
        <v>3</v>
      </c>
      <c r="N72">
        <v>1</v>
      </c>
      <c r="O72" t="s">
        <v>86</v>
      </c>
      <c r="S72" t="s">
        <v>33</v>
      </c>
      <c r="T72">
        <v>1</v>
      </c>
      <c r="V72">
        <v>2</v>
      </c>
      <c r="W72" t="s">
        <v>46</v>
      </c>
      <c r="AA72" t="s">
        <v>63</v>
      </c>
      <c r="AB72">
        <v>1</v>
      </c>
      <c r="AD72">
        <v>1</v>
      </c>
      <c r="AE72" t="s">
        <v>103</v>
      </c>
      <c r="AF72" t="s">
        <v>95</v>
      </c>
      <c r="AG72" t="s">
        <v>104</v>
      </c>
      <c r="AI72">
        <v>8</v>
      </c>
      <c r="AJ72">
        <v>19</v>
      </c>
    </row>
    <row r="73" spans="1:36" x14ac:dyDescent="0.25">
      <c r="A73" t="s">
        <v>869</v>
      </c>
      <c r="B73">
        <v>71</v>
      </c>
      <c r="C73" t="s">
        <v>53</v>
      </c>
      <c r="D73">
        <v>1</v>
      </c>
      <c r="E73">
        <v>1</v>
      </c>
      <c r="F73">
        <v>1</v>
      </c>
      <c r="G73" t="s">
        <v>111</v>
      </c>
      <c r="H73" t="s">
        <v>55</v>
      </c>
      <c r="K73" t="s">
        <v>45</v>
      </c>
      <c r="L73">
        <v>3</v>
      </c>
      <c r="N73">
        <v>1</v>
      </c>
      <c r="O73" t="s">
        <v>140</v>
      </c>
      <c r="P73" t="s">
        <v>141</v>
      </c>
      <c r="S73" t="s">
        <v>33</v>
      </c>
      <c r="T73">
        <v>2</v>
      </c>
      <c r="V73">
        <v>3</v>
      </c>
      <c r="W73" t="s">
        <v>65</v>
      </c>
      <c r="X73" t="s">
        <v>35</v>
      </c>
      <c r="AA73" t="s">
        <v>38</v>
      </c>
      <c r="AB73">
        <v>1</v>
      </c>
      <c r="AC73">
        <v>1</v>
      </c>
      <c r="AD73">
        <v>1</v>
      </c>
      <c r="AE73" t="s">
        <v>152</v>
      </c>
      <c r="AI73">
        <v>8</v>
      </c>
      <c r="AJ73">
        <v>23</v>
      </c>
    </row>
    <row r="74" spans="1:36" x14ac:dyDescent="0.25">
      <c r="A74" t="s">
        <v>870</v>
      </c>
      <c r="B74">
        <v>72</v>
      </c>
      <c r="C74" t="s">
        <v>53</v>
      </c>
      <c r="D74">
        <v>1</v>
      </c>
      <c r="E74">
        <v>1</v>
      </c>
      <c r="F74">
        <v>1</v>
      </c>
      <c r="G74" t="s">
        <v>111</v>
      </c>
      <c r="H74" t="s">
        <v>55</v>
      </c>
      <c r="I74" t="s">
        <v>105</v>
      </c>
      <c r="J74" t="s">
        <v>116</v>
      </c>
      <c r="K74" t="s">
        <v>45</v>
      </c>
      <c r="L74">
        <v>3</v>
      </c>
      <c r="N74">
        <v>1</v>
      </c>
      <c r="O74" t="s">
        <v>86</v>
      </c>
      <c r="S74" t="s">
        <v>43</v>
      </c>
      <c r="T74">
        <v>2</v>
      </c>
      <c r="V74">
        <v>1</v>
      </c>
      <c r="W74" t="s">
        <v>73</v>
      </c>
      <c r="X74" t="s">
        <v>99</v>
      </c>
      <c r="Y74" t="s">
        <v>75</v>
      </c>
      <c r="AA74" t="s">
        <v>63</v>
      </c>
      <c r="AB74">
        <v>2</v>
      </c>
      <c r="AD74">
        <v>1</v>
      </c>
      <c r="AE74" t="s">
        <v>72</v>
      </c>
      <c r="AF74" t="s">
        <v>146</v>
      </c>
      <c r="AI74">
        <v>10</v>
      </c>
      <c r="AJ74">
        <v>28</v>
      </c>
    </row>
    <row r="75" spans="1:36" x14ac:dyDescent="0.25">
      <c r="A75" t="s">
        <v>871</v>
      </c>
      <c r="B75">
        <v>73</v>
      </c>
      <c r="C75" t="s">
        <v>43</v>
      </c>
      <c r="D75">
        <v>1</v>
      </c>
      <c r="F75">
        <v>1</v>
      </c>
      <c r="G75" t="s">
        <v>73</v>
      </c>
      <c r="H75" t="s">
        <v>74</v>
      </c>
      <c r="I75" t="s">
        <v>100</v>
      </c>
      <c r="K75" t="s">
        <v>38</v>
      </c>
      <c r="L75">
        <v>3</v>
      </c>
      <c r="M75">
        <v>1</v>
      </c>
      <c r="N75">
        <v>1</v>
      </c>
      <c r="O75" t="s">
        <v>152</v>
      </c>
      <c r="S75" t="s">
        <v>53</v>
      </c>
      <c r="T75">
        <v>2</v>
      </c>
      <c r="U75">
        <v>1</v>
      </c>
      <c r="V75">
        <v>1</v>
      </c>
      <c r="W75" t="s">
        <v>111</v>
      </c>
      <c r="X75" t="s">
        <v>83</v>
      </c>
      <c r="AA75" t="s">
        <v>45</v>
      </c>
      <c r="AB75">
        <v>3</v>
      </c>
      <c r="AD75">
        <v>1</v>
      </c>
      <c r="AE75" t="s">
        <v>140</v>
      </c>
      <c r="AI75">
        <v>8</v>
      </c>
      <c r="AJ75">
        <v>21</v>
      </c>
    </row>
    <row r="76" spans="1:36" x14ac:dyDescent="0.25">
      <c r="A76" t="s">
        <v>872</v>
      </c>
      <c r="B76">
        <v>74</v>
      </c>
      <c r="C76" t="s">
        <v>63</v>
      </c>
      <c r="D76">
        <v>2</v>
      </c>
      <c r="F76">
        <v>1</v>
      </c>
      <c r="G76" t="s">
        <v>72</v>
      </c>
      <c r="H76" t="s">
        <v>95</v>
      </c>
      <c r="I76" t="s">
        <v>147</v>
      </c>
      <c r="K76" t="s">
        <v>38</v>
      </c>
      <c r="L76">
        <v>2</v>
      </c>
      <c r="M76">
        <v>1</v>
      </c>
      <c r="N76">
        <v>1</v>
      </c>
      <c r="O76" t="s">
        <v>152</v>
      </c>
      <c r="S76" t="s">
        <v>53</v>
      </c>
      <c r="T76">
        <v>2</v>
      </c>
      <c r="U76">
        <v>1</v>
      </c>
      <c r="V76">
        <v>1</v>
      </c>
      <c r="W76" t="s">
        <v>111</v>
      </c>
      <c r="X76" t="s">
        <v>83</v>
      </c>
      <c r="AA76" t="s">
        <v>45</v>
      </c>
      <c r="AB76">
        <v>2</v>
      </c>
      <c r="AD76">
        <v>1</v>
      </c>
      <c r="AE76" t="s">
        <v>86</v>
      </c>
      <c r="AI76">
        <v>7</v>
      </c>
      <c r="AJ76">
        <v>23</v>
      </c>
    </row>
    <row r="77" spans="1:36" x14ac:dyDescent="0.25">
      <c r="A77" t="s">
        <v>873</v>
      </c>
      <c r="B77">
        <v>75</v>
      </c>
      <c r="C77" t="s">
        <v>53</v>
      </c>
      <c r="D77">
        <v>2</v>
      </c>
      <c r="E77">
        <v>1</v>
      </c>
      <c r="F77">
        <v>2</v>
      </c>
      <c r="G77" t="s">
        <v>54</v>
      </c>
      <c r="K77" t="s">
        <v>63</v>
      </c>
      <c r="L77">
        <v>3</v>
      </c>
      <c r="N77">
        <v>1</v>
      </c>
      <c r="O77" t="s">
        <v>72</v>
      </c>
      <c r="S77" t="s">
        <v>56</v>
      </c>
      <c r="T77">
        <v>1</v>
      </c>
      <c r="V77">
        <v>1</v>
      </c>
      <c r="W77" t="s">
        <v>57</v>
      </c>
      <c r="X77" t="s">
        <v>122</v>
      </c>
      <c r="Y77" t="s">
        <v>85</v>
      </c>
      <c r="AA77" t="s">
        <v>48</v>
      </c>
      <c r="AB77">
        <v>3</v>
      </c>
      <c r="AD77">
        <v>1</v>
      </c>
      <c r="AE77" t="s">
        <v>49</v>
      </c>
      <c r="AI77">
        <v>8</v>
      </c>
      <c r="AJ77">
        <v>26</v>
      </c>
    </row>
    <row r="78" spans="1:36" x14ac:dyDescent="0.25">
      <c r="A78" t="s">
        <v>874</v>
      </c>
      <c r="B78">
        <v>76</v>
      </c>
      <c r="C78" t="s">
        <v>56</v>
      </c>
      <c r="D78">
        <v>2</v>
      </c>
      <c r="F78">
        <v>1</v>
      </c>
      <c r="G78" t="s">
        <v>57</v>
      </c>
      <c r="H78" t="s">
        <v>122</v>
      </c>
      <c r="K78" t="s">
        <v>33</v>
      </c>
      <c r="L78">
        <v>2</v>
      </c>
      <c r="N78">
        <v>3</v>
      </c>
      <c r="O78" t="s">
        <v>46</v>
      </c>
      <c r="S78" t="s">
        <v>53</v>
      </c>
      <c r="T78">
        <v>2</v>
      </c>
      <c r="U78">
        <v>3</v>
      </c>
      <c r="V78">
        <v>2</v>
      </c>
      <c r="W78" t="s">
        <v>111</v>
      </c>
      <c r="AA78" t="s">
        <v>63</v>
      </c>
      <c r="AB78">
        <v>2</v>
      </c>
      <c r="AD78">
        <v>1</v>
      </c>
      <c r="AE78" t="s">
        <v>72</v>
      </c>
      <c r="AI78">
        <v>10</v>
      </c>
      <c r="AJ78">
        <v>28</v>
      </c>
    </row>
    <row r="79" spans="1:36" x14ac:dyDescent="0.25">
      <c r="A79" t="s">
        <v>875</v>
      </c>
      <c r="B79">
        <v>77</v>
      </c>
      <c r="C79" t="s">
        <v>56</v>
      </c>
      <c r="D79">
        <v>2</v>
      </c>
      <c r="F79">
        <v>1</v>
      </c>
      <c r="G79" t="s">
        <v>57</v>
      </c>
      <c r="H79" t="s">
        <v>122</v>
      </c>
      <c r="I79" t="s">
        <v>85</v>
      </c>
      <c r="K79" t="s">
        <v>43</v>
      </c>
      <c r="L79">
        <v>1</v>
      </c>
      <c r="N79">
        <v>1</v>
      </c>
      <c r="O79" t="s">
        <v>73</v>
      </c>
      <c r="P79" t="s">
        <v>74</v>
      </c>
      <c r="Q79" t="s">
        <v>75</v>
      </c>
      <c r="S79" t="s">
        <v>53</v>
      </c>
      <c r="T79">
        <v>2</v>
      </c>
      <c r="U79">
        <v>3</v>
      </c>
      <c r="V79">
        <v>1</v>
      </c>
      <c r="W79" t="s">
        <v>111</v>
      </c>
      <c r="AA79" t="s">
        <v>63</v>
      </c>
      <c r="AB79">
        <v>1</v>
      </c>
      <c r="AD79">
        <v>1</v>
      </c>
      <c r="AE79" t="s">
        <v>72</v>
      </c>
      <c r="AF79" t="s">
        <v>95</v>
      </c>
      <c r="AI79">
        <v>9</v>
      </c>
      <c r="AJ79">
        <v>26</v>
      </c>
    </row>
    <row r="80" spans="1:36" x14ac:dyDescent="0.25">
      <c r="A80" t="s">
        <v>876</v>
      </c>
      <c r="B80">
        <v>78</v>
      </c>
      <c r="C80" t="s">
        <v>56</v>
      </c>
      <c r="D80">
        <v>3</v>
      </c>
      <c r="F80">
        <v>1</v>
      </c>
      <c r="G80" t="s">
        <v>57</v>
      </c>
      <c r="H80" t="s">
        <v>122</v>
      </c>
      <c r="I80" t="s">
        <v>85</v>
      </c>
      <c r="K80" t="s">
        <v>45</v>
      </c>
      <c r="L80">
        <v>3</v>
      </c>
      <c r="N80">
        <v>1</v>
      </c>
      <c r="O80" t="s">
        <v>86</v>
      </c>
      <c r="S80" t="s">
        <v>53</v>
      </c>
      <c r="T80">
        <v>2</v>
      </c>
      <c r="U80">
        <v>1</v>
      </c>
      <c r="V80">
        <v>1</v>
      </c>
      <c r="W80" t="s">
        <v>111</v>
      </c>
      <c r="AA80" t="s">
        <v>63</v>
      </c>
      <c r="AB80">
        <v>3</v>
      </c>
      <c r="AD80">
        <v>1</v>
      </c>
      <c r="AE80" t="s">
        <v>72</v>
      </c>
      <c r="AF80" t="s">
        <v>146</v>
      </c>
      <c r="AG80" t="s">
        <v>104</v>
      </c>
      <c r="AI80">
        <v>11</v>
      </c>
      <c r="AJ80">
        <v>28</v>
      </c>
    </row>
    <row r="81" spans="1:36" x14ac:dyDescent="0.25">
      <c r="A81" t="s">
        <v>877</v>
      </c>
      <c r="B81">
        <v>79</v>
      </c>
      <c r="C81" t="s">
        <v>53</v>
      </c>
      <c r="D81">
        <v>2</v>
      </c>
      <c r="E81">
        <v>1</v>
      </c>
      <c r="F81">
        <v>1</v>
      </c>
      <c r="G81" t="s">
        <v>111</v>
      </c>
      <c r="H81" t="s">
        <v>83</v>
      </c>
      <c r="K81" t="s">
        <v>63</v>
      </c>
      <c r="L81">
        <v>1</v>
      </c>
      <c r="N81">
        <v>2</v>
      </c>
      <c r="O81" t="s">
        <v>103</v>
      </c>
      <c r="P81" t="s">
        <v>95</v>
      </c>
      <c r="S81" t="s">
        <v>56</v>
      </c>
      <c r="T81">
        <v>2</v>
      </c>
      <c r="V81">
        <v>1</v>
      </c>
      <c r="W81" t="s">
        <v>57</v>
      </c>
      <c r="X81" t="s">
        <v>122</v>
      </c>
      <c r="Y81" t="s">
        <v>85</v>
      </c>
      <c r="AA81" t="s">
        <v>38</v>
      </c>
      <c r="AB81">
        <v>3</v>
      </c>
      <c r="AC81">
        <v>1</v>
      </c>
      <c r="AD81">
        <v>1</v>
      </c>
      <c r="AE81" t="s">
        <v>152</v>
      </c>
      <c r="AI81">
        <v>9</v>
      </c>
      <c r="AJ81">
        <v>27</v>
      </c>
    </row>
    <row r="82" spans="1:36" x14ac:dyDescent="0.25">
      <c r="A82" t="s">
        <v>878</v>
      </c>
      <c r="B82">
        <v>80</v>
      </c>
      <c r="C82" t="s">
        <v>48</v>
      </c>
      <c r="D82">
        <v>2</v>
      </c>
      <c r="F82">
        <v>1</v>
      </c>
      <c r="G82" t="s">
        <v>49</v>
      </c>
      <c r="H82" t="s">
        <v>84</v>
      </c>
      <c r="I82" t="s">
        <v>127</v>
      </c>
      <c r="J82" t="s">
        <v>129</v>
      </c>
      <c r="K82" t="s">
        <v>33</v>
      </c>
      <c r="L82">
        <v>1</v>
      </c>
      <c r="N82">
        <v>2</v>
      </c>
      <c r="O82" t="s">
        <v>46</v>
      </c>
      <c r="S82" t="s">
        <v>53</v>
      </c>
      <c r="T82">
        <v>3</v>
      </c>
      <c r="U82">
        <v>1</v>
      </c>
      <c r="V82">
        <v>2</v>
      </c>
      <c r="W82" t="s">
        <v>111</v>
      </c>
      <c r="X82" t="s">
        <v>83</v>
      </c>
      <c r="AA82" t="s">
        <v>63</v>
      </c>
      <c r="AB82">
        <v>1</v>
      </c>
      <c r="AD82">
        <v>1</v>
      </c>
      <c r="AE82" t="s">
        <v>72</v>
      </c>
      <c r="AF82" t="s">
        <v>95</v>
      </c>
      <c r="AI82">
        <v>11</v>
      </c>
      <c r="AJ82">
        <v>28</v>
      </c>
    </row>
    <row r="83" spans="1:36" x14ac:dyDescent="0.25">
      <c r="A83" t="s">
        <v>879</v>
      </c>
      <c r="B83">
        <v>81</v>
      </c>
      <c r="C83" t="s">
        <v>48</v>
      </c>
      <c r="D83">
        <v>1</v>
      </c>
      <c r="F83">
        <v>1</v>
      </c>
      <c r="G83" t="s">
        <v>49</v>
      </c>
      <c r="H83" t="s">
        <v>84</v>
      </c>
      <c r="I83" t="s">
        <v>51</v>
      </c>
      <c r="K83" t="s">
        <v>43</v>
      </c>
      <c r="L83">
        <v>2</v>
      </c>
      <c r="N83">
        <v>1</v>
      </c>
      <c r="O83" t="s">
        <v>44</v>
      </c>
      <c r="P83" t="s">
        <v>74</v>
      </c>
      <c r="Q83" t="s">
        <v>100</v>
      </c>
      <c r="S83" t="s">
        <v>53</v>
      </c>
      <c r="T83">
        <v>1</v>
      </c>
      <c r="U83">
        <v>1</v>
      </c>
      <c r="V83">
        <v>1</v>
      </c>
      <c r="W83" t="s">
        <v>111</v>
      </c>
      <c r="X83" t="s">
        <v>83</v>
      </c>
      <c r="Y83" t="s">
        <v>105</v>
      </c>
      <c r="AA83" t="s">
        <v>63</v>
      </c>
      <c r="AB83">
        <v>3</v>
      </c>
      <c r="AD83">
        <v>1</v>
      </c>
      <c r="AE83" t="s">
        <v>72</v>
      </c>
      <c r="AF83" t="s">
        <v>95</v>
      </c>
      <c r="AI83">
        <v>10</v>
      </c>
      <c r="AJ83">
        <v>30</v>
      </c>
    </row>
    <row r="84" spans="1:36" x14ac:dyDescent="0.25">
      <c r="A84" t="s">
        <v>880</v>
      </c>
      <c r="B84">
        <v>82</v>
      </c>
      <c r="C84" t="s">
        <v>53</v>
      </c>
      <c r="D84">
        <v>2</v>
      </c>
      <c r="E84">
        <v>3</v>
      </c>
      <c r="F84">
        <v>3</v>
      </c>
      <c r="G84" t="s">
        <v>111</v>
      </c>
      <c r="K84" t="s">
        <v>63</v>
      </c>
      <c r="L84">
        <v>1</v>
      </c>
      <c r="N84">
        <v>1</v>
      </c>
      <c r="O84" t="s">
        <v>72</v>
      </c>
      <c r="P84" t="s">
        <v>95</v>
      </c>
      <c r="S84" t="s">
        <v>48</v>
      </c>
      <c r="T84">
        <v>1</v>
      </c>
      <c r="V84">
        <v>1</v>
      </c>
      <c r="W84" t="s">
        <v>49</v>
      </c>
      <c r="X84" t="s">
        <v>50</v>
      </c>
      <c r="Y84" t="s">
        <v>51</v>
      </c>
      <c r="Z84" t="s">
        <v>52</v>
      </c>
      <c r="AA84" t="s">
        <v>45</v>
      </c>
      <c r="AB84">
        <v>3</v>
      </c>
      <c r="AD84">
        <v>1</v>
      </c>
      <c r="AE84" t="s">
        <v>86</v>
      </c>
      <c r="AI84">
        <v>11</v>
      </c>
      <c r="AJ84">
        <v>32</v>
      </c>
    </row>
    <row r="85" spans="1:36" x14ac:dyDescent="0.25">
      <c r="A85" t="s">
        <v>881</v>
      </c>
      <c r="B85">
        <v>83</v>
      </c>
      <c r="C85" t="s">
        <v>48</v>
      </c>
      <c r="D85">
        <v>3</v>
      </c>
      <c r="F85">
        <v>1</v>
      </c>
      <c r="G85" t="s">
        <v>89</v>
      </c>
      <c r="H85" t="s">
        <v>84</v>
      </c>
      <c r="I85" t="s">
        <v>51</v>
      </c>
      <c r="J85" t="s">
        <v>128</v>
      </c>
      <c r="K85" t="s">
        <v>38</v>
      </c>
      <c r="L85">
        <v>1</v>
      </c>
      <c r="M85">
        <v>1</v>
      </c>
      <c r="N85">
        <v>1</v>
      </c>
      <c r="O85" t="s">
        <v>152</v>
      </c>
      <c r="P85" t="s">
        <v>96</v>
      </c>
      <c r="S85" t="s">
        <v>53</v>
      </c>
      <c r="T85">
        <v>3</v>
      </c>
      <c r="U85">
        <v>1</v>
      </c>
      <c r="V85">
        <v>1</v>
      </c>
      <c r="W85" t="s">
        <v>111</v>
      </c>
      <c r="AA85" t="s">
        <v>63</v>
      </c>
      <c r="AB85">
        <v>1</v>
      </c>
      <c r="AD85">
        <v>1</v>
      </c>
      <c r="AE85" t="s">
        <v>72</v>
      </c>
      <c r="AF85" t="s">
        <v>95</v>
      </c>
      <c r="AI85">
        <v>9</v>
      </c>
      <c r="AJ85">
        <v>30</v>
      </c>
    </row>
    <row r="86" spans="1:36" x14ac:dyDescent="0.25">
      <c r="A86" t="s">
        <v>882</v>
      </c>
      <c r="B86">
        <v>84</v>
      </c>
      <c r="C86" t="s">
        <v>53</v>
      </c>
      <c r="D86">
        <v>1</v>
      </c>
      <c r="E86">
        <v>1</v>
      </c>
      <c r="F86">
        <v>1</v>
      </c>
      <c r="G86" t="s">
        <v>111</v>
      </c>
      <c r="K86" t="s">
        <v>63</v>
      </c>
      <c r="L86">
        <v>3</v>
      </c>
      <c r="N86">
        <v>3</v>
      </c>
      <c r="O86" t="s">
        <v>72</v>
      </c>
      <c r="P86" t="s">
        <v>91</v>
      </c>
      <c r="Q86" t="s">
        <v>104</v>
      </c>
      <c r="S86" t="s">
        <v>33</v>
      </c>
      <c r="T86">
        <v>1</v>
      </c>
      <c r="V86">
        <v>2</v>
      </c>
      <c r="W86" t="s">
        <v>46</v>
      </c>
      <c r="AA86" t="s">
        <v>43</v>
      </c>
      <c r="AB86">
        <v>3</v>
      </c>
      <c r="AD86">
        <v>2</v>
      </c>
      <c r="AE86" t="s">
        <v>73</v>
      </c>
      <c r="AF86" t="s">
        <v>99</v>
      </c>
      <c r="AG86" t="s">
        <v>100</v>
      </c>
      <c r="AH86" t="s">
        <v>139</v>
      </c>
      <c r="AI86">
        <v>13</v>
      </c>
      <c r="AJ86">
        <v>35</v>
      </c>
    </row>
    <row r="87" spans="1:36" x14ac:dyDescent="0.25">
      <c r="A87" t="s">
        <v>883</v>
      </c>
      <c r="B87">
        <v>85</v>
      </c>
      <c r="C87" t="s">
        <v>53</v>
      </c>
      <c r="D87">
        <v>1</v>
      </c>
      <c r="E87">
        <v>1</v>
      </c>
      <c r="F87">
        <v>1</v>
      </c>
      <c r="G87" t="s">
        <v>111</v>
      </c>
      <c r="K87" t="s">
        <v>63</v>
      </c>
      <c r="L87">
        <v>3</v>
      </c>
      <c r="N87">
        <v>3</v>
      </c>
      <c r="O87" t="s">
        <v>72</v>
      </c>
      <c r="P87" t="s">
        <v>146</v>
      </c>
      <c r="Q87" t="s">
        <v>104</v>
      </c>
      <c r="R87" t="s">
        <v>151</v>
      </c>
      <c r="S87" t="s">
        <v>33</v>
      </c>
      <c r="T87">
        <v>1</v>
      </c>
      <c r="V87">
        <v>3</v>
      </c>
      <c r="W87" t="s">
        <v>65</v>
      </c>
      <c r="X87" t="s">
        <v>66</v>
      </c>
      <c r="AA87" t="s">
        <v>45</v>
      </c>
      <c r="AB87">
        <v>3</v>
      </c>
      <c r="AD87">
        <v>1</v>
      </c>
      <c r="AE87" t="s">
        <v>47</v>
      </c>
      <c r="AI87">
        <v>12</v>
      </c>
      <c r="AJ87">
        <v>37</v>
      </c>
    </row>
    <row r="88" spans="1:36" x14ac:dyDescent="0.25">
      <c r="A88" t="s">
        <v>884</v>
      </c>
      <c r="B88">
        <v>86</v>
      </c>
      <c r="C88" t="s">
        <v>33</v>
      </c>
      <c r="D88">
        <v>1</v>
      </c>
      <c r="F88">
        <v>3</v>
      </c>
      <c r="G88" t="s">
        <v>46</v>
      </c>
      <c r="H88" t="s">
        <v>130</v>
      </c>
      <c r="I88" t="s">
        <v>131</v>
      </c>
      <c r="K88" t="s">
        <v>38</v>
      </c>
      <c r="L88">
        <v>3</v>
      </c>
      <c r="M88">
        <v>1</v>
      </c>
      <c r="N88">
        <v>1</v>
      </c>
      <c r="O88" t="s">
        <v>152</v>
      </c>
      <c r="P88" t="s">
        <v>70</v>
      </c>
      <c r="S88" t="s">
        <v>53</v>
      </c>
      <c r="T88">
        <v>2</v>
      </c>
      <c r="U88">
        <v>1</v>
      </c>
      <c r="V88">
        <v>1</v>
      </c>
      <c r="W88" t="s">
        <v>111</v>
      </c>
      <c r="X88" t="s">
        <v>83</v>
      </c>
      <c r="AA88" t="s">
        <v>63</v>
      </c>
      <c r="AB88">
        <v>2</v>
      </c>
      <c r="AD88">
        <v>2</v>
      </c>
      <c r="AE88" t="s">
        <v>72</v>
      </c>
      <c r="AF88" t="s">
        <v>91</v>
      </c>
      <c r="AI88">
        <v>12</v>
      </c>
      <c r="AJ88">
        <v>35</v>
      </c>
    </row>
    <row r="89" spans="1:36" x14ac:dyDescent="0.25">
      <c r="A89" t="s">
        <v>885</v>
      </c>
      <c r="B89">
        <v>87</v>
      </c>
      <c r="C89" t="s">
        <v>53</v>
      </c>
      <c r="D89">
        <v>2</v>
      </c>
      <c r="E89">
        <v>3</v>
      </c>
      <c r="F89">
        <v>3</v>
      </c>
      <c r="G89" t="s">
        <v>111</v>
      </c>
      <c r="K89" t="s">
        <v>63</v>
      </c>
      <c r="L89">
        <v>1</v>
      </c>
      <c r="N89">
        <v>1</v>
      </c>
      <c r="O89" t="s">
        <v>72</v>
      </c>
      <c r="P89" t="s">
        <v>95</v>
      </c>
      <c r="S89" t="s">
        <v>43</v>
      </c>
      <c r="T89">
        <v>1</v>
      </c>
      <c r="V89">
        <v>1</v>
      </c>
      <c r="W89" t="s">
        <v>73</v>
      </c>
      <c r="X89" t="s">
        <v>74</v>
      </c>
      <c r="Y89" t="s">
        <v>75</v>
      </c>
      <c r="Z89" t="s">
        <v>101</v>
      </c>
      <c r="AA89" t="s">
        <v>45</v>
      </c>
      <c r="AB89">
        <v>3</v>
      </c>
      <c r="AD89">
        <v>1</v>
      </c>
      <c r="AE89" t="s">
        <v>47</v>
      </c>
      <c r="AF89" t="s">
        <v>92</v>
      </c>
      <c r="AG89" t="s">
        <v>93</v>
      </c>
      <c r="AH89" t="s">
        <v>94</v>
      </c>
      <c r="AI89">
        <v>14</v>
      </c>
      <c r="AJ89">
        <v>34</v>
      </c>
    </row>
    <row r="90" spans="1:36" x14ac:dyDescent="0.25">
      <c r="A90" t="s">
        <v>886</v>
      </c>
      <c r="B90">
        <v>88</v>
      </c>
      <c r="C90" t="s">
        <v>53</v>
      </c>
      <c r="D90">
        <v>1</v>
      </c>
      <c r="E90">
        <v>1</v>
      </c>
      <c r="F90">
        <v>1</v>
      </c>
      <c r="G90" t="s">
        <v>111</v>
      </c>
      <c r="K90" t="s">
        <v>63</v>
      </c>
      <c r="L90">
        <v>3</v>
      </c>
      <c r="N90">
        <v>1</v>
      </c>
      <c r="O90" t="s">
        <v>72</v>
      </c>
      <c r="P90" t="s">
        <v>146</v>
      </c>
      <c r="Q90" t="s">
        <v>104</v>
      </c>
      <c r="S90" t="s">
        <v>43</v>
      </c>
      <c r="T90">
        <v>1</v>
      </c>
      <c r="V90">
        <v>1</v>
      </c>
      <c r="W90" t="s">
        <v>73</v>
      </c>
      <c r="X90" t="s">
        <v>74</v>
      </c>
      <c r="Y90" t="s">
        <v>75</v>
      </c>
      <c r="Z90" t="s">
        <v>101</v>
      </c>
      <c r="AA90" t="s">
        <v>38</v>
      </c>
      <c r="AB90">
        <v>1</v>
      </c>
      <c r="AC90">
        <v>3</v>
      </c>
      <c r="AD90">
        <v>1</v>
      </c>
      <c r="AE90" t="s">
        <v>152</v>
      </c>
      <c r="AI90">
        <v>9</v>
      </c>
      <c r="AJ90">
        <v>30</v>
      </c>
    </row>
    <row r="91" spans="1:36" x14ac:dyDescent="0.25">
      <c r="A91" t="s">
        <v>887</v>
      </c>
      <c r="B91">
        <v>89</v>
      </c>
      <c r="C91" t="s">
        <v>45</v>
      </c>
      <c r="D91">
        <v>3</v>
      </c>
      <c r="F91">
        <v>3</v>
      </c>
      <c r="G91" t="s">
        <v>86</v>
      </c>
      <c r="K91" t="s">
        <v>38</v>
      </c>
      <c r="L91">
        <v>1</v>
      </c>
      <c r="M91">
        <v>1</v>
      </c>
      <c r="N91">
        <v>1</v>
      </c>
      <c r="O91" t="s">
        <v>152</v>
      </c>
      <c r="P91" t="s">
        <v>70</v>
      </c>
      <c r="S91" t="s">
        <v>53</v>
      </c>
      <c r="T91">
        <v>1</v>
      </c>
      <c r="U91">
        <v>1</v>
      </c>
      <c r="V91">
        <v>1</v>
      </c>
      <c r="W91" t="s">
        <v>111</v>
      </c>
      <c r="AA91" t="s">
        <v>63</v>
      </c>
      <c r="AB91">
        <v>3</v>
      </c>
      <c r="AD91">
        <v>1</v>
      </c>
      <c r="AE91" t="s">
        <v>72</v>
      </c>
      <c r="AF91" t="s">
        <v>146</v>
      </c>
      <c r="AG91" t="s">
        <v>104</v>
      </c>
      <c r="AI91">
        <v>9</v>
      </c>
      <c r="AJ91">
        <v>29</v>
      </c>
    </row>
    <row r="92" spans="1:36" x14ac:dyDescent="0.25">
      <c r="A92" t="s">
        <v>888</v>
      </c>
      <c r="B92">
        <v>90</v>
      </c>
      <c r="C92" t="s">
        <v>56</v>
      </c>
      <c r="D92">
        <v>1</v>
      </c>
      <c r="F92">
        <v>1</v>
      </c>
      <c r="G92" t="s">
        <v>57</v>
      </c>
      <c r="H92" t="s">
        <v>122</v>
      </c>
      <c r="I92" t="s">
        <v>85</v>
      </c>
      <c r="K92" t="s">
        <v>48</v>
      </c>
      <c r="L92">
        <v>3</v>
      </c>
      <c r="N92">
        <v>3</v>
      </c>
      <c r="O92" t="s">
        <v>89</v>
      </c>
      <c r="P92" t="s">
        <v>71</v>
      </c>
      <c r="Q92" t="s">
        <v>127</v>
      </c>
      <c r="R92" t="s">
        <v>52</v>
      </c>
      <c r="S92" t="s">
        <v>53</v>
      </c>
      <c r="T92">
        <v>3</v>
      </c>
      <c r="U92">
        <v>3</v>
      </c>
      <c r="V92">
        <v>3</v>
      </c>
      <c r="W92" t="s">
        <v>111</v>
      </c>
      <c r="X92" t="s">
        <v>83</v>
      </c>
      <c r="Y92" t="s">
        <v>105</v>
      </c>
      <c r="AA92" t="s">
        <v>38</v>
      </c>
      <c r="AB92">
        <v>1</v>
      </c>
      <c r="AC92">
        <v>1</v>
      </c>
      <c r="AD92">
        <v>2</v>
      </c>
      <c r="AE92" t="s">
        <v>67</v>
      </c>
      <c r="AI92">
        <v>18</v>
      </c>
      <c r="AJ92">
        <v>44</v>
      </c>
    </row>
    <row r="93" spans="1:36" x14ac:dyDescent="0.25">
      <c r="A93" t="s">
        <v>889</v>
      </c>
      <c r="B93">
        <v>91</v>
      </c>
      <c r="C93" t="s">
        <v>56</v>
      </c>
      <c r="D93">
        <v>3</v>
      </c>
      <c r="F93">
        <v>1</v>
      </c>
      <c r="G93" t="s">
        <v>57</v>
      </c>
      <c r="H93" t="s">
        <v>122</v>
      </c>
      <c r="K93" t="s">
        <v>33</v>
      </c>
      <c r="L93">
        <v>1</v>
      </c>
      <c r="N93">
        <v>3</v>
      </c>
      <c r="O93" t="s">
        <v>65</v>
      </c>
      <c r="S93" t="s">
        <v>53</v>
      </c>
      <c r="T93">
        <v>2</v>
      </c>
      <c r="U93">
        <v>2</v>
      </c>
      <c r="V93">
        <v>2</v>
      </c>
      <c r="W93" t="s">
        <v>111</v>
      </c>
      <c r="AA93" t="s">
        <v>38</v>
      </c>
      <c r="AB93">
        <v>1</v>
      </c>
      <c r="AC93">
        <v>2</v>
      </c>
      <c r="AD93">
        <v>2</v>
      </c>
      <c r="AE93" t="s">
        <v>67</v>
      </c>
      <c r="AF93" t="s">
        <v>96</v>
      </c>
      <c r="AI93">
        <v>11</v>
      </c>
      <c r="AJ93">
        <v>28</v>
      </c>
    </row>
    <row r="94" spans="1:36" x14ac:dyDescent="0.25">
      <c r="A94" t="s">
        <v>890</v>
      </c>
      <c r="B94">
        <v>92</v>
      </c>
      <c r="C94" t="s">
        <v>53</v>
      </c>
      <c r="D94">
        <v>2</v>
      </c>
      <c r="E94">
        <v>1</v>
      </c>
      <c r="F94">
        <v>2</v>
      </c>
      <c r="G94" t="s">
        <v>111</v>
      </c>
      <c r="H94" t="s">
        <v>83</v>
      </c>
      <c r="K94" t="s">
        <v>38</v>
      </c>
      <c r="L94">
        <v>1</v>
      </c>
      <c r="M94">
        <v>2</v>
      </c>
      <c r="N94">
        <v>2</v>
      </c>
      <c r="O94" t="s">
        <v>67</v>
      </c>
      <c r="P94" t="s">
        <v>70</v>
      </c>
      <c r="S94" t="s">
        <v>56</v>
      </c>
      <c r="T94">
        <v>1</v>
      </c>
      <c r="V94">
        <v>2</v>
      </c>
      <c r="W94" t="s">
        <v>57</v>
      </c>
      <c r="AA94" t="s">
        <v>43</v>
      </c>
      <c r="AB94">
        <v>1</v>
      </c>
      <c r="AD94">
        <v>1</v>
      </c>
      <c r="AE94" t="s">
        <v>73</v>
      </c>
      <c r="AF94" t="s">
        <v>74</v>
      </c>
      <c r="AG94" t="s">
        <v>100</v>
      </c>
      <c r="AH94" t="s">
        <v>101</v>
      </c>
      <c r="AI94">
        <v>10</v>
      </c>
      <c r="AJ94">
        <v>29</v>
      </c>
    </row>
    <row r="95" spans="1:36" x14ac:dyDescent="0.25">
      <c r="A95" t="s">
        <v>891</v>
      </c>
      <c r="B95">
        <v>93</v>
      </c>
      <c r="C95" t="s">
        <v>53</v>
      </c>
      <c r="D95">
        <v>2</v>
      </c>
      <c r="E95">
        <v>1</v>
      </c>
      <c r="F95">
        <v>1</v>
      </c>
      <c r="G95" t="s">
        <v>111</v>
      </c>
      <c r="H95" t="s">
        <v>83</v>
      </c>
      <c r="K95" t="s">
        <v>38</v>
      </c>
      <c r="L95">
        <v>1</v>
      </c>
      <c r="M95">
        <v>1</v>
      </c>
      <c r="N95">
        <v>2</v>
      </c>
      <c r="O95" t="s">
        <v>67</v>
      </c>
      <c r="S95" t="s">
        <v>56</v>
      </c>
      <c r="T95">
        <v>3</v>
      </c>
      <c r="V95">
        <v>1</v>
      </c>
      <c r="W95" t="s">
        <v>57</v>
      </c>
      <c r="AA95" t="s">
        <v>45</v>
      </c>
      <c r="AB95">
        <v>2</v>
      </c>
      <c r="AD95">
        <v>1</v>
      </c>
      <c r="AE95" t="s">
        <v>86</v>
      </c>
      <c r="AI95">
        <v>6</v>
      </c>
      <c r="AJ95">
        <v>17</v>
      </c>
    </row>
    <row r="96" spans="1:36" x14ac:dyDescent="0.25">
      <c r="A96" t="s">
        <v>892</v>
      </c>
      <c r="B96">
        <v>94</v>
      </c>
      <c r="C96" t="s">
        <v>56</v>
      </c>
      <c r="D96">
        <v>2</v>
      </c>
      <c r="F96">
        <v>1</v>
      </c>
      <c r="G96" t="s">
        <v>57</v>
      </c>
      <c r="K96" t="s">
        <v>63</v>
      </c>
      <c r="L96">
        <v>1</v>
      </c>
      <c r="N96">
        <v>1</v>
      </c>
      <c r="O96" t="s">
        <v>103</v>
      </c>
      <c r="P96" t="s">
        <v>95</v>
      </c>
      <c r="S96" t="s">
        <v>53</v>
      </c>
      <c r="T96">
        <v>2</v>
      </c>
      <c r="U96">
        <v>3</v>
      </c>
      <c r="V96">
        <v>1</v>
      </c>
      <c r="W96" t="s">
        <v>111</v>
      </c>
      <c r="AA96" t="s">
        <v>38</v>
      </c>
      <c r="AB96">
        <v>2</v>
      </c>
      <c r="AC96">
        <v>1</v>
      </c>
      <c r="AD96">
        <v>1</v>
      </c>
      <c r="AE96" t="s">
        <v>152</v>
      </c>
      <c r="AI96">
        <v>6</v>
      </c>
      <c r="AJ96">
        <v>20</v>
      </c>
    </row>
    <row r="97" spans="1:36" x14ac:dyDescent="0.25">
      <c r="A97" t="s">
        <v>893</v>
      </c>
      <c r="B97">
        <v>95</v>
      </c>
      <c r="C97" t="s">
        <v>48</v>
      </c>
      <c r="D97">
        <v>1</v>
      </c>
      <c r="F97">
        <v>1</v>
      </c>
      <c r="G97" t="s">
        <v>89</v>
      </c>
      <c r="K97" t="s">
        <v>33</v>
      </c>
      <c r="L97">
        <v>1</v>
      </c>
      <c r="N97">
        <v>3</v>
      </c>
      <c r="O97" t="s">
        <v>65</v>
      </c>
      <c r="P97" t="s">
        <v>35</v>
      </c>
      <c r="Q97" t="s">
        <v>131</v>
      </c>
      <c r="R97" t="s">
        <v>134</v>
      </c>
      <c r="S97" t="s">
        <v>53</v>
      </c>
      <c r="T97">
        <v>3</v>
      </c>
      <c r="U97">
        <v>1</v>
      </c>
      <c r="V97">
        <v>1</v>
      </c>
      <c r="W97" t="s">
        <v>111</v>
      </c>
      <c r="X97" t="s">
        <v>83</v>
      </c>
      <c r="Y97" t="s">
        <v>105</v>
      </c>
      <c r="AA97" t="s">
        <v>38</v>
      </c>
      <c r="AB97">
        <v>3</v>
      </c>
      <c r="AC97">
        <v>1</v>
      </c>
      <c r="AD97">
        <v>3</v>
      </c>
      <c r="AE97" t="s">
        <v>39</v>
      </c>
      <c r="AI97">
        <v>13</v>
      </c>
      <c r="AJ97">
        <v>33</v>
      </c>
    </row>
    <row r="98" spans="1:36" x14ac:dyDescent="0.25">
      <c r="A98" t="s">
        <v>894</v>
      </c>
      <c r="B98">
        <v>96</v>
      </c>
      <c r="C98" t="s">
        <v>48</v>
      </c>
      <c r="D98">
        <v>2</v>
      </c>
      <c r="F98">
        <v>1</v>
      </c>
      <c r="G98" t="s">
        <v>89</v>
      </c>
      <c r="K98" t="s">
        <v>43</v>
      </c>
      <c r="L98">
        <v>3</v>
      </c>
      <c r="N98">
        <v>1</v>
      </c>
      <c r="O98" t="s">
        <v>73</v>
      </c>
      <c r="P98" t="s">
        <v>99</v>
      </c>
      <c r="Q98" t="s">
        <v>100</v>
      </c>
      <c r="R98" t="s">
        <v>101</v>
      </c>
      <c r="S98" t="s">
        <v>53</v>
      </c>
      <c r="T98">
        <v>3</v>
      </c>
      <c r="U98">
        <v>1</v>
      </c>
      <c r="V98">
        <v>1</v>
      </c>
      <c r="W98" t="s">
        <v>111</v>
      </c>
      <c r="X98" t="s">
        <v>83</v>
      </c>
      <c r="Y98" t="s">
        <v>105</v>
      </c>
      <c r="AA98" t="s">
        <v>38</v>
      </c>
      <c r="AB98">
        <v>1</v>
      </c>
      <c r="AC98">
        <v>1</v>
      </c>
      <c r="AD98">
        <v>2</v>
      </c>
      <c r="AE98" t="s">
        <v>67</v>
      </c>
      <c r="AI98">
        <v>11</v>
      </c>
      <c r="AJ98">
        <v>30</v>
      </c>
    </row>
    <row r="99" spans="1:36" x14ac:dyDescent="0.25">
      <c r="A99" t="s">
        <v>895</v>
      </c>
      <c r="B99">
        <v>97</v>
      </c>
      <c r="C99" t="s">
        <v>48</v>
      </c>
      <c r="D99">
        <v>3</v>
      </c>
      <c r="F99">
        <v>1</v>
      </c>
      <c r="G99" t="s">
        <v>89</v>
      </c>
      <c r="H99" t="s">
        <v>71</v>
      </c>
      <c r="I99" t="s">
        <v>51</v>
      </c>
      <c r="K99" t="s">
        <v>45</v>
      </c>
      <c r="L99">
        <v>2</v>
      </c>
      <c r="N99">
        <v>1</v>
      </c>
      <c r="O99" t="s">
        <v>47</v>
      </c>
      <c r="S99" t="s">
        <v>53</v>
      </c>
      <c r="T99">
        <v>3</v>
      </c>
      <c r="U99">
        <v>1</v>
      </c>
      <c r="V99">
        <v>1</v>
      </c>
      <c r="W99" t="s">
        <v>111</v>
      </c>
      <c r="X99" t="s">
        <v>83</v>
      </c>
      <c r="AA99" t="s">
        <v>38</v>
      </c>
      <c r="AB99">
        <v>1</v>
      </c>
      <c r="AC99">
        <v>1</v>
      </c>
      <c r="AD99">
        <v>1</v>
      </c>
      <c r="AE99" t="s">
        <v>67</v>
      </c>
      <c r="AI99">
        <v>8</v>
      </c>
      <c r="AJ99">
        <v>28</v>
      </c>
    </row>
    <row r="100" spans="1:36" x14ac:dyDescent="0.25">
      <c r="A100" t="s">
        <v>896</v>
      </c>
      <c r="B100">
        <v>100</v>
      </c>
      <c r="C100" t="s">
        <v>33</v>
      </c>
      <c r="D100">
        <v>2</v>
      </c>
      <c r="F100">
        <v>3</v>
      </c>
      <c r="G100" t="s">
        <v>65</v>
      </c>
      <c r="H100" t="s">
        <v>66</v>
      </c>
      <c r="I100" t="s">
        <v>36</v>
      </c>
      <c r="K100" t="s">
        <v>45</v>
      </c>
      <c r="L100">
        <v>1</v>
      </c>
      <c r="N100">
        <v>1</v>
      </c>
      <c r="O100" t="s">
        <v>47</v>
      </c>
      <c r="P100" t="s">
        <v>141</v>
      </c>
      <c r="S100" t="s">
        <v>53</v>
      </c>
      <c r="T100">
        <v>2</v>
      </c>
      <c r="U100">
        <v>3</v>
      </c>
      <c r="V100">
        <v>2</v>
      </c>
      <c r="W100" t="s">
        <v>111</v>
      </c>
      <c r="AA100" t="s">
        <v>38</v>
      </c>
      <c r="AB100">
        <v>1</v>
      </c>
      <c r="AC100">
        <v>1</v>
      </c>
      <c r="AD100">
        <v>3</v>
      </c>
      <c r="AE100" t="s">
        <v>39</v>
      </c>
      <c r="AF100" t="s">
        <v>96</v>
      </c>
      <c r="AG100" t="s">
        <v>41</v>
      </c>
      <c r="AI100">
        <v>14</v>
      </c>
      <c r="AJ100">
        <v>41</v>
      </c>
    </row>
    <row r="101" spans="1:36" x14ac:dyDescent="0.25">
      <c r="A101" t="s">
        <v>897</v>
      </c>
      <c r="B101">
        <v>103</v>
      </c>
      <c r="C101" t="s">
        <v>43</v>
      </c>
      <c r="D101">
        <v>1</v>
      </c>
      <c r="F101">
        <v>1</v>
      </c>
      <c r="G101" t="s">
        <v>73</v>
      </c>
      <c r="H101" t="s">
        <v>74</v>
      </c>
      <c r="I101" t="s">
        <v>100</v>
      </c>
      <c r="J101" t="s">
        <v>139</v>
      </c>
      <c r="K101" t="s">
        <v>63</v>
      </c>
      <c r="L101">
        <v>2</v>
      </c>
      <c r="N101">
        <v>1</v>
      </c>
      <c r="O101" t="s">
        <v>103</v>
      </c>
      <c r="P101" t="s">
        <v>95</v>
      </c>
      <c r="Q101" t="s">
        <v>104</v>
      </c>
      <c r="R101" t="s">
        <v>151</v>
      </c>
      <c r="S101" t="s">
        <v>53</v>
      </c>
      <c r="T101">
        <v>3</v>
      </c>
      <c r="U101">
        <v>1</v>
      </c>
      <c r="V101">
        <v>1</v>
      </c>
      <c r="W101" t="s">
        <v>111</v>
      </c>
      <c r="X101" t="s">
        <v>83</v>
      </c>
      <c r="Y101" t="s">
        <v>105</v>
      </c>
      <c r="AA101" t="s">
        <v>38</v>
      </c>
      <c r="AB101">
        <v>1</v>
      </c>
      <c r="AC101">
        <v>2</v>
      </c>
      <c r="AD101">
        <v>2</v>
      </c>
      <c r="AE101" t="s">
        <v>67</v>
      </c>
      <c r="AI101">
        <v>13</v>
      </c>
      <c r="AJ101">
        <v>35</v>
      </c>
    </row>
    <row r="102" spans="1:36" x14ac:dyDescent="0.25">
      <c r="A102" t="s">
        <v>898</v>
      </c>
      <c r="B102">
        <v>105</v>
      </c>
      <c r="C102" t="s">
        <v>56</v>
      </c>
      <c r="D102">
        <v>2</v>
      </c>
      <c r="F102">
        <v>1</v>
      </c>
      <c r="G102" t="s">
        <v>68</v>
      </c>
      <c r="K102" t="s">
        <v>48</v>
      </c>
      <c r="L102">
        <v>3</v>
      </c>
      <c r="N102">
        <v>1</v>
      </c>
      <c r="O102" t="s">
        <v>89</v>
      </c>
      <c r="S102" t="s">
        <v>33</v>
      </c>
      <c r="T102">
        <v>1</v>
      </c>
      <c r="V102">
        <v>2</v>
      </c>
      <c r="W102" t="s">
        <v>46</v>
      </c>
      <c r="AA102" t="s">
        <v>43</v>
      </c>
      <c r="AB102">
        <v>1</v>
      </c>
      <c r="AD102">
        <v>1</v>
      </c>
      <c r="AE102" t="s">
        <v>73</v>
      </c>
      <c r="AF102" t="s">
        <v>74</v>
      </c>
      <c r="AG102" t="s">
        <v>75</v>
      </c>
      <c r="AH102" t="s">
        <v>101</v>
      </c>
      <c r="AI102">
        <v>7</v>
      </c>
      <c r="AJ102">
        <v>22</v>
      </c>
    </row>
    <row r="103" spans="1:36" x14ac:dyDescent="0.25">
      <c r="A103" t="s">
        <v>899</v>
      </c>
      <c r="B103">
        <v>106</v>
      </c>
      <c r="C103" t="s">
        <v>56</v>
      </c>
      <c r="D103">
        <v>1</v>
      </c>
      <c r="F103">
        <v>2</v>
      </c>
      <c r="G103" t="s">
        <v>68</v>
      </c>
      <c r="H103" t="s">
        <v>121</v>
      </c>
      <c r="I103" t="s">
        <v>123</v>
      </c>
      <c r="K103" t="s">
        <v>48</v>
      </c>
      <c r="L103">
        <v>2</v>
      </c>
      <c r="N103">
        <v>1</v>
      </c>
      <c r="O103" t="s">
        <v>89</v>
      </c>
      <c r="S103" t="s">
        <v>33</v>
      </c>
      <c r="T103">
        <v>1</v>
      </c>
      <c r="V103">
        <v>2</v>
      </c>
      <c r="W103" t="s">
        <v>46</v>
      </c>
      <c r="AA103" t="s">
        <v>45</v>
      </c>
      <c r="AB103">
        <v>3</v>
      </c>
      <c r="AD103">
        <v>1</v>
      </c>
      <c r="AE103" t="s">
        <v>140</v>
      </c>
      <c r="AI103">
        <v>7</v>
      </c>
      <c r="AJ103">
        <v>21</v>
      </c>
    </row>
    <row r="104" spans="1:36" x14ac:dyDescent="0.25">
      <c r="A104" t="s">
        <v>900</v>
      </c>
      <c r="B104">
        <v>107</v>
      </c>
      <c r="C104" t="s">
        <v>33</v>
      </c>
      <c r="D104">
        <v>2</v>
      </c>
      <c r="F104">
        <v>2</v>
      </c>
      <c r="G104" t="s">
        <v>46</v>
      </c>
      <c r="K104" t="s">
        <v>63</v>
      </c>
      <c r="L104">
        <v>2</v>
      </c>
      <c r="N104">
        <v>3</v>
      </c>
      <c r="O104" t="s">
        <v>103</v>
      </c>
      <c r="P104" t="s">
        <v>95</v>
      </c>
      <c r="S104" t="s">
        <v>56</v>
      </c>
      <c r="T104">
        <v>3</v>
      </c>
      <c r="V104">
        <v>3</v>
      </c>
      <c r="W104" t="s">
        <v>68</v>
      </c>
      <c r="AA104" t="s">
        <v>48</v>
      </c>
      <c r="AB104">
        <v>3</v>
      </c>
      <c r="AD104">
        <v>1</v>
      </c>
      <c r="AE104" t="s">
        <v>89</v>
      </c>
      <c r="AF104" t="s">
        <v>50</v>
      </c>
      <c r="AI104">
        <v>13</v>
      </c>
      <c r="AJ104">
        <v>34</v>
      </c>
    </row>
    <row r="105" spans="1:36" x14ac:dyDescent="0.25">
      <c r="A105" t="s">
        <v>901</v>
      </c>
      <c r="B105">
        <v>109</v>
      </c>
      <c r="C105" t="s">
        <v>56</v>
      </c>
      <c r="D105">
        <v>1</v>
      </c>
      <c r="F105">
        <v>1</v>
      </c>
      <c r="G105" t="s">
        <v>68</v>
      </c>
      <c r="K105" t="s">
        <v>48</v>
      </c>
      <c r="L105">
        <v>3</v>
      </c>
      <c r="N105">
        <v>2</v>
      </c>
      <c r="O105" t="s">
        <v>89</v>
      </c>
      <c r="S105" t="s">
        <v>43</v>
      </c>
      <c r="T105">
        <v>2</v>
      </c>
      <c r="V105">
        <v>1</v>
      </c>
      <c r="W105" t="s">
        <v>73</v>
      </c>
      <c r="X105" t="s">
        <v>74</v>
      </c>
      <c r="AA105" t="s">
        <v>45</v>
      </c>
      <c r="AB105">
        <v>2</v>
      </c>
      <c r="AD105">
        <v>1</v>
      </c>
      <c r="AE105" t="s">
        <v>47</v>
      </c>
      <c r="AI105">
        <v>6</v>
      </c>
      <c r="AJ105">
        <v>25</v>
      </c>
    </row>
    <row r="106" spans="1:36" x14ac:dyDescent="0.25">
      <c r="A106" t="s">
        <v>902</v>
      </c>
      <c r="B106">
        <v>110</v>
      </c>
      <c r="C106" t="s">
        <v>56</v>
      </c>
      <c r="D106">
        <v>1</v>
      </c>
      <c r="F106">
        <v>1</v>
      </c>
      <c r="G106" t="s">
        <v>68</v>
      </c>
      <c r="H106" t="s">
        <v>69</v>
      </c>
      <c r="K106" t="s">
        <v>48</v>
      </c>
      <c r="L106">
        <v>3</v>
      </c>
      <c r="N106">
        <v>2</v>
      </c>
      <c r="O106" t="s">
        <v>89</v>
      </c>
      <c r="P106" t="s">
        <v>84</v>
      </c>
      <c r="Q106" t="s">
        <v>127</v>
      </c>
      <c r="S106" t="s">
        <v>43</v>
      </c>
      <c r="T106">
        <v>1</v>
      </c>
      <c r="V106">
        <v>1</v>
      </c>
      <c r="W106" t="s">
        <v>73</v>
      </c>
      <c r="X106" t="s">
        <v>99</v>
      </c>
      <c r="Y106" t="s">
        <v>137</v>
      </c>
      <c r="AA106" t="s">
        <v>63</v>
      </c>
      <c r="AB106">
        <v>1</v>
      </c>
      <c r="AD106">
        <v>1</v>
      </c>
      <c r="AE106" t="s">
        <v>103</v>
      </c>
      <c r="AF106" t="s">
        <v>95</v>
      </c>
      <c r="AG106" t="s">
        <v>104</v>
      </c>
      <c r="AI106">
        <v>10</v>
      </c>
      <c r="AJ106">
        <v>31</v>
      </c>
    </row>
    <row r="107" spans="1:36" x14ac:dyDescent="0.25">
      <c r="A107" t="s">
        <v>903</v>
      </c>
      <c r="B107">
        <v>111</v>
      </c>
      <c r="C107" t="s">
        <v>56</v>
      </c>
      <c r="D107">
        <v>2</v>
      </c>
      <c r="F107">
        <v>1</v>
      </c>
      <c r="G107" t="s">
        <v>68</v>
      </c>
      <c r="K107" t="s">
        <v>48</v>
      </c>
      <c r="L107">
        <v>3</v>
      </c>
      <c r="N107">
        <v>2</v>
      </c>
      <c r="O107" t="s">
        <v>89</v>
      </c>
      <c r="S107" t="s">
        <v>43</v>
      </c>
      <c r="T107">
        <v>2</v>
      </c>
      <c r="V107">
        <v>1</v>
      </c>
      <c r="W107" t="s">
        <v>73</v>
      </c>
      <c r="X107" t="s">
        <v>74</v>
      </c>
      <c r="Y107" t="s">
        <v>100</v>
      </c>
      <c r="Z107" t="s">
        <v>101</v>
      </c>
      <c r="AA107" t="s">
        <v>38</v>
      </c>
      <c r="AB107">
        <v>1</v>
      </c>
      <c r="AC107">
        <v>1</v>
      </c>
      <c r="AD107">
        <v>2</v>
      </c>
      <c r="AE107" t="s">
        <v>152</v>
      </c>
      <c r="AI107">
        <v>9</v>
      </c>
      <c r="AJ107">
        <v>34</v>
      </c>
    </row>
    <row r="108" spans="1:36" x14ac:dyDescent="0.25">
      <c r="A108" t="s">
        <v>904</v>
      </c>
      <c r="B108">
        <v>112</v>
      </c>
      <c r="C108" t="s">
        <v>45</v>
      </c>
      <c r="D108">
        <v>2</v>
      </c>
      <c r="F108">
        <v>1</v>
      </c>
      <c r="G108" t="s">
        <v>47</v>
      </c>
      <c r="H108" t="s">
        <v>141</v>
      </c>
      <c r="I108" t="s">
        <v>102</v>
      </c>
      <c r="K108" t="s">
        <v>63</v>
      </c>
      <c r="L108">
        <v>1</v>
      </c>
      <c r="N108">
        <v>1</v>
      </c>
      <c r="O108" t="s">
        <v>103</v>
      </c>
      <c r="P108" t="s">
        <v>95</v>
      </c>
      <c r="Q108" t="s">
        <v>147</v>
      </c>
      <c r="S108" t="s">
        <v>56</v>
      </c>
      <c r="T108">
        <v>3</v>
      </c>
      <c r="V108">
        <v>1</v>
      </c>
      <c r="W108" t="s">
        <v>57</v>
      </c>
      <c r="AA108" t="s">
        <v>48</v>
      </c>
      <c r="AB108">
        <v>3</v>
      </c>
      <c r="AD108">
        <v>1</v>
      </c>
      <c r="AE108" t="s">
        <v>89</v>
      </c>
      <c r="AI108">
        <v>9</v>
      </c>
      <c r="AJ108">
        <v>36</v>
      </c>
    </row>
    <row r="109" spans="1:36" x14ac:dyDescent="0.25">
      <c r="A109" t="s">
        <v>905</v>
      </c>
      <c r="B109">
        <v>113</v>
      </c>
      <c r="C109" t="s">
        <v>45</v>
      </c>
      <c r="D109">
        <v>3</v>
      </c>
      <c r="F109">
        <v>1</v>
      </c>
      <c r="G109" t="s">
        <v>86</v>
      </c>
      <c r="H109" t="s">
        <v>141</v>
      </c>
      <c r="K109" t="s">
        <v>38</v>
      </c>
      <c r="L109">
        <v>1</v>
      </c>
      <c r="M109">
        <v>1</v>
      </c>
      <c r="N109">
        <v>2</v>
      </c>
      <c r="O109" t="s">
        <v>67</v>
      </c>
      <c r="P109" t="s">
        <v>70</v>
      </c>
      <c r="S109" t="s">
        <v>56</v>
      </c>
      <c r="T109">
        <v>1</v>
      </c>
      <c r="V109">
        <v>3</v>
      </c>
      <c r="W109" t="s">
        <v>68</v>
      </c>
      <c r="AA109" t="s">
        <v>48</v>
      </c>
      <c r="AB109">
        <v>3</v>
      </c>
      <c r="AD109">
        <v>2</v>
      </c>
      <c r="AE109" t="s">
        <v>89</v>
      </c>
      <c r="AI109">
        <v>10</v>
      </c>
      <c r="AJ109">
        <v>32</v>
      </c>
    </row>
    <row r="110" spans="1:36" x14ac:dyDescent="0.25">
      <c r="A110" t="s">
        <v>906</v>
      </c>
      <c r="B110">
        <v>114</v>
      </c>
      <c r="C110" t="s">
        <v>63</v>
      </c>
      <c r="D110">
        <v>1</v>
      </c>
      <c r="F110">
        <v>1</v>
      </c>
      <c r="G110" t="s">
        <v>103</v>
      </c>
      <c r="H110" t="s">
        <v>95</v>
      </c>
      <c r="K110" t="s">
        <v>38</v>
      </c>
      <c r="L110">
        <v>1</v>
      </c>
      <c r="M110">
        <v>1</v>
      </c>
      <c r="N110">
        <v>2</v>
      </c>
      <c r="O110" t="s">
        <v>152</v>
      </c>
      <c r="S110" t="s">
        <v>56</v>
      </c>
      <c r="T110">
        <v>1</v>
      </c>
      <c r="V110">
        <v>1</v>
      </c>
      <c r="W110" t="s">
        <v>57</v>
      </c>
      <c r="X110" t="s">
        <v>122</v>
      </c>
      <c r="Y110" t="s">
        <v>85</v>
      </c>
      <c r="AA110" t="s">
        <v>48</v>
      </c>
      <c r="AB110">
        <v>2</v>
      </c>
      <c r="AD110">
        <v>1</v>
      </c>
      <c r="AE110" t="s">
        <v>89</v>
      </c>
      <c r="AF110" t="s">
        <v>84</v>
      </c>
      <c r="AI110">
        <v>6</v>
      </c>
      <c r="AJ110">
        <v>21</v>
      </c>
    </row>
    <row r="111" spans="1:36" x14ac:dyDescent="0.25">
      <c r="A111" t="s">
        <v>907</v>
      </c>
      <c r="B111">
        <v>115</v>
      </c>
      <c r="C111" t="s">
        <v>48</v>
      </c>
      <c r="D111">
        <v>2</v>
      </c>
      <c r="F111">
        <v>1</v>
      </c>
      <c r="G111" t="s">
        <v>89</v>
      </c>
      <c r="H111" t="s">
        <v>71</v>
      </c>
      <c r="K111" t="s">
        <v>43</v>
      </c>
      <c r="L111">
        <v>3</v>
      </c>
      <c r="N111">
        <v>1</v>
      </c>
      <c r="O111" t="s">
        <v>44</v>
      </c>
      <c r="S111" t="s">
        <v>56</v>
      </c>
      <c r="T111">
        <v>1</v>
      </c>
      <c r="V111">
        <v>1</v>
      </c>
      <c r="W111" t="s">
        <v>68</v>
      </c>
      <c r="AA111" t="s">
        <v>33</v>
      </c>
      <c r="AB111">
        <v>1</v>
      </c>
      <c r="AD111">
        <v>3</v>
      </c>
      <c r="AE111" t="s">
        <v>65</v>
      </c>
      <c r="AF111" t="s">
        <v>66</v>
      </c>
      <c r="AI111">
        <v>7</v>
      </c>
      <c r="AJ111">
        <v>20</v>
      </c>
    </row>
    <row r="112" spans="1:36" x14ac:dyDescent="0.25">
      <c r="A112" t="s">
        <v>908</v>
      </c>
      <c r="B112">
        <v>116</v>
      </c>
      <c r="C112" t="s">
        <v>48</v>
      </c>
      <c r="D112">
        <v>2</v>
      </c>
      <c r="F112">
        <v>1</v>
      </c>
      <c r="G112" t="s">
        <v>89</v>
      </c>
      <c r="H112" t="s">
        <v>84</v>
      </c>
      <c r="I112" t="s">
        <v>90</v>
      </c>
      <c r="K112" t="s">
        <v>45</v>
      </c>
      <c r="L112">
        <v>2</v>
      </c>
      <c r="N112">
        <v>1</v>
      </c>
      <c r="O112" t="s">
        <v>86</v>
      </c>
      <c r="S112" t="s">
        <v>56</v>
      </c>
      <c r="T112">
        <v>2</v>
      </c>
      <c r="V112">
        <v>1</v>
      </c>
      <c r="W112" t="s">
        <v>68</v>
      </c>
      <c r="X112" t="s">
        <v>121</v>
      </c>
      <c r="AA112" t="s">
        <v>33</v>
      </c>
      <c r="AB112">
        <v>2</v>
      </c>
      <c r="AD112">
        <v>3</v>
      </c>
      <c r="AE112" t="s">
        <v>46</v>
      </c>
      <c r="AI112">
        <v>9</v>
      </c>
      <c r="AJ112">
        <v>27</v>
      </c>
    </row>
    <row r="113" spans="1:36" x14ac:dyDescent="0.25">
      <c r="A113" t="s">
        <v>909</v>
      </c>
      <c r="B113">
        <v>117</v>
      </c>
      <c r="C113" t="s">
        <v>48</v>
      </c>
      <c r="D113">
        <v>2</v>
      </c>
      <c r="F113">
        <v>1</v>
      </c>
      <c r="G113" t="s">
        <v>89</v>
      </c>
      <c r="H113" t="s">
        <v>84</v>
      </c>
      <c r="I113" t="s">
        <v>127</v>
      </c>
      <c r="K113" t="s">
        <v>63</v>
      </c>
      <c r="L113">
        <v>1</v>
      </c>
      <c r="N113">
        <v>1</v>
      </c>
      <c r="O113" t="s">
        <v>103</v>
      </c>
      <c r="P113" t="s">
        <v>95</v>
      </c>
      <c r="S113" t="s">
        <v>56</v>
      </c>
      <c r="T113">
        <v>3</v>
      </c>
      <c r="V113">
        <v>1</v>
      </c>
      <c r="W113" t="s">
        <v>57</v>
      </c>
      <c r="AA113" t="s">
        <v>33</v>
      </c>
      <c r="AB113">
        <v>1</v>
      </c>
      <c r="AD113">
        <v>3</v>
      </c>
      <c r="AE113" t="s">
        <v>65</v>
      </c>
      <c r="AI113">
        <v>8</v>
      </c>
      <c r="AJ113">
        <v>29</v>
      </c>
    </row>
    <row r="114" spans="1:36" x14ac:dyDescent="0.25">
      <c r="A114" t="s">
        <v>910</v>
      </c>
      <c r="B114">
        <v>118</v>
      </c>
      <c r="C114" t="s">
        <v>56</v>
      </c>
      <c r="D114">
        <v>3</v>
      </c>
      <c r="F114">
        <v>2</v>
      </c>
      <c r="G114" t="s">
        <v>68</v>
      </c>
      <c r="K114" t="s">
        <v>33</v>
      </c>
      <c r="L114">
        <v>1</v>
      </c>
      <c r="N114">
        <v>3</v>
      </c>
      <c r="O114" t="s">
        <v>65</v>
      </c>
      <c r="P114" t="s">
        <v>130</v>
      </c>
      <c r="S114" t="s">
        <v>48</v>
      </c>
      <c r="T114">
        <v>3</v>
      </c>
      <c r="V114">
        <v>3</v>
      </c>
      <c r="W114" t="s">
        <v>89</v>
      </c>
      <c r="AA114" t="s">
        <v>38</v>
      </c>
      <c r="AB114">
        <v>1</v>
      </c>
      <c r="AC114">
        <v>1</v>
      </c>
      <c r="AD114">
        <v>2</v>
      </c>
      <c r="AE114" t="s">
        <v>67</v>
      </c>
      <c r="AF114" t="s">
        <v>96</v>
      </c>
      <c r="AI114">
        <v>13</v>
      </c>
      <c r="AJ114">
        <v>36</v>
      </c>
    </row>
    <row r="115" spans="1:36" x14ac:dyDescent="0.25">
      <c r="A115" t="s">
        <v>911</v>
      </c>
      <c r="B115">
        <v>119</v>
      </c>
      <c r="C115" t="s">
        <v>43</v>
      </c>
      <c r="D115">
        <v>3</v>
      </c>
      <c r="F115">
        <v>1</v>
      </c>
      <c r="G115" t="s">
        <v>73</v>
      </c>
      <c r="H115" t="s">
        <v>74</v>
      </c>
      <c r="I115" t="s">
        <v>100</v>
      </c>
      <c r="K115" t="s">
        <v>45</v>
      </c>
      <c r="L115">
        <v>2</v>
      </c>
      <c r="N115">
        <v>1</v>
      </c>
      <c r="O115" t="s">
        <v>140</v>
      </c>
      <c r="S115" t="s">
        <v>56</v>
      </c>
      <c r="T115">
        <v>3</v>
      </c>
      <c r="V115">
        <v>1</v>
      </c>
      <c r="W115" t="s">
        <v>68</v>
      </c>
      <c r="X115" t="s">
        <v>121</v>
      </c>
      <c r="AA115" t="s">
        <v>33</v>
      </c>
      <c r="AB115">
        <v>1</v>
      </c>
      <c r="AD115">
        <v>2</v>
      </c>
      <c r="AE115" t="s">
        <v>65</v>
      </c>
      <c r="AI115">
        <v>9</v>
      </c>
      <c r="AJ115">
        <v>25</v>
      </c>
    </row>
    <row r="116" spans="1:36" x14ac:dyDescent="0.25">
      <c r="A116" t="s">
        <v>912</v>
      </c>
      <c r="B116">
        <v>120</v>
      </c>
      <c r="C116" t="s">
        <v>43</v>
      </c>
      <c r="D116">
        <v>2</v>
      </c>
      <c r="F116">
        <v>1</v>
      </c>
      <c r="G116" t="s">
        <v>44</v>
      </c>
      <c r="H116" t="s">
        <v>74</v>
      </c>
      <c r="K116" t="s">
        <v>63</v>
      </c>
      <c r="L116">
        <v>1</v>
      </c>
      <c r="N116">
        <v>1</v>
      </c>
      <c r="O116" t="s">
        <v>103</v>
      </c>
      <c r="S116" t="s">
        <v>56</v>
      </c>
      <c r="T116">
        <v>2</v>
      </c>
      <c r="V116">
        <v>1</v>
      </c>
      <c r="W116" t="s">
        <v>68</v>
      </c>
      <c r="AA116" t="s">
        <v>33</v>
      </c>
      <c r="AB116">
        <v>1</v>
      </c>
      <c r="AD116">
        <v>1</v>
      </c>
      <c r="AE116" t="s">
        <v>46</v>
      </c>
      <c r="AI116">
        <v>3</v>
      </c>
      <c r="AJ116">
        <v>12</v>
      </c>
    </row>
    <row r="117" spans="1:36" x14ac:dyDescent="0.25">
      <c r="A117" t="s">
        <v>913</v>
      </c>
      <c r="B117">
        <v>121</v>
      </c>
      <c r="C117" t="s">
        <v>43</v>
      </c>
      <c r="D117">
        <v>3</v>
      </c>
      <c r="F117">
        <v>2</v>
      </c>
      <c r="G117" t="s">
        <v>44</v>
      </c>
      <c r="H117" t="s">
        <v>136</v>
      </c>
      <c r="K117" t="s">
        <v>38</v>
      </c>
      <c r="L117">
        <v>1</v>
      </c>
      <c r="M117">
        <v>1</v>
      </c>
      <c r="N117">
        <v>2</v>
      </c>
      <c r="O117" t="s">
        <v>67</v>
      </c>
      <c r="P117" t="s">
        <v>70</v>
      </c>
      <c r="S117" t="s">
        <v>56</v>
      </c>
      <c r="T117">
        <v>1</v>
      </c>
      <c r="V117">
        <v>2</v>
      </c>
      <c r="W117" t="s">
        <v>68</v>
      </c>
      <c r="AA117" t="s">
        <v>33</v>
      </c>
      <c r="AB117">
        <v>2</v>
      </c>
      <c r="AD117">
        <v>3</v>
      </c>
      <c r="AE117" t="s">
        <v>65</v>
      </c>
      <c r="AI117">
        <v>10</v>
      </c>
      <c r="AJ117">
        <v>27</v>
      </c>
    </row>
    <row r="118" spans="1:36" x14ac:dyDescent="0.25">
      <c r="A118" t="s">
        <v>914</v>
      </c>
      <c r="B118">
        <v>122</v>
      </c>
      <c r="C118" t="s">
        <v>45</v>
      </c>
      <c r="D118">
        <v>2</v>
      </c>
      <c r="F118">
        <v>1</v>
      </c>
      <c r="G118" t="s">
        <v>140</v>
      </c>
      <c r="K118" t="s">
        <v>63</v>
      </c>
      <c r="L118">
        <v>1</v>
      </c>
      <c r="N118">
        <v>1</v>
      </c>
      <c r="O118" t="s">
        <v>72</v>
      </c>
      <c r="P118" t="s">
        <v>95</v>
      </c>
      <c r="Q118" t="s">
        <v>147</v>
      </c>
      <c r="R118" t="s">
        <v>150</v>
      </c>
      <c r="S118" t="s">
        <v>56</v>
      </c>
      <c r="T118">
        <v>3</v>
      </c>
      <c r="V118">
        <v>2</v>
      </c>
      <c r="W118" t="s">
        <v>68</v>
      </c>
      <c r="AA118" t="s">
        <v>33</v>
      </c>
      <c r="AB118">
        <v>1</v>
      </c>
      <c r="AD118">
        <v>1</v>
      </c>
      <c r="AE118" t="s">
        <v>46</v>
      </c>
      <c r="AI118">
        <v>7</v>
      </c>
      <c r="AJ118">
        <v>21</v>
      </c>
    </row>
    <row r="119" spans="1:36" x14ac:dyDescent="0.25">
      <c r="A119" t="s">
        <v>915</v>
      </c>
      <c r="B119">
        <v>123</v>
      </c>
      <c r="C119" t="s">
        <v>45</v>
      </c>
      <c r="D119">
        <v>2</v>
      </c>
      <c r="F119">
        <v>1</v>
      </c>
      <c r="G119" t="s">
        <v>86</v>
      </c>
      <c r="K119" t="s">
        <v>38</v>
      </c>
      <c r="L119">
        <v>1</v>
      </c>
      <c r="M119">
        <v>1</v>
      </c>
      <c r="N119">
        <v>2</v>
      </c>
      <c r="O119" t="s">
        <v>39</v>
      </c>
      <c r="P119" t="s">
        <v>96</v>
      </c>
      <c r="Q119" t="s">
        <v>154</v>
      </c>
      <c r="S119" t="s">
        <v>56</v>
      </c>
      <c r="T119">
        <v>1</v>
      </c>
      <c r="V119">
        <v>1</v>
      </c>
      <c r="W119" t="s">
        <v>68</v>
      </c>
      <c r="X119" t="s">
        <v>121</v>
      </c>
      <c r="AA119" t="s">
        <v>33</v>
      </c>
      <c r="AB119">
        <v>1</v>
      </c>
      <c r="AD119">
        <v>2</v>
      </c>
      <c r="AE119" t="s">
        <v>65</v>
      </c>
      <c r="AI119">
        <v>6</v>
      </c>
      <c r="AJ119">
        <v>20</v>
      </c>
    </row>
    <row r="120" spans="1:36" x14ac:dyDescent="0.25">
      <c r="A120" t="s">
        <v>916</v>
      </c>
      <c r="B120">
        <v>124</v>
      </c>
      <c r="C120" t="s">
        <v>63</v>
      </c>
      <c r="D120">
        <v>1</v>
      </c>
      <c r="F120">
        <v>1</v>
      </c>
      <c r="G120" t="s">
        <v>72</v>
      </c>
      <c r="H120" t="s">
        <v>95</v>
      </c>
      <c r="K120" t="s">
        <v>38</v>
      </c>
      <c r="L120">
        <v>1</v>
      </c>
      <c r="M120">
        <v>1</v>
      </c>
      <c r="N120">
        <v>2</v>
      </c>
      <c r="O120" t="s">
        <v>67</v>
      </c>
      <c r="S120" t="s">
        <v>56</v>
      </c>
      <c r="T120">
        <v>1</v>
      </c>
      <c r="V120">
        <v>1</v>
      </c>
      <c r="W120" t="s">
        <v>57</v>
      </c>
      <c r="AA120" t="s">
        <v>33</v>
      </c>
      <c r="AB120">
        <v>1</v>
      </c>
      <c r="AD120">
        <v>3</v>
      </c>
      <c r="AE120" t="s">
        <v>65</v>
      </c>
      <c r="AF120" t="s">
        <v>35</v>
      </c>
      <c r="AI120">
        <v>5</v>
      </c>
      <c r="AJ120">
        <v>23</v>
      </c>
    </row>
    <row r="121" spans="1:36" x14ac:dyDescent="0.25">
      <c r="A121" t="s">
        <v>917</v>
      </c>
      <c r="B121">
        <v>125</v>
      </c>
      <c r="C121" t="s">
        <v>56</v>
      </c>
      <c r="D121">
        <v>1</v>
      </c>
      <c r="F121">
        <v>1</v>
      </c>
      <c r="G121" t="s">
        <v>68</v>
      </c>
      <c r="K121" t="s">
        <v>43</v>
      </c>
      <c r="L121">
        <v>3</v>
      </c>
      <c r="N121">
        <v>3</v>
      </c>
      <c r="O121" t="s">
        <v>44</v>
      </c>
      <c r="P121" t="s">
        <v>136</v>
      </c>
      <c r="Q121" t="s">
        <v>75</v>
      </c>
      <c r="S121" t="s">
        <v>48</v>
      </c>
      <c r="T121">
        <v>3</v>
      </c>
      <c r="V121">
        <v>3</v>
      </c>
      <c r="W121" t="s">
        <v>89</v>
      </c>
      <c r="AA121" t="s">
        <v>33</v>
      </c>
      <c r="AB121">
        <v>3</v>
      </c>
      <c r="AD121">
        <v>2</v>
      </c>
      <c r="AE121" t="s">
        <v>46</v>
      </c>
      <c r="AI121">
        <v>13</v>
      </c>
      <c r="AJ121">
        <v>31</v>
      </c>
    </row>
    <row r="122" spans="1:36" x14ac:dyDescent="0.25">
      <c r="A122" t="s">
        <v>918</v>
      </c>
      <c r="B122">
        <v>126</v>
      </c>
      <c r="C122" t="s">
        <v>56</v>
      </c>
      <c r="D122">
        <v>1</v>
      </c>
      <c r="F122">
        <v>1</v>
      </c>
      <c r="G122" t="s">
        <v>68</v>
      </c>
      <c r="H122" t="s">
        <v>121</v>
      </c>
      <c r="K122" t="s">
        <v>43</v>
      </c>
      <c r="L122">
        <v>3</v>
      </c>
      <c r="N122">
        <v>1</v>
      </c>
      <c r="O122" t="s">
        <v>44</v>
      </c>
      <c r="P122" t="s">
        <v>136</v>
      </c>
      <c r="S122" t="s">
        <v>48</v>
      </c>
      <c r="T122">
        <v>2</v>
      </c>
      <c r="V122">
        <v>1</v>
      </c>
      <c r="W122" t="s">
        <v>89</v>
      </c>
      <c r="X122" t="s">
        <v>50</v>
      </c>
      <c r="AA122" t="s">
        <v>45</v>
      </c>
      <c r="AB122">
        <v>2</v>
      </c>
      <c r="AD122">
        <v>1</v>
      </c>
      <c r="AE122" t="s">
        <v>140</v>
      </c>
      <c r="AI122">
        <v>7</v>
      </c>
      <c r="AJ122">
        <v>19</v>
      </c>
    </row>
    <row r="123" spans="1:36" x14ac:dyDescent="0.25">
      <c r="A123" t="s">
        <v>919</v>
      </c>
      <c r="B123">
        <v>127</v>
      </c>
      <c r="C123" t="s">
        <v>56</v>
      </c>
      <c r="D123">
        <v>2</v>
      </c>
      <c r="F123">
        <v>1</v>
      </c>
      <c r="G123" t="s">
        <v>57</v>
      </c>
      <c r="K123" t="s">
        <v>43</v>
      </c>
      <c r="L123">
        <v>3</v>
      </c>
      <c r="N123">
        <v>1</v>
      </c>
      <c r="O123" t="s">
        <v>44</v>
      </c>
      <c r="S123" t="s">
        <v>48</v>
      </c>
      <c r="T123">
        <v>3</v>
      </c>
      <c r="V123">
        <v>1</v>
      </c>
      <c r="W123" t="s">
        <v>89</v>
      </c>
      <c r="AA123" t="s">
        <v>63</v>
      </c>
      <c r="AB123">
        <v>1</v>
      </c>
      <c r="AD123">
        <v>1</v>
      </c>
      <c r="AE123" t="s">
        <v>72</v>
      </c>
      <c r="AF123" t="s">
        <v>146</v>
      </c>
      <c r="AI123">
        <v>6</v>
      </c>
      <c r="AJ123">
        <v>23</v>
      </c>
    </row>
    <row r="124" spans="1:36" x14ac:dyDescent="0.25">
      <c r="A124" t="s">
        <v>920</v>
      </c>
      <c r="B124">
        <v>128</v>
      </c>
      <c r="C124" t="s">
        <v>48</v>
      </c>
      <c r="D124">
        <v>3</v>
      </c>
      <c r="F124">
        <v>1</v>
      </c>
      <c r="G124" t="s">
        <v>89</v>
      </c>
      <c r="H124" t="s">
        <v>71</v>
      </c>
      <c r="I124" t="s">
        <v>90</v>
      </c>
      <c r="J124" t="s">
        <v>128</v>
      </c>
      <c r="K124" t="s">
        <v>38</v>
      </c>
      <c r="L124">
        <v>1</v>
      </c>
      <c r="M124">
        <v>1</v>
      </c>
      <c r="N124">
        <v>2</v>
      </c>
      <c r="O124" t="s">
        <v>67</v>
      </c>
      <c r="P124" t="s">
        <v>40</v>
      </c>
      <c r="S124" t="s">
        <v>56</v>
      </c>
      <c r="T124">
        <v>1</v>
      </c>
      <c r="V124">
        <v>1</v>
      </c>
      <c r="W124" t="s">
        <v>57</v>
      </c>
      <c r="X124" t="s">
        <v>121</v>
      </c>
      <c r="AA124" t="s">
        <v>43</v>
      </c>
      <c r="AB124">
        <v>3</v>
      </c>
      <c r="AD124">
        <v>2</v>
      </c>
      <c r="AE124" t="s">
        <v>73</v>
      </c>
      <c r="AF124" t="s">
        <v>74</v>
      </c>
      <c r="AG124" t="s">
        <v>100</v>
      </c>
      <c r="AH124" t="s">
        <v>139</v>
      </c>
      <c r="AI124">
        <v>14</v>
      </c>
      <c r="AJ124">
        <v>41</v>
      </c>
    </row>
    <row r="125" spans="1:36" x14ac:dyDescent="0.25">
      <c r="A125" t="s">
        <v>921</v>
      </c>
      <c r="B125">
        <v>129</v>
      </c>
      <c r="C125" t="s">
        <v>33</v>
      </c>
      <c r="D125">
        <v>1</v>
      </c>
      <c r="F125">
        <v>2</v>
      </c>
      <c r="G125" t="s">
        <v>46</v>
      </c>
      <c r="H125" t="s">
        <v>66</v>
      </c>
      <c r="K125" t="s">
        <v>45</v>
      </c>
      <c r="L125">
        <v>3</v>
      </c>
      <c r="N125">
        <v>1</v>
      </c>
      <c r="O125" t="s">
        <v>140</v>
      </c>
      <c r="S125" t="s">
        <v>56</v>
      </c>
      <c r="T125">
        <v>1</v>
      </c>
      <c r="V125">
        <v>2</v>
      </c>
      <c r="W125" t="s">
        <v>68</v>
      </c>
      <c r="AA125" t="s">
        <v>43</v>
      </c>
      <c r="AB125">
        <v>3</v>
      </c>
      <c r="AD125">
        <v>1</v>
      </c>
      <c r="AE125" t="s">
        <v>44</v>
      </c>
      <c r="AF125" t="s">
        <v>136</v>
      </c>
      <c r="AI125">
        <v>8</v>
      </c>
      <c r="AJ125">
        <v>21</v>
      </c>
    </row>
    <row r="126" spans="1:36" x14ac:dyDescent="0.25">
      <c r="A126" t="s">
        <v>922</v>
      </c>
      <c r="B126">
        <v>130</v>
      </c>
      <c r="C126" t="s">
        <v>56</v>
      </c>
      <c r="D126">
        <v>3</v>
      </c>
      <c r="F126">
        <v>1</v>
      </c>
      <c r="G126" t="s">
        <v>68</v>
      </c>
      <c r="H126" t="s">
        <v>121</v>
      </c>
      <c r="I126" t="s">
        <v>123</v>
      </c>
      <c r="K126" t="s">
        <v>43</v>
      </c>
      <c r="L126">
        <v>3</v>
      </c>
      <c r="N126">
        <v>1</v>
      </c>
      <c r="O126" t="s">
        <v>44</v>
      </c>
      <c r="S126" t="s">
        <v>33</v>
      </c>
      <c r="T126">
        <v>1</v>
      </c>
      <c r="V126">
        <v>2</v>
      </c>
      <c r="W126" t="s">
        <v>46</v>
      </c>
      <c r="AA126" t="s">
        <v>63</v>
      </c>
      <c r="AB126">
        <v>3</v>
      </c>
      <c r="AD126">
        <v>1</v>
      </c>
      <c r="AE126" t="s">
        <v>145</v>
      </c>
      <c r="AI126">
        <v>9</v>
      </c>
      <c r="AJ126">
        <v>18</v>
      </c>
    </row>
    <row r="127" spans="1:36" x14ac:dyDescent="0.25">
      <c r="A127" t="s">
        <v>923</v>
      </c>
      <c r="B127">
        <v>131</v>
      </c>
      <c r="C127" t="s">
        <v>56</v>
      </c>
      <c r="D127">
        <v>2</v>
      </c>
      <c r="F127">
        <v>3</v>
      </c>
      <c r="G127" t="s">
        <v>68</v>
      </c>
      <c r="K127" t="s">
        <v>43</v>
      </c>
      <c r="L127">
        <v>1</v>
      </c>
      <c r="N127">
        <v>1</v>
      </c>
      <c r="O127" t="s">
        <v>44</v>
      </c>
      <c r="P127" t="s">
        <v>136</v>
      </c>
      <c r="S127" t="s">
        <v>33</v>
      </c>
      <c r="T127">
        <v>1</v>
      </c>
      <c r="V127">
        <v>3</v>
      </c>
      <c r="W127" t="s">
        <v>46</v>
      </c>
      <c r="AA127" t="s">
        <v>38</v>
      </c>
      <c r="AB127">
        <v>3</v>
      </c>
      <c r="AC127">
        <v>1</v>
      </c>
      <c r="AD127">
        <v>2</v>
      </c>
      <c r="AE127" t="s">
        <v>67</v>
      </c>
      <c r="AI127">
        <v>9</v>
      </c>
      <c r="AJ127">
        <v>30</v>
      </c>
    </row>
    <row r="128" spans="1:36" x14ac:dyDescent="0.25">
      <c r="A128" t="s">
        <v>924</v>
      </c>
      <c r="B128">
        <v>132</v>
      </c>
      <c r="C128" t="s">
        <v>56</v>
      </c>
      <c r="D128">
        <v>3</v>
      </c>
      <c r="F128">
        <v>3</v>
      </c>
      <c r="G128" t="s">
        <v>68</v>
      </c>
      <c r="H128" t="s">
        <v>121</v>
      </c>
      <c r="I128" t="s">
        <v>87</v>
      </c>
      <c r="K128" t="s">
        <v>43</v>
      </c>
      <c r="L128">
        <v>2</v>
      </c>
      <c r="N128">
        <v>1</v>
      </c>
      <c r="O128" t="s">
        <v>44</v>
      </c>
      <c r="S128" t="s">
        <v>45</v>
      </c>
      <c r="T128">
        <v>2</v>
      </c>
      <c r="V128">
        <v>1</v>
      </c>
      <c r="W128" t="s">
        <v>86</v>
      </c>
      <c r="AA128" t="s">
        <v>63</v>
      </c>
      <c r="AB128">
        <v>2</v>
      </c>
      <c r="AD128">
        <v>2</v>
      </c>
      <c r="AE128" t="s">
        <v>72</v>
      </c>
      <c r="AF128" t="s">
        <v>95</v>
      </c>
      <c r="AG128" t="s">
        <v>147</v>
      </c>
      <c r="AH128" t="s">
        <v>150</v>
      </c>
      <c r="AI128">
        <v>13</v>
      </c>
      <c r="AJ128">
        <v>30</v>
      </c>
    </row>
    <row r="129" spans="1:36" x14ac:dyDescent="0.25">
      <c r="A129" t="s">
        <v>925</v>
      </c>
      <c r="B129">
        <v>133</v>
      </c>
      <c r="C129" t="s">
        <v>56</v>
      </c>
      <c r="D129">
        <v>2</v>
      </c>
      <c r="F129">
        <v>3</v>
      </c>
      <c r="G129" t="s">
        <v>68</v>
      </c>
      <c r="H129" t="s">
        <v>121</v>
      </c>
      <c r="I129" t="s">
        <v>87</v>
      </c>
      <c r="K129" t="s">
        <v>43</v>
      </c>
      <c r="L129">
        <v>2</v>
      </c>
      <c r="N129">
        <v>1</v>
      </c>
      <c r="O129" t="s">
        <v>44</v>
      </c>
      <c r="S129" t="s">
        <v>45</v>
      </c>
      <c r="T129">
        <v>3</v>
      </c>
      <c r="V129">
        <v>2</v>
      </c>
      <c r="W129" t="s">
        <v>86</v>
      </c>
      <c r="X129" t="s">
        <v>76</v>
      </c>
      <c r="Y129" t="s">
        <v>142</v>
      </c>
      <c r="AA129" t="s">
        <v>38</v>
      </c>
      <c r="AB129">
        <v>1</v>
      </c>
      <c r="AC129">
        <v>1</v>
      </c>
      <c r="AD129">
        <v>2</v>
      </c>
      <c r="AE129" t="s">
        <v>67</v>
      </c>
      <c r="AF129" t="s">
        <v>96</v>
      </c>
      <c r="AG129" t="s">
        <v>154</v>
      </c>
      <c r="AI129">
        <v>14</v>
      </c>
      <c r="AJ129">
        <v>40</v>
      </c>
    </row>
    <row r="130" spans="1:36" x14ac:dyDescent="0.25">
      <c r="A130" t="s">
        <v>926</v>
      </c>
      <c r="B130">
        <v>134</v>
      </c>
      <c r="C130" t="s">
        <v>63</v>
      </c>
      <c r="D130">
        <v>3</v>
      </c>
      <c r="F130">
        <v>1</v>
      </c>
      <c r="G130" t="s">
        <v>72</v>
      </c>
      <c r="H130" t="s">
        <v>95</v>
      </c>
      <c r="I130" t="s">
        <v>147</v>
      </c>
      <c r="J130" t="s">
        <v>151</v>
      </c>
      <c r="K130" t="s">
        <v>38</v>
      </c>
      <c r="L130">
        <v>1</v>
      </c>
      <c r="M130">
        <v>2</v>
      </c>
      <c r="N130">
        <v>2</v>
      </c>
      <c r="O130" t="s">
        <v>67</v>
      </c>
      <c r="P130" t="s">
        <v>96</v>
      </c>
      <c r="S130" t="s">
        <v>56</v>
      </c>
      <c r="T130">
        <v>2</v>
      </c>
      <c r="V130">
        <v>3</v>
      </c>
      <c r="W130" t="s">
        <v>57</v>
      </c>
      <c r="X130" t="s">
        <v>122</v>
      </c>
      <c r="Y130" t="s">
        <v>85</v>
      </c>
      <c r="AA130" t="s">
        <v>43</v>
      </c>
      <c r="AB130">
        <v>2</v>
      </c>
      <c r="AD130">
        <v>1</v>
      </c>
      <c r="AE130" t="s">
        <v>44</v>
      </c>
      <c r="AF130" t="s">
        <v>74</v>
      </c>
      <c r="AG130" t="s">
        <v>100</v>
      </c>
      <c r="AI130">
        <v>16</v>
      </c>
      <c r="AJ130">
        <v>41</v>
      </c>
    </row>
    <row r="131" spans="1:36" x14ac:dyDescent="0.25">
      <c r="A131" t="s">
        <v>927</v>
      </c>
      <c r="B131">
        <v>135</v>
      </c>
      <c r="C131" t="s">
        <v>56</v>
      </c>
      <c r="D131">
        <v>3</v>
      </c>
      <c r="F131">
        <v>1</v>
      </c>
      <c r="G131" t="s">
        <v>57</v>
      </c>
      <c r="H131" t="s">
        <v>121</v>
      </c>
      <c r="I131" t="s">
        <v>85</v>
      </c>
      <c r="K131" t="s">
        <v>45</v>
      </c>
      <c r="L131">
        <v>3</v>
      </c>
      <c r="N131">
        <v>1</v>
      </c>
      <c r="O131" t="s">
        <v>140</v>
      </c>
      <c r="S131" t="s">
        <v>48</v>
      </c>
      <c r="T131">
        <v>3</v>
      </c>
      <c r="V131">
        <v>3</v>
      </c>
      <c r="W131" t="s">
        <v>89</v>
      </c>
      <c r="AA131" t="s">
        <v>33</v>
      </c>
      <c r="AB131">
        <v>1</v>
      </c>
      <c r="AD131">
        <v>1</v>
      </c>
      <c r="AE131" t="s">
        <v>46</v>
      </c>
      <c r="AI131">
        <v>10</v>
      </c>
      <c r="AJ131">
        <v>24</v>
      </c>
    </row>
    <row r="132" spans="1:36" x14ac:dyDescent="0.25">
      <c r="A132" t="s">
        <v>928</v>
      </c>
      <c r="B132">
        <v>136</v>
      </c>
      <c r="C132" t="s">
        <v>48</v>
      </c>
      <c r="D132">
        <v>3</v>
      </c>
      <c r="F132">
        <v>3</v>
      </c>
      <c r="G132" t="s">
        <v>89</v>
      </c>
      <c r="H132" t="s">
        <v>50</v>
      </c>
      <c r="I132" t="s">
        <v>90</v>
      </c>
      <c r="J132" t="s">
        <v>52</v>
      </c>
      <c r="K132" t="s">
        <v>43</v>
      </c>
      <c r="L132">
        <v>1</v>
      </c>
      <c r="N132">
        <v>1</v>
      </c>
      <c r="O132" t="s">
        <v>73</v>
      </c>
      <c r="S132" t="s">
        <v>56</v>
      </c>
      <c r="T132">
        <v>2</v>
      </c>
      <c r="V132">
        <v>1</v>
      </c>
      <c r="W132" t="s">
        <v>68</v>
      </c>
      <c r="AA132" t="s">
        <v>45</v>
      </c>
      <c r="AB132">
        <v>3</v>
      </c>
      <c r="AD132">
        <v>2</v>
      </c>
      <c r="AE132" t="s">
        <v>86</v>
      </c>
      <c r="AI132">
        <v>11</v>
      </c>
      <c r="AJ132">
        <v>39</v>
      </c>
    </row>
    <row r="133" spans="1:36" x14ac:dyDescent="0.25">
      <c r="A133" t="s">
        <v>929</v>
      </c>
      <c r="B133">
        <v>137</v>
      </c>
      <c r="C133" t="s">
        <v>48</v>
      </c>
      <c r="D133">
        <v>1</v>
      </c>
      <c r="F133">
        <v>1</v>
      </c>
      <c r="G133" t="s">
        <v>89</v>
      </c>
      <c r="H133" t="s">
        <v>50</v>
      </c>
      <c r="K133" t="s">
        <v>63</v>
      </c>
      <c r="L133">
        <v>3</v>
      </c>
      <c r="N133">
        <v>3</v>
      </c>
      <c r="O133" t="s">
        <v>103</v>
      </c>
      <c r="P133" t="s">
        <v>146</v>
      </c>
      <c r="S133" t="s">
        <v>56</v>
      </c>
      <c r="T133">
        <v>3</v>
      </c>
      <c r="V133">
        <v>1</v>
      </c>
      <c r="W133" t="s">
        <v>57</v>
      </c>
      <c r="X133" t="s">
        <v>122</v>
      </c>
      <c r="Y133" t="s">
        <v>85</v>
      </c>
      <c r="Z133" t="s">
        <v>88</v>
      </c>
      <c r="AA133" t="s">
        <v>45</v>
      </c>
      <c r="AB133">
        <v>2</v>
      </c>
      <c r="AD133">
        <v>1</v>
      </c>
      <c r="AE133" t="s">
        <v>47</v>
      </c>
      <c r="AI133">
        <v>12</v>
      </c>
      <c r="AJ133">
        <v>30</v>
      </c>
    </row>
    <row r="134" spans="1:36" x14ac:dyDescent="0.25">
      <c r="A134" t="s">
        <v>930</v>
      </c>
      <c r="B134">
        <v>138</v>
      </c>
      <c r="C134" t="s">
        <v>48</v>
      </c>
      <c r="D134">
        <v>1</v>
      </c>
      <c r="F134">
        <v>1</v>
      </c>
      <c r="G134" t="s">
        <v>89</v>
      </c>
      <c r="H134" t="s">
        <v>84</v>
      </c>
      <c r="I134" t="s">
        <v>51</v>
      </c>
      <c r="K134" t="s">
        <v>38</v>
      </c>
      <c r="L134">
        <v>1</v>
      </c>
      <c r="M134">
        <v>1</v>
      </c>
      <c r="N134">
        <v>2</v>
      </c>
      <c r="O134" t="s">
        <v>67</v>
      </c>
      <c r="S134" t="s">
        <v>56</v>
      </c>
      <c r="T134">
        <v>2</v>
      </c>
      <c r="V134">
        <v>1</v>
      </c>
      <c r="W134" t="s">
        <v>57</v>
      </c>
      <c r="X134" t="s">
        <v>122</v>
      </c>
      <c r="AA134" t="s">
        <v>45</v>
      </c>
      <c r="AB134">
        <v>2</v>
      </c>
      <c r="AD134">
        <v>1</v>
      </c>
      <c r="AE134" t="s">
        <v>86</v>
      </c>
      <c r="AI134">
        <v>6</v>
      </c>
      <c r="AJ134">
        <v>19</v>
      </c>
    </row>
    <row r="135" spans="1:36" x14ac:dyDescent="0.25">
      <c r="A135" t="s">
        <v>931</v>
      </c>
      <c r="B135">
        <v>139</v>
      </c>
      <c r="C135" t="s">
        <v>56</v>
      </c>
      <c r="D135">
        <v>1</v>
      </c>
      <c r="F135">
        <v>1</v>
      </c>
      <c r="G135" t="s">
        <v>68</v>
      </c>
      <c r="K135" t="s">
        <v>45</v>
      </c>
      <c r="L135">
        <v>3</v>
      </c>
      <c r="N135">
        <v>1</v>
      </c>
      <c r="O135" t="s">
        <v>140</v>
      </c>
      <c r="S135" t="s">
        <v>33</v>
      </c>
      <c r="T135">
        <v>1</v>
      </c>
      <c r="V135">
        <v>3</v>
      </c>
      <c r="W135" t="s">
        <v>46</v>
      </c>
      <c r="AA135" t="s">
        <v>43</v>
      </c>
      <c r="AB135">
        <v>1</v>
      </c>
      <c r="AD135">
        <v>1</v>
      </c>
      <c r="AE135" t="s">
        <v>73</v>
      </c>
      <c r="AF135" t="s">
        <v>136</v>
      </c>
      <c r="AG135" t="s">
        <v>100</v>
      </c>
      <c r="AI135">
        <v>7</v>
      </c>
      <c r="AJ135">
        <v>24</v>
      </c>
    </row>
    <row r="136" spans="1:36" x14ac:dyDescent="0.25">
      <c r="A136" t="s">
        <v>932</v>
      </c>
      <c r="B136">
        <v>140</v>
      </c>
      <c r="C136" t="s">
        <v>33</v>
      </c>
      <c r="D136">
        <v>3</v>
      </c>
      <c r="F136">
        <v>2</v>
      </c>
      <c r="G136" t="s">
        <v>46</v>
      </c>
      <c r="K136" t="s">
        <v>63</v>
      </c>
      <c r="L136">
        <v>1</v>
      </c>
      <c r="N136">
        <v>1</v>
      </c>
      <c r="O136" t="s">
        <v>145</v>
      </c>
      <c r="P136" t="s">
        <v>95</v>
      </c>
      <c r="S136" t="s">
        <v>56</v>
      </c>
      <c r="T136">
        <v>2</v>
      </c>
      <c r="V136">
        <v>1</v>
      </c>
      <c r="W136" t="s">
        <v>57</v>
      </c>
      <c r="AA136" t="s">
        <v>45</v>
      </c>
      <c r="AB136">
        <v>3</v>
      </c>
      <c r="AD136">
        <v>1</v>
      </c>
      <c r="AE136" t="s">
        <v>140</v>
      </c>
      <c r="AF136" t="s">
        <v>76</v>
      </c>
      <c r="AI136">
        <v>8</v>
      </c>
      <c r="AJ136">
        <v>22</v>
      </c>
    </row>
    <row r="137" spans="1:36" x14ac:dyDescent="0.25">
      <c r="A137" t="s">
        <v>933</v>
      </c>
      <c r="B137">
        <v>141</v>
      </c>
      <c r="C137" t="s">
        <v>33</v>
      </c>
      <c r="D137">
        <v>1</v>
      </c>
      <c r="F137">
        <v>2</v>
      </c>
      <c r="G137" t="s">
        <v>46</v>
      </c>
      <c r="H137" t="s">
        <v>66</v>
      </c>
      <c r="I137" t="s">
        <v>36</v>
      </c>
      <c r="K137" t="s">
        <v>38</v>
      </c>
      <c r="L137">
        <v>1</v>
      </c>
      <c r="M137">
        <v>1</v>
      </c>
      <c r="N137">
        <v>2</v>
      </c>
      <c r="O137" t="s">
        <v>39</v>
      </c>
      <c r="P137" t="s">
        <v>70</v>
      </c>
      <c r="Q137" t="s">
        <v>41</v>
      </c>
      <c r="S137" t="s">
        <v>56</v>
      </c>
      <c r="T137">
        <v>1</v>
      </c>
      <c r="V137">
        <v>2</v>
      </c>
      <c r="W137" t="s">
        <v>68</v>
      </c>
      <c r="AA137" t="s">
        <v>45</v>
      </c>
      <c r="AB137">
        <v>1</v>
      </c>
      <c r="AD137">
        <v>1</v>
      </c>
      <c r="AE137" t="s">
        <v>140</v>
      </c>
      <c r="AI137">
        <v>7</v>
      </c>
      <c r="AJ137">
        <v>31</v>
      </c>
    </row>
    <row r="138" spans="1:36" x14ac:dyDescent="0.25">
      <c r="A138" t="s">
        <v>934</v>
      </c>
      <c r="B138">
        <v>142</v>
      </c>
      <c r="C138" t="s">
        <v>56</v>
      </c>
      <c r="D138">
        <v>1</v>
      </c>
      <c r="F138">
        <v>1</v>
      </c>
      <c r="G138" t="s">
        <v>57</v>
      </c>
      <c r="H138" t="s">
        <v>122</v>
      </c>
      <c r="I138" t="s">
        <v>87</v>
      </c>
      <c r="K138" t="s">
        <v>45</v>
      </c>
      <c r="L138">
        <v>2</v>
      </c>
      <c r="N138">
        <v>1</v>
      </c>
      <c r="O138" t="s">
        <v>140</v>
      </c>
      <c r="S138" t="s">
        <v>43</v>
      </c>
      <c r="T138">
        <v>2</v>
      </c>
      <c r="V138">
        <v>2</v>
      </c>
      <c r="W138" t="s">
        <v>73</v>
      </c>
      <c r="X138" t="s">
        <v>136</v>
      </c>
      <c r="AA138" t="s">
        <v>63</v>
      </c>
      <c r="AB138">
        <v>1</v>
      </c>
      <c r="AD138">
        <v>1</v>
      </c>
      <c r="AE138" t="s">
        <v>72</v>
      </c>
      <c r="AF138" t="s">
        <v>91</v>
      </c>
      <c r="AI138">
        <v>7</v>
      </c>
      <c r="AJ138">
        <v>22</v>
      </c>
    </row>
    <row r="139" spans="1:36" x14ac:dyDescent="0.25">
      <c r="A139" t="s">
        <v>935</v>
      </c>
      <c r="B139">
        <v>143</v>
      </c>
      <c r="C139" t="s">
        <v>56</v>
      </c>
      <c r="D139">
        <v>3</v>
      </c>
      <c r="F139">
        <v>3</v>
      </c>
      <c r="G139" t="s">
        <v>68</v>
      </c>
      <c r="H139" t="s">
        <v>121</v>
      </c>
      <c r="K139" t="s">
        <v>45</v>
      </c>
      <c r="L139">
        <v>2</v>
      </c>
      <c r="N139">
        <v>1</v>
      </c>
      <c r="O139" t="s">
        <v>140</v>
      </c>
      <c r="S139" t="s">
        <v>43</v>
      </c>
      <c r="T139">
        <v>2</v>
      </c>
      <c r="V139">
        <v>1</v>
      </c>
      <c r="W139" t="s">
        <v>73</v>
      </c>
      <c r="X139" t="s">
        <v>136</v>
      </c>
      <c r="AA139" t="s">
        <v>38</v>
      </c>
      <c r="AB139">
        <v>3</v>
      </c>
      <c r="AC139">
        <v>2</v>
      </c>
      <c r="AD139">
        <v>2</v>
      </c>
      <c r="AE139" t="s">
        <v>67</v>
      </c>
      <c r="AF139" t="s">
        <v>96</v>
      </c>
      <c r="AI139">
        <v>13</v>
      </c>
      <c r="AJ139">
        <v>31</v>
      </c>
    </row>
    <row r="140" spans="1:36" x14ac:dyDescent="0.25">
      <c r="A140" t="s">
        <v>936</v>
      </c>
      <c r="B140">
        <v>144</v>
      </c>
      <c r="C140" t="s">
        <v>56</v>
      </c>
      <c r="D140">
        <v>2</v>
      </c>
      <c r="F140">
        <v>1</v>
      </c>
      <c r="G140" t="s">
        <v>57</v>
      </c>
      <c r="H140" t="s">
        <v>122</v>
      </c>
      <c r="I140" t="s">
        <v>85</v>
      </c>
      <c r="K140" t="s">
        <v>45</v>
      </c>
      <c r="L140">
        <v>3</v>
      </c>
      <c r="N140">
        <v>1</v>
      </c>
      <c r="O140" t="s">
        <v>140</v>
      </c>
      <c r="S140" t="s">
        <v>63</v>
      </c>
      <c r="T140">
        <v>1</v>
      </c>
      <c r="V140">
        <v>2</v>
      </c>
      <c r="W140" t="s">
        <v>103</v>
      </c>
      <c r="X140" t="s">
        <v>95</v>
      </c>
      <c r="AA140" t="s">
        <v>38</v>
      </c>
      <c r="AB140">
        <v>1</v>
      </c>
      <c r="AC140">
        <v>1</v>
      </c>
      <c r="AD140">
        <v>2</v>
      </c>
      <c r="AE140" t="s">
        <v>67</v>
      </c>
      <c r="AI140">
        <v>8</v>
      </c>
      <c r="AJ140">
        <v>25</v>
      </c>
    </row>
    <row r="141" spans="1:36" x14ac:dyDescent="0.25">
      <c r="A141" t="s">
        <v>937</v>
      </c>
      <c r="B141">
        <v>145</v>
      </c>
      <c r="C141" t="s">
        <v>56</v>
      </c>
      <c r="D141">
        <v>2</v>
      </c>
      <c r="F141">
        <v>1</v>
      </c>
      <c r="G141" t="s">
        <v>68</v>
      </c>
      <c r="K141" t="s">
        <v>63</v>
      </c>
      <c r="L141">
        <v>3</v>
      </c>
      <c r="N141">
        <v>1</v>
      </c>
      <c r="O141" t="s">
        <v>145</v>
      </c>
      <c r="P141" t="s">
        <v>146</v>
      </c>
      <c r="S141" t="s">
        <v>48</v>
      </c>
      <c r="T141">
        <v>3</v>
      </c>
      <c r="V141">
        <v>1</v>
      </c>
      <c r="W141" t="s">
        <v>89</v>
      </c>
      <c r="AA141" t="s">
        <v>33</v>
      </c>
      <c r="AB141">
        <v>2</v>
      </c>
      <c r="AD141">
        <v>2</v>
      </c>
      <c r="AE141" t="s">
        <v>46</v>
      </c>
      <c r="AI141">
        <v>8</v>
      </c>
      <c r="AJ141">
        <v>25</v>
      </c>
    </row>
    <row r="142" spans="1:36" x14ac:dyDescent="0.25">
      <c r="A142" t="s">
        <v>938</v>
      </c>
      <c r="B142">
        <v>146</v>
      </c>
      <c r="C142" t="s">
        <v>56</v>
      </c>
      <c r="D142">
        <v>1</v>
      </c>
      <c r="F142">
        <v>1</v>
      </c>
      <c r="G142" t="s">
        <v>68</v>
      </c>
      <c r="H142" t="s">
        <v>122</v>
      </c>
      <c r="K142" t="s">
        <v>63</v>
      </c>
      <c r="L142">
        <v>1</v>
      </c>
      <c r="N142">
        <v>2</v>
      </c>
      <c r="O142" t="s">
        <v>145</v>
      </c>
      <c r="P142" t="s">
        <v>95</v>
      </c>
      <c r="S142" t="s">
        <v>48</v>
      </c>
      <c r="T142">
        <v>3</v>
      </c>
      <c r="V142">
        <v>1</v>
      </c>
      <c r="W142" t="s">
        <v>89</v>
      </c>
      <c r="AA142" t="s">
        <v>43</v>
      </c>
      <c r="AB142">
        <v>1</v>
      </c>
      <c r="AD142">
        <v>1</v>
      </c>
      <c r="AE142" t="s">
        <v>73</v>
      </c>
      <c r="AF142" t="s">
        <v>99</v>
      </c>
      <c r="AI142">
        <v>6</v>
      </c>
      <c r="AJ142">
        <v>17</v>
      </c>
    </row>
    <row r="143" spans="1:36" x14ac:dyDescent="0.25">
      <c r="A143" t="s">
        <v>939</v>
      </c>
      <c r="B143">
        <v>147</v>
      </c>
      <c r="C143" t="s">
        <v>56</v>
      </c>
      <c r="D143">
        <v>3</v>
      </c>
      <c r="F143">
        <v>3</v>
      </c>
      <c r="G143" t="s">
        <v>68</v>
      </c>
      <c r="H143" t="s">
        <v>121</v>
      </c>
      <c r="K143" t="s">
        <v>63</v>
      </c>
      <c r="L143">
        <v>2</v>
      </c>
      <c r="N143">
        <v>1</v>
      </c>
      <c r="O143" t="s">
        <v>72</v>
      </c>
      <c r="P143" t="s">
        <v>146</v>
      </c>
      <c r="S143" t="s">
        <v>48</v>
      </c>
      <c r="T143">
        <v>3</v>
      </c>
      <c r="V143">
        <v>1</v>
      </c>
      <c r="W143" t="s">
        <v>89</v>
      </c>
      <c r="X143" t="s">
        <v>84</v>
      </c>
      <c r="Y143" t="s">
        <v>90</v>
      </c>
      <c r="AA143" t="s">
        <v>45</v>
      </c>
      <c r="AB143">
        <v>2</v>
      </c>
      <c r="AD143">
        <v>1</v>
      </c>
      <c r="AE143" t="s">
        <v>47</v>
      </c>
      <c r="AI143">
        <v>12</v>
      </c>
      <c r="AJ143">
        <v>34</v>
      </c>
    </row>
    <row r="144" spans="1:36" x14ac:dyDescent="0.25">
      <c r="A144" t="s">
        <v>940</v>
      </c>
      <c r="B144">
        <v>148</v>
      </c>
      <c r="C144" t="s">
        <v>56</v>
      </c>
      <c r="D144">
        <v>2</v>
      </c>
      <c r="F144">
        <v>1</v>
      </c>
      <c r="G144" t="s">
        <v>57</v>
      </c>
      <c r="H144" t="s">
        <v>122</v>
      </c>
      <c r="I144" t="s">
        <v>85</v>
      </c>
      <c r="K144" t="s">
        <v>63</v>
      </c>
      <c r="L144">
        <v>2</v>
      </c>
      <c r="N144">
        <v>1</v>
      </c>
      <c r="O144" t="s">
        <v>72</v>
      </c>
      <c r="P144" t="s">
        <v>95</v>
      </c>
      <c r="Q144" t="s">
        <v>147</v>
      </c>
      <c r="S144" t="s">
        <v>48</v>
      </c>
      <c r="T144">
        <v>3</v>
      </c>
      <c r="V144">
        <v>1</v>
      </c>
      <c r="W144" t="s">
        <v>49</v>
      </c>
      <c r="AA144" t="s">
        <v>38</v>
      </c>
      <c r="AB144">
        <v>1</v>
      </c>
      <c r="AC144">
        <v>3</v>
      </c>
      <c r="AD144">
        <v>2</v>
      </c>
      <c r="AE144" t="s">
        <v>152</v>
      </c>
      <c r="AI144">
        <v>11</v>
      </c>
      <c r="AJ144">
        <v>36</v>
      </c>
    </row>
    <row r="145" spans="1:36" x14ac:dyDescent="0.25">
      <c r="A145" t="s">
        <v>941</v>
      </c>
      <c r="B145">
        <v>149</v>
      </c>
      <c r="C145" t="s">
        <v>56</v>
      </c>
      <c r="D145">
        <v>1</v>
      </c>
      <c r="F145">
        <v>2</v>
      </c>
      <c r="G145" t="s">
        <v>68</v>
      </c>
      <c r="K145" t="s">
        <v>63</v>
      </c>
      <c r="L145">
        <v>1</v>
      </c>
      <c r="N145">
        <v>2</v>
      </c>
      <c r="O145" t="s">
        <v>145</v>
      </c>
      <c r="P145" t="s">
        <v>95</v>
      </c>
      <c r="S145" t="s">
        <v>33</v>
      </c>
      <c r="T145">
        <v>3</v>
      </c>
      <c r="V145">
        <v>1</v>
      </c>
      <c r="W145" t="s">
        <v>46</v>
      </c>
      <c r="X145" t="s">
        <v>35</v>
      </c>
      <c r="AA145" t="s">
        <v>43</v>
      </c>
      <c r="AB145">
        <v>2</v>
      </c>
      <c r="AD145">
        <v>1</v>
      </c>
      <c r="AE145" t="s">
        <v>73</v>
      </c>
      <c r="AI145">
        <v>7</v>
      </c>
      <c r="AJ145">
        <v>18</v>
      </c>
    </row>
    <row r="146" spans="1:36" x14ac:dyDescent="0.25">
      <c r="A146" t="s">
        <v>942</v>
      </c>
      <c r="B146">
        <v>150</v>
      </c>
      <c r="C146" t="s">
        <v>56</v>
      </c>
      <c r="D146">
        <v>2</v>
      </c>
      <c r="F146">
        <v>2</v>
      </c>
      <c r="G146" t="s">
        <v>68</v>
      </c>
      <c r="H146" t="s">
        <v>69</v>
      </c>
      <c r="K146" t="s">
        <v>63</v>
      </c>
      <c r="L146">
        <v>1</v>
      </c>
      <c r="N146">
        <v>1</v>
      </c>
      <c r="O146" t="s">
        <v>145</v>
      </c>
      <c r="P146" t="s">
        <v>91</v>
      </c>
      <c r="Q146" t="s">
        <v>104</v>
      </c>
      <c r="R146" t="s">
        <v>149</v>
      </c>
      <c r="S146" t="s">
        <v>33</v>
      </c>
      <c r="T146">
        <v>2</v>
      </c>
      <c r="V146">
        <v>3</v>
      </c>
      <c r="W146" t="s">
        <v>46</v>
      </c>
      <c r="AA146" t="s">
        <v>45</v>
      </c>
      <c r="AB146">
        <v>1</v>
      </c>
      <c r="AD146">
        <v>1</v>
      </c>
      <c r="AE146" t="s">
        <v>47</v>
      </c>
      <c r="AI146">
        <v>9</v>
      </c>
      <c r="AJ146">
        <v>27</v>
      </c>
    </row>
    <row r="147" spans="1:36" x14ac:dyDescent="0.25">
      <c r="A147" t="s">
        <v>943</v>
      </c>
      <c r="B147">
        <v>151</v>
      </c>
      <c r="C147" t="s">
        <v>33</v>
      </c>
      <c r="D147">
        <v>2</v>
      </c>
      <c r="F147">
        <v>3</v>
      </c>
      <c r="G147" t="s">
        <v>46</v>
      </c>
      <c r="H147" t="s">
        <v>66</v>
      </c>
      <c r="I147" t="s">
        <v>131</v>
      </c>
      <c r="K147" t="s">
        <v>38</v>
      </c>
      <c r="L147">
        <v>1</v>
      </c>
      <c r="M147">
        <v>1</v>
      </c>
      <c r="N147">
        <v>1</v>
      </c>
      <c r="O147" t="s">
        <v>152</v>
      </c>
      <c r="S147" t="s">
        <v>56</v>
      </c>
      <c r="T147">
        <v>2</v>
      </c>
      <c r="V147">
        <v>2</v>
      </c>
      <c r="W147" t="s">
        <v>68</v>
      </c>
      <c r="AA147" t="s">
        <v>63</v>
      </c>
      <c r="AB147">
        <v>2</v>
      </c>
      <c r="AD147">
        <v>1</v>
      </c>
      <c r="AE147" t="s">
        <v>145</v>
      </c>
      <c r="AF147" t="s">
        <v>95</v>
      </c>
      <c r="AI147">
        <v>9</v>
      </c>
      <c r="AJ147">
        <v>27</v>
      </c>
    </row>
    <row r="148" spans="1:36" x14ac:dyDescent="0.25">
      <c r="A148" t="s">
        <v>944</v>
      </c>
      <c r="B148">
        <v>152</v>
      </c>
      <c r="C148" t="s">
        <v>56</v>
      </c>
      <c r="D148">
        <v>1</v>
      </c>
      <c r="F148">
        <v>1</v>
      </c>
      <c r="G148" t="s">
        <v>68</v>
      </c>
      <c r="K148" t="s">
        <v>63</v>
      </c>
      <c r="L148">
        <v>2</v>
      </c>
      <c r="N148">
        <v>2</v>
      </c>
      <c r="O148" t="s">
        <v>72</v>
      </c>
      <c r="P148" t="s">
        <v>146</v>
      </c>
      <c r="S148" t="s">
        <v>43</v>
      </c>
      <c r="T148">
        <v>3</v>
      </c>
      <c r="V148">
        <v>3</v>
      </c>
      <c r="W148" t="s">
        <v>44</v>
      </c>
      <c r="X148" t="s">
        <v>136</v>
      </c>
      <c r="AA148" t="s">
        <v>45</v>
      </c>
      <c r="AB148">
        <v>3</v>
      </c>
      <c r="AD148">
        <v>1</v>
      </c>
      <c r="AE148" t="s">
        <v>47</v>
      </c>
      <c r="AI148">
        <v>10</v>
      </c>
      <c r="AJ148">
        <v>31</v>
      </c>
    </row>
    <row r="149" spans="1:36" x14ac:dyDescent="0.25">
      <c r="A149" t="s">
        <v>945</v>
      </c>
      <c r="B149">
        <v>153</v>
      </c>
      <c r="C149" t="s">
        <v>43</v>
      </c>
      <c r="D149">
        <v>3</v>
      </c>
      <c r="F149">
        <v>1</v>
      </c>
      <c r="G149" t="s">
        <v>44</v>
      </c>
      <c r="H149" t="s">
        <v>74</v>
      </c>
      <c r="I149" t="s">
        <v>75</v>
      </c>
      <c r="J149" t="s">
        <v>138</v>
      </c>
      <c r="K149" t="s">
        <v>38</v>
      </c>
      <c r="L149">
        <v>1</v>
      </c>
      <c r="M149">
        <v>1</v>
      </c>
      <c r="N149">
        <v>1</v>
      </c>
      <c r="O149" t="s">
        <v>152</v>
      </c>
      <c r="S149" t="s">
        <v>56</v>
      </c>
      <c r="T149">
        <v>3</v>
      </c>
      <c r="V149">
        <v>2</v>
      </c>
      <c r="W149" t="s">
        <v>68</v>
      </c>
      <c r="AA149" t="s">
        <v>63</v>
      </c>
      <c r="AB149">
        <v>1</v>
      </c>
      <c r="AD149">
        <v>1</v>
      </c>
      <c r="AE149" t="s">
        <v>72</v>
      </c>
      <c r="AI149">
        <v>8</v>
      </c>
      <c r="AJ149">
        <v>23</v>
      </c>
    </row>
    <row r="150" spans="1:36" x14ac:dyDescent="0.25">
      <c r="A150" t="s">
        <v>946</v>
      </c>
      <c r="B150">
        <v>154</v>
      </c>
      <c r="C150" t="s">
        <v>56</v>
      </c>
      <c r="D150">
        <v>2</v>
      </c>
      <c r="F150">
        <v>3</v>
      </c>
      <c r="G150" t="s">
        <v>68</v>
      </c>
      <c r="K150" t="s">
        <v>63</v>
      </c>
      <c r="L150">
        <v>2</v>
      </c>
      <c r="N150">
        <v>1</v>
      </c>
      <c r="O150" t="s">
        <v>72</v>
      </c>
      <c r="P150" t="s">
        <v>146</v>
      </c>
      <c r="S150" t="s">
        <v>45</v>
      </c>
      <c r="T150">
        <v>3</v>
      </c>
      <c r="V150">
        <v>2</v>
      </c>
      <c r="W150" t="s">
        <v>86</v>
      </c>
      <c r="AA150" t="s">
        <v>38</v>
      </c>
      <c r="AB150">
        <v>3</v>
      </c>
      <c r="AC150">
        <v>2</v>
      </c>
      <c r="AD150">
        <v>2</v>
      </c>
      <c r="AE150" t="s">
        <v>152</v>
      </c>
      <c r="AF150" t="s">
        <v>96</v>
      </c>
      <c r="AI150">
        <v>13</v>
      </c>
      <c r="AJ150">
        <v>38</v>
      </c>
    </row>
    <row r="151" spans="1:36" x14ac:dyDescent="0.25">
      <c r="A151" t="s">
        <v>947</v>
      </c>
      <c r="B151">
        <v>155</v>
      </c>
      <c r="C151" t="s">
        <v>48</v>
      </c>
      <c r="D151">
        <v>2</v>
      </c>
      <c r="F151">
        <v>1</v>
      </c>
      <c r="G151" t="s">
        <v>89</v>
      </c>
      <c r="H151" t="s">
        <v>71</v>
      </c>
      <c r="K151" t="s">
        <v>33</v>
      </c>
      <c r="L151">
        <v>2</v>
      </c>
      <c r="N151">
        <v>2</v>
      </c>
      <c r="O151" t="s">
        <v>65</v>
      </c>
      <c r="S151" t="s">
        <v>56</v>
      </c>
      <c r="T151">
        <v>1</v>
      </c>
      <c r="V151">
        <v>1</v>
      </c>
      <c r="W151" t="s">
        <v>57</v>
      </c>
      <c r="X151" t="s">
        <v>122</v>
      </c>
      <c r="AA151" t="s">
        <v>38</v>
      </c>
      <c r="AB151">
        <v>1</v>
      </c>
      <c r="AC151">
        <v>1</v>
      </c>
      <c r="AD151">
        <v>2</v>
      </c>
      <c r="AE151" t="s">
        <v>39</v>
      </c>
      <c r="AI151">
        <v>6</v>
      </c>
      <c r="AJ151">
        <v>28</v>
      </c>
    </row>
    <row r="152" spans="1:36" x14ac:dyDescent="0.25">
      <c r="A152" t="s">
        <v>948</v>
      </c>
      <c r="B152">
        <v>156</v>
      </c>
      <c r="C152" t="s">
        <v>56</v>
      </c>
      <c r="D152">
        <v>3</v>
      </c>
      <c r="F152">
        <v>1</v>
      </c>
      <c r="G152" t="s">
        <v>68</v>
      </c>
      <c r="H152" t="s">
        <v>121</v>
      </c>
      <c r="I152" t="s">
        <v>85</v>
      </c>
      <c r="K152" t="s">
        <v>38</v>
      </c>
      <c r="L152">
        <v>3</v>
      </c>
      <c r="M152">
        <v>2</v>
      </c>
      <c r="N152">
        <v>1</v>
      </c>
      <c r="O152" t="s">
        <v>67</v>
      </c>
      <c r="S152" t="s">
        <v>48</v>
      </c>
      <c r="T152">
        <v>1</v>
      </c>
      <c r="V152">
        <v>1</v>
      </c>
      <c r="W152" t="s">
        <v>89</v>
      </c>
      <c r="X152" t="s">
        <v>84</v>
      </c>
      <c r="Y152" t="s">
        <v>90</v>
      </c>
      <c r="AA152" t="s">
        <v>43</v>
      </c>
      <c r="AB152">
        <v>1</v>
      </c>
      <c r="AD152">
        <v>1</v>
      </c>
      <c r="AE152" t="s">
        <v>73</v>
      </c>
      <c r="AF152" t="s">
        <v>74</v>
      </c>
      <c r="AG152" t="s">
        <v>75</v>
      </c>
      <c r="AI152">
        <v>11</v>
      </c>
      <c r="AJ152">
        <v>28</v>
      </c>
    </row>
    <row r="153" spans="1:36" x14ac:dyDescent="0.25">
      <c r="A153" t="s">
        <v>949</v>
      </c>
      <c r="B153">
        <v>157</v>
      </c>
      <c r="C153" t="s">
        <v>48</v>
      </c>
      <c r="D153">
        <v>3</v>
      </c>
      <c r="F153">
        <v>1</v>
      </c>
      <c r="G153" t="s">
        <v>89</v>
      </c>
      <c r="K153" t="s">
        <v>45</v>
      </c>
      <c r="L153">
        <v>3</v>
      </c>
      <c r="N153">
        <v>1</v>
      </c>
      <c r="O153" t="s">
        <v>86</v>
      </c>
      <c r="S153" t="s">
        <v>56</v>
      </c>
      <c r="T153">
        <v>1</v>
      </c>
      <c r="V153">
        <v>3</v>
      </c>
      <c r="W153" t="s">
        <v>57</v>
      </c>
      <c r="X153" t="s">
        <v>121</v>
      </c>
      <c r="AA153" t="s">
        <v>38</v>
      </c>
      <c r="AB153">
        <v>2</v>
      </c>
      <c r="AC153">
        <v>1</v>
      </c>
      <c r="AD153">
        <v>2</v>
      </c>
      <c r="AE153" t="s">
        <v>39</v>
      </c>
      <c r="AI153">
        <v>9</v>
      </c>
      <c r="AJ153">
        <v>29</v>
      </c>
    </row>
    <row r="154" spans="1:36" x14ac:dyDescent="0.25">
      <c r="A154" t="s">
        <v>950</v>
      </c>
      <c r="B154">
        <v>158</v>
      </c>
      <c r="C154" t="s">
        <v>48</v>
      </c>
      <c r="D154">
        <v>3</v>
      </c>
      <c r="F154">
        <v>2</v>
      </c>
      <c r="G154" t="s">
        <v>89</v>
      </c>
      <c r="H154" t="s">
        <v>84</v>
      </c>
      <c r="I154" t="s">
        <v>90</v>
      </c>
      <c r="J154" t="s">
        <v>129</v>
      </c>
      <c r="K154" t="s">
        <v>63</v>
      </c>
      <c r="L154">
        <v>2</v>
      </c>
      <c r="N154">
        <v>1</v>
      </c>
      <c r="O154" t="s">
        <v>103</v>
      </c>
      <c r="P154" t="s">
        <v>146</v>
      </c>
      <c r="Q154" t="s">
        <v>104</v>
      </c>
      <c r="S154" t="s">
        <v>56</v>
      </c>
      <c r="T154">
        <v>2</v>
      </c>
      <c r="V154">
        <v>1</v>
      </c>
      <c r="W154" t="s">
        <v>57</v>
      </c>
      <c r="AA154" t="s">
        <v>38</v>
      </c>
      <c r="AB154">
        <v>3</v>
      </c>
      <c r="AC154">
        <v>1</v>
      </c>
      <c r="AD154">
        <v>2</v>
      </c>
      <c r="AE154" t="s">
        <v>152</v>
      </c>
      <c r="AF154" t="s">
        <v>96</v>
      </c>
      <c r="AG154" t="s">
        <v>41</v>
      </c>
      <c r="AH154" t="s">
        <v>42</v>
      </c>
      <c r="AI154">
        <v>16</v>
      </c>
      <c r="AJ154">
        <v>52</v>
      </c>
    </row>
    <row r="155" spans="1:36" x14ac:dyDescent="0.25">
      <c r="A155" t="s">
        <v>951</v>
      </c>
      <c r="B155">
        <v>159</v>
      </c>
      <c r="C155" t="s">
        <v>33</v>
      </c>
      <c r="D155">
        <v>2</v>
      </c>
      <c r="F155">
        <v>3</v>
      </c>
      <c r="G155" t="s">
        <v>65</v>
      </c>
      <c r="H155" t="s">
        <v>66</v>
      </c>
      <c r="K155" t="s">
        <v>43</v>
      </c>
      <c r="L155">
        <v>1</v>
      </c>
      <c r="N155">
        <v>1</v>
      </c>
      <c r="O155" t="s">
        <v>73</v>
      </c>
      <c r="P155" t="s">
        <v>74</v>
      </c>
      <c r="S155" t="s">
        <v>56</v>
      </c>
      <c r="T155">
        <v>1</v>
      </c>
      <c r="V155">
        <v>1</v>
      </c>
      <c r="W155" t="s">
        <v>120</v>
      </c>
      <c r="AA155" t="s">
        <v>38</v>
      </c>
      <c r="AB155">
        <v>1</v>
      </c>
      <c r="AC155">
        <v>1</v>
      </c>
      <c r="AD155">
        <v>2</v>
      </c>
      <c r="AE155" t="s">
        <v>39</v>
      </c>
      <c r="AF155" t="s">
        <v>40</v>
      </c>
      <c r="AG155" t="s">
        <v>41</v>
      </c>
      <c r="AI155">
        <v>8</v>
      </c>
      <c r="AJ155">
        <v>29</v>
      </c>
    </row>
    <row r="156" spans="1:36" x14ac:dyDescent="0.25">
      <c r="A156" t="s">
        <v>952</v>
      </c>
      <c r="B156">
        <v>160</v>
      </c>
      <c r="C156" t="s">
        <v>56</v>
      </c>
      <c r="D156">
        <v>1</v>
      </c>
      <c r="F156">
        <v>2</v>
      </c>
      <c r="G156" t="s">
        <v>68</v>
      </c>
      <c r="K156" t="s">
        <v>38</v>
      </c>
      <c r="L156">
        <v>3</v>
      </c>
      <c r="M156">
        <v>1</v>
      </c>
      <c r="N156">
        <v>3</v>
      </c>
      <c r="O156" t="s">
        <v>39</v>
      </c>
      <c r="P156" t="s">
        <v>40</v>
      </c>
      <c r="S156" t="s">
        <v>33</v>
      </c>
      <c r="T156">
        <v>1</v>
      </c>
      <c r="V156">
        <v>3</v>
      </c>
      <c r="W156" t="s">
        <v>65</v>
      </c>
      <c r="AA156" t="s">
        <v>45</v>
      </c>
      <c r="AB156">
        <v>2</v>
      </c>
      <c r="AD156">
        <v>2</v>
      </c>
      <c r="AE156" t="s">
        <v>140</v>
      </c>
      <c r="AI156">
        <v>10</v>
      </c>
      <c r="AJ156">
        <v>23</v>
      </c>
    </row>
    <row r="157" spans="1:36" x14ac:dyDescent="0.25">
      <c r="A157" t="s">
        <v>953</v>
      </c>
      <c r="B157">
        <v>161</v>
      </c>
      <c r="C157" t="s">
        <v>33</v>
      </c>
      <c r="D157">
        <v>2</v>
      </c>
      <c r="F157">
        <v>3</v>
      </c>
      <c r="G157" t="s">
        <v>65</v>
      </c>
      <c r="H157" t="s">
        <v>66</v>
      </c>
      <c r="I157" t="s">
        <v>36</v>
      </c>
      <c r="K157" t="s">
        <v>63</v>
      </c>
      <c r="L157">
        <v>1</v>
      </c>
      <c r="N157">
        <v>1</v>
      </c>
      <c r="O157" t="s">
        <v>103</v>
      </c>
      <c r="P157" t="s">
        <v>95</v>
      </c>
      <c r="S157" t="s">
        <v>56</v>
      </c>
      <c r="T157">
        <v>3</v>
      </c>
      <c r="V157">
        <v>1</v>
      </c>
      <c r="W157" t="s">
        <v>57</v>
      </c>
      <c r="X157" t="s">
        <v>69</v>
      </c>
      <c r="Y157" t="s">
        <v>87</v>
      </c>
      <c r="AA157" t="s">
        <v>38</v>
      </c>
      <c r="AB157">
        <v>1</v>
      </c>
      <c r="AC157">
        <v>1</v>
      </c>
      <c r="AD157">
        <v>1</v>
      </c>
      <c r="AE157" t="s">
        <v>67</v>
      </c>
      <c r="AF157" t="s">
        <v>40</v>
      </c>
      <c r="AI157">
        <v>11</v>
      </c>
      <c r="AJ157">
        <v>32</v>
      </c>
    </row>
    <row r="158" spans="1:36" x14ac:dyDescent="0.25">
      <c r="A158" t="s">
        <v>954</v>
      </c>
      <c r="B158">
        <v>162</v>
      </c>
      <c r="C158" t="s">
        <v>56</v>
      </c>
      <c r="D158">
        <v>1</v>
      </c>
      <c r="F158">
        <v>1</v>
      </c>
      <c r="G158" t="s">
        <v>68</v>
      </c>
      <c r="K158" t="s">
        <v>38</v>
      </c>
      <c r="L158">
        <v>2</v>
      </c>
      <c r="M158">
        <v>1</v>
      </c>
      <c r="N158">
        <v>3</v>
      </c>
      <c r="O158" t="s">
        <v>39</v>
      </c>
      <c r="S158" t="s">
        <v>43</v>
      </c>
      <c r="T158">
        <v>2</v>
      </c>
      <c r="V158">
        <v>1</v>
      </c>
      <c r="W158" t="s">
        <v>44</v>
      </c>
      <c r="X158" t="s">
        <v>99</v>
      </c>
      <c r="Y158" t="s">
        <v>75</v>
      </c>
      <c r="AA158" t="s">
        <v>45</v>
      </c>
      <c r="AB158">
        <v>2</v>
      </c>
      <c r="AD158">
        <v>1</v>
      </c>
      <c r="AE158" t="s">
        <v>47</v>
      </c>
      <c r="AI158">
        <v>7</v>
      </c>
      <c r="AJ158">
        <v>22</v>
      </c>
    </row>
    <row r="159" spans="1:36" x14ac:dyDescent="0.25">
      <c r="A159" t="s">
        <v>955</v>
      </c>
      <c r="B159">
        <v>163</v>
      </c>
      <c r="C159" t="s">
        <v>56</v>
      </c>
      <c r="D159">
        <v>3</v>
      </c>
      <c r="F159">
        <v>1</v>
      </c>
      <c r="G159" t="s">
        <v>68</v>
      </c>
      <c r="H159" t="s">
        <v>122</v>
      </c>
      <c r="K159" t="s">
        <v>38</v>
      </c>
      <c r="L159">
        <v>1</v>
      </c>
      <c r="M159">
        <v>1</v>
      </c>
      <c r="N159">
        <v>3</v>
      </c>
      <c r="O159" t="s">
        <v>152</v>
      </c>
      <c r="S159" t="s">
        <v>43</v>
      </c>
      <c r="T159">
        <v>1</v>
      </c>
      <c r="V159">
        <v>1</v>
      </c>
      <c r="W159" t="s">
        <v>73</v>
      </c>
      <c r="X159" t="s">
        <v>74</v>
      </c>
      <c r="Y159" t="s">
        <v>75</v>
      </c>
      <c r="AA159" t="s">
        <v>63</v>
      </c>
      <c r="AB159">
        <v>1</v>
      </c>
      <c r="AD159">
        <v>2</v>
      </c>
      <c r="AE159" t="s">
        <v>103</v>
      </c>
      <c r="AF159" t="s">
        <v>95</v>
      </c>
      <c r="AI159">
        <v>9</v>
      </c>
      <c r="AJ159">
        <v>25</v>
      </c>
    </row>
    <row r="160" spans="1:36" x14ac:dyDescent="0.25">
      <c r="A160" t="s">
        <v>956</v>
      </c>
      <c r="B160">
        <v>164</v>
      </c>
      <c r="C160" t="s">
        <v>45</v>
      </c>
      <c r="D160">
        <v>3</v>
      </c>
      <c r="F160">
        <v>1</v>
      </c>
      <c r="G160" t="s">
        <v>140</v>
      </c>
      <c r="K160" t="s">
        <v>63</v>
      </c>
      <c r="L160">
        <v>1</v>
      </c>
      <c r="N160">
        <v>1</v>
      </c>
      <c r="O160" t="s">
        <v>103</v>
      </c>
      <c r="P160" t="s">
        <v>95</v>
      </c>
      <c r="Q160" t="s">
        <v>147</v>
      </c>
      <c r="S160" t="s">
        <v>56</v>
      </c>
      <c r="T160">
        <v>2</v>
      </c>
      <c r="V160">
        <v>1</v>
      </c>
      <c r="W160" t="s">
        <v>57</v>
      </c>
      <c r="X160" t="s">
        <v>121</v>
      </c>
      <c r="Y160" t="s">
        <v>85</v>
      </c>
      <c r="Z160" t="s">
        <v>125</v>
      </c>
      <c r="AA160" t="s">
        <v>38</v>
      </c>
      <c r="AB160">
        <v>1</v>
      </c>
      <c r="AC160">
        <v>1</v>
      </c>
      <c r="AD160">
        <v>2</v>
      </c>
      <c r="AE160" t="s">
        <v>67</v>
      </c>
      <c r="AI160">
        <v>9</v>
      </c>
      <c r="AJ160">
        <v>26</v>
      </c>
    </row>
    <row r="161" spans="1:36" x14ac:dyDescent="0.25">
      <c r="A161" t="s">
        <v>957</v>
      </c>
      <c r="B161">
        <v>165</v>
      </c>
      <c r="C161" t="s">
        <v>43</v>
      </c>
      <c r="D161">
        <v>1</v>
      </c>
      <c r="F161">
        <v>2</v>
      </c>
      <c r="G161" t="s">
        <v>44</v>
      </c>
      <c r="K161" t="s">
        <v>45</v>
      </c>
      <c r="L161">
        <v>3</v>
      </c>
      <c r="N161">
        <v>1</v>
      </c>
      <c r="O161" t="s">
        <v>140</v>
      </c>
      <c r="S161" t="s">
        <v>48</v>
      </c>
      <c r="T161">
        <v>1</v>
      </c>
      <c r="V161">
        <v>1</v>
      </c>
      <c r="W161" t="s">
        <v>89</v>
      </c>
      <c r="X161" t="s">
        <v>50</v>
      </c>
      <c r="AA161" t="s">
        <v>33</v>
      </c>
      <c r="AB161">
        <v>2</v>
      </c>
      <c r="AD161">
        <v>2</v>
      </c>
      <c r="AE161" t="s">
        <v>46</v>
      </c>
      <c r="AI161">
        <v>7</v>
      </c>
      <c r="AJ161">
        <v>19</v>
      </c>
    </row>
    <row r="162" spans="1:36" x14ac:dyDescent="0.25">
      <c r="A162" t="s">
        <v>958</v>
      </c>
      <c r="B162">
        <v>166</v>
      </c>
      <c r="C162" t="s">
        <v>43</v>
      </c>
      <c r="D162">
        <v>1</v>
      </c>
      <c r="F162">
        <v>2</v>
      </c>
      <c r="G162" t="s">
        <v>44</v>
      </c>
      <c r="K162" t="s">
        <v>63</v>
      </c>
      <c r="L162">
        <v>2</v>
      </c>
      <c r="N162">
        <v>1</v>
      </c>
      <c r="O162" t="s">
        <v>145</v>
      </c>
      <c r="P162" t="s">
        <v>95</v>
      </c>
      <c r="S162" t="s">
        <v>48</v>
      </c>
      <c r="T162">
        <v>1</v>
      </c>
      <c r="V162">
        <v>1</v>
      </c>
      <c r="W162" t="s">
        <v>89</v>
      </c>
      <c r="AA162" t="s">
        <v>33</v>
      </c>
      <c r="AB162">
        <v>3</v>
      </c>
      <c r="AD162">
        <v>1</v>
      </c>
      <c r="AE162" t="s">
        <v>46</v>
      </c>
      <c r="AI162">
        <v>5</v>
      </c>
      <c r="AJ162">
        <v>16</v>
      </c>
    </row>
    <row r="163" spans="1:36" x14ac:dyDescent="0.25">
      <c r="A163" t="s">
        <v>959</v>
      </c>
      <c r="B163">
        <v>167</v>
      </c>
      <c r="C163" t="s">
        <v>43</v>
      </c>
      <c r="D163">
        <v>3</v>
      </c>
      <c r="F163">
        <v>1</v>
      </c>
      <c r="G163" t="s">
        <v>44</v>
      </c>
      <c r="K163" t="s">
        <v>38</v>
      </c>
      <c r="L163">
        <v>1</v>
      </c>
      <c r="M163">
        <v>1</v>
      </c>
      <c r="N163">
        <v>1</v>
      </c>
      <c r="O163" t="s">
        <v>67</v>
      </c>
      <c r="S163" t="s">
        <v>48</v>
      </c>
      <c r="T163">
        <v>1</v>
      </c>
      <c r="V163">
        <v>1</v>
      </c>
      <c r="W163" t="s">
        <v>89</v>
      </c>
      <c r="AA163" t="s">
        <v>33</v>
      </c>
      <c r="AB163">
        <v>3</v>
      </c>
      <c r="AD163">
        <v>1</v>
      </c>
      <c r="AE163" t="s">
        <v>65</v>
      </c>
      <c r="AI163">
        <v>5</v>
      </c>
      <c r="AJ163">
        <v>15</v>
      </c>
    </row>
    <row r="164" spans="1:36" x14ac:dyDescent="0.25">
      <c r="A164" t="s">
        <v>960</v>
      </c>
      <c r="B164">
        <v>168</v>
      </c>
      <c r="C164" t="s">
        <v>45</v>
      </c>
      <c r="D164">
        <v>3</v>
      </c>
      <c r="F164">
        <v>1</v>
      </c>
      <c r="G164" t="s">
        <v>47</v>
      </c>
      <c r="K164" t="s">
        <v>63</v>
      </c>
      <c r="L164">
        <v>1</v>
      </c>
      <c r="N164">
        <v>1</v>
      </c>
      <c r="O164" t="s">
        <v>145</v>
      </c>
      <c r="P164" t="s">
        <v>95</v>
      </c>
      <c r="S164" t="s">
        <v>48</v>
      </c>
      <c r="T164">
        <v>3</v>
      </c>
      <c r="V164">
        <v>1</v>
      </c>
      <c r="W164" t="s">
        <v>89</v>
      </c>
      <c r="X164" t="s">
        <v>50</v>
      </c>
      <c r="AA164" t="s">
        <v>33</v>
      </c>
      <c r="AB164">
        <v>1</v>
      </c>
      <c r="AD164">
        <v>1</v>
      </c>
      <c r="AE164" t="s">
        <v>46</v>
      </c>
      <c r="AI164">
        <v>6</v>
      </c>
      <c r="AJ164">
        <v>17</v>
      </c>
    </row>
    <row r="165" spans="1:36" x14ac:dyDescent="0.25">
      <c r="A165" t="s">
        <v>961</v>
      </c>
      <c r="B165">
        <v>169</v>
      </c>
      <c r="C165" t="s">
        <v>48</v>
      </c>
      <c r="D165">
        <v>3</v>
      </c>
      <c r="F165">
        <v>1</v>
      </c>
      <c r="G165" t="s">
        <v>89</v>
      </c>
      <c r="K165" t="s">
        <v>33</v>
      </c>
      <c r="L165">
        <v>1</v>
      </c>
      <c r="N165">
        <v>3</v>
      </c>
      <c r="O165" t="s">
        <v>65</v>
      </c>
      <c r="P165" t="s">
        <v>66</v>
      </c>
      <c r="S165" t="s">
        <v>45</v>
      </c>
      <c r="T165">
        <v>2</v>
      </c>
      <c r="V165">
        <v>1</v>
      </c>
      <c r="W165" t="s">
        <v>140</v>
      </c>
      <c r="AA165" t="s">
        <v>38</v>
      </c>
      <c r="AB165">
        <v>1</v>
      </c>
      <c r="AC165">
        <v>3</v>
      </c>
      <c r="AD165">
        <v>2</v>
      </c>
      <c r="AE165" t="s">
        <v>39</v>
      </c>
      <c r="AF165" t="s">
        <v>40</v>
      </c>
      <c r="AI165">
        <v>10</v>
      </c>
      <c r="AJ165">
        <v>26</v>
      </c>
    </row>
    <row r="166" spans="1:36" x14ac:dyDescent="0.25">
      <c r="A166" t="s">
        <v>962</v>
      </c>
      <c r="B166">
        <v>170</v>
      </c>
      <c r="C166" t="s">
        <v>63</v>
      </c>
      <c r="D166">
        <v>1</v>
      </c>
      <c r="F166">
        <v>1</v>
      </c>
      <c r="G166" t="s">
        <v>145</v>
      </c>
      <c r="H166" t="s">
        <v>95</v>
      </c>
      <c r="K166" t="s">
        <v>38</v>
      </c>
      <c r="L166">
        <v>1</v>
      </c>
      <c r="M166">
        <v>1</v>
      </c>
      <c r="N166">
        <v>2</v>
      </c>
      <c r="O166" t="s">
        <v>67</v>
      </c>
      <c r="S166" t="s">
        <v>48</v>
      </c>
      <c r="T166">
        <v>2</v>
      </c>
      <c r="V166">
        <v>1</v>
      </c>
      <c r="W166" t="s">
        <v>89</v>
      </c>
      <c r="AA166" t="s">
        <v>33</v>
      </c>
      <c r="AB166">
        <v>1</v>
      </c>
      <c r="AD166">
        <v>2</v>
      </c>
      <c r="AE166" t="s">
        <v>65</v>
      </c>
      <c r="AF166" t="s">
        <v>35</v>
      </c>
      <c r="AI166">
        <v>5</v>
      </c>
      <c r="AJ166">
        <v>14</v>
      </c>
    </row>
    <row r="167" spans="1:36" x14ac:dyDescent="0.25">
      <c r="A167" t="s">
        <v>963</v>
      </c>
      <c r="B167">
        <v>171</v>
      </c>
      <c r="C167" t="s">
        <v>48</v>
      </c>
      <c r="D167">
        <v>3</v>
      </c>
      <c r="F167">
        <v>1</v>
      </c>
      <c r="G167" t="s">
        <v>89</v>
      </c>
      <c r="K167" t="s">
        <v>43</v>
      </c>
      <c r="L167">
        <v>3</v>
      </c>
      <c r="N167">
        <v>2</v>
      </c>
      <c r="O167" t="s">
        <v>44</v>
      </c>
      <c r="P167" t="s">
        <v>136</v>
      </c>
      <c r="S167" t="s">
        <v>33</v>
      </c>
      <c r="T167">
        <v>2</v>
      </c>
      <c r="V167">
        <v>3</v>
      </c>
      <c r="W167" t="s">
        <v>65</v>
      </c>
      <c r="AA167" t="s">
        <v>45</v>
      </c>
      <c r="AB167">
        <v>2</v>
      </c>
      <c r="AD167">
        <v>1</v>
      </c>
      <c r="AE167" t="s">
        <v>140</v>
      </c>
      <c r="AI167">
        <v>10</v>
      </c>
      <c r="AJ167">
        <v>27</v>
      </c>
    </row>
    <row r="168" spans="1:36" x14ac:dyDescent="0.25">
      <c r="A168" t="s">
        <v>964</v>
      </c>
      <c r="B168">
        <v>172</v>
      </c>
      <c r="C168" t="s">
        <v>48</v>
      </c>
      <c r="D168">
        <v>3</v>
      </c>
      <c r="F168">
        <v>2</v>
      </c>
      <c r="G168" t="s">
        <v>89</v>
      </c>
      <c r="K168" t="s">
        <v>43</v>
      </c>
      <c r="L168">
        <v>3</v>
      </c>
      <c r="N168">
        <v>2</v>
      </c>
      <c r="O168" t="s">
        <v>44</v>
      </c>
      <c r="P168" t="s">
        <v>136</v>
      </c>
      <c r="S168" t="s">
        <v>33</v>
      </c>
      <c r="T168">
        <v>3</v>
      </c>
      <c r="V168">
        <v>3</v>
      </c>
      <c r="W168" t="s">
        <v>65</v>
      </c>
      <c r="AA168" t="s">
        <v>63</v>
      </c>
      <c r="AB168">
        <v>1</v>
      </c>
      <c r="AD168">
        <v>1</v>
      </c>
      <c r="AE168" t="s">
        <v>145</v>
      </c>
      <c r="AF168" t="s">
        <v>91</v>
      </c>
      <c r="AI168">
        <v>12</v>
      </c>
      <c r="AJ168">
        <v>27</v>
      </c>
    </row>
    <row r="169" spans="1:36" x14ac:dyDescent="0.25">
      <c r="A169" t="s">
        <v>965</v>
      </c>
      <c r="B169">
        <v>173</v>
      </c>
      <c r="C169" t="s">
        <v>48</v>
      </c>
      <c r="D169">
        <v>3</v>
      </c>
      <c r="F169">
        <v>1</v>
      </c>
      <c r="G169" t="s">
        <v>89</v>
      </c>
      <c r="K169" t="s">
        <v>43</v>
      </c>
      <c r="L169">
        <v>3</v>
      </c>
      <c r="N169">
        <v>1</v>
      </c>
      <c r="O169" t="s">
        <v>44</v>
      </c>
      <c r="P169" t="s">
        <v>136</v>
      </c>
      <c r="S169" t="s">
        <v>33</v>
      </c>
      <c r="T169">
        <v>1</v>
      </c>
      <c r="V169">
        <v>3</v>
      </c>
      <c r="W169" t="s">
        <v>65</v>
      </c>
      <c r="X169" t="s">
        <v>66</v>
      </c>
      <c r="AA169" t="s">
        <v>38</v>
      </c>
      <c r="AB169">
        <v>1</v>
      </c>
      <c r="AC169">
        <v>1</v>
      </c>
      <c r="AD169">
        <v>2</v>
      </c>
      <c r="AE169" t="s">
        <v>67</v>
      </c>
      <c r="AI169">
        <v>9</v>
      </c>
      <c r="AJ169">
        <v>23</v>
      </c>
    </row>
    <row r="170" spans="1:36" x14ac:dyDescent="0.25">
      <c r="A170" t="s">
        <v>966</v>
      </c>
      <c r="B170">
        <v>174</v>
      </c>
      <c r="C170" t="s">
        <v>45</v>
      </c>
      <c r="D170">
        <v>3</v>
      </c>
      <c r="F170">
        <v>1</v>
      </c>
      <c r="G170" t="s">
        <v>47</v>
      </c>
      <c r="K170" t="s">
        <v>63</v>
      </c>
      <c r="L170">
        <v>1</v>
      </c>
      <c r="N170">
        <v>1</v>
      </c>
      <c r="O170" t="s">
        <v>145</v>
      </c>
      <c r="S170" t="s">
        <v>48</v>
      </c>
      <c r="T170">
        <v>3</v>
      </c>
      <c r="V170">
        <v>1</v>
      </c>
      <c r="W170" t="s">
        <v>89</v>
      </c>
      <c r="AA170" t="s">
        <v>43</v>
      </c>
      <c r="AB170">
        <v>2</v>
      </c>
      <c r="AD170">
        <v>1</v>
      </c>
      <c r="AE170" t="s">
        <v>44</v>
      </c>
      <c r="AI170">
        <v>5</v>
      </c>
      <c r="AJ170">
        <v>25</v>
      </c>
    </row>
    <row r="171" spans="1:36" x14ac:dyDescent="0.25">
      <c r="A171" t="s">
        <v>967</v>
      </c>
      <c r="B171">
        <v>175</v>
      </c>
      <c r="C171" t="s">
        <v>48</v>
      </c>
      <c r="D171">
        <v>3</v>
      </c>
      <c r="F171">
        <v>3</v>
      </c>
      <c r="G171" t="s">
        <v>89</v>
      </c>
      <c r="H171" t="s">
        <v>84</v>
      </c>
      <c r="K171" t="s">
        <v>43</v>
      </c>
      <c r="L171">
        <v>1</v>
      </c>
      <c r="N171">
        <v>1</v>
      </c>
      <c r="O171" t="s">
        <v>44</v>
      </c>
      <c r="S171" t="s">
        <v>45</v>
      </c>
      <c r="T171">
        <v>3</v>
      </c>
      <c r="V171">
        <v>1</v>
      </c>
      <c r="W171" t="s">
        <v>47</v>
      </c>
      <c r="AA171" t="s">
        <v>38</v>
      </c>
      <c r="AB171">
        <v>3</v>
      </c>
      <c r="AC171">
        <v>1</v>
      </c>
      <c r="AD171">
        <v>2</v>
      </c>
      <c r="AE171" t="s">
        <v>67</v>
      </c>
      <c r="AI171">
        <v>10</v>
      </c>
      <c r="AJ171">
        <v>28</v>
      </c>
    </row>
    <row r="172" spans="1:36" x14ac:dyDescent="0.25">
      <c r="A172" t="s">
        <v>968</v>
      </c>
      <c r="B172">
        <v>176</v>
      </c>
      <c r="C172" t="s">
        <v>48</v>
      </c>
      <c r="D172">
        <v>3</v>
      </c>
      <c r="F172">
        <v>1</v>
      </c>
      <c r="G172" t="s">
        <v>89</v>
      </c>
      <c r="H172" t="s">
        <v>84</v>
      </c>
      <c r="I172" t="s">
        <v>127</v>
      </c>
      <c r="J172" t="s">
        <v>52</v>
      </c>
      <c r="K172" t="s">
        <v>43</v>
      </c>
      <c r="L172">
        <v>1</v>
      </c>
      <c r="N172">
        <v>1</v>
      </c>
      <c r="O172" t="s">
        <v>73</v>
      </c>
      <c r="S172" t="s">
        <v>63</v>
      </c>
      <c r="T172">
        <v>2</v>
      </c>
      <c r="V172">
        <v>1</v>
      </c>
      <c r="W172" t="s">
        <v>103</v>
      </c>
      <c r="X172" t="s">
        <v>95</v>
      </c>
      <c r="Y172" t="s">
        <v>104</v>
      </c>
      <c r="AA172" t="s">
        <v>38</v>
      </c>
      <c r="AB172">
        <v>3</v>
      </c>
      <c r="AC172">
        <v>1</v>
      </c>
      <c r="AD172">
        <v>2</v>
      </c>
      <c r="AE172" t="s">
        <v>67</v>
      </c>
      <c r="AI172">
        <v>11</v>
      </c>
      <c r="AJ172">
        <v>31</v>
      </c>
    </row>
    <row r="173" spans="1:36" x14ac:dyDescent="0.25">
      <c r="A173" t="s">
        <v>969</v>
      </c>
      <c r="B173">
        <v>177</v>
      </c>
      <c r="C173" t="s">
        <v>48</v>
      </c>
      <c r="D173">
        <v>2</v>
      </c>
      <c r="F173">
        <v>1</v>
      </c>
      <c r="G173" t="s">
        <v>89</v>
      </c>
      <c r="K173" t="s">
        <v>45</v>
      </c>
      <c r="L173">
        <v>2</v>
      </c>
      <c r="N173">
        <v>1</v>
      </c>
      <c r="O173" t="s">
        <v>140</v>
      </c>
      <c r="S173" t="s">
        <v>33</v>
      </c>
      <c r="T173">
        <v>1</v>
      </c>
      <c r="V173">
        <v>3</v>
      </c>
      <c r="W173" t="s">
        <v>65</v>
      </c>
      <c r="X173" t="s">
        <v>35</v>
      </c>
      <c r="AA173" t="s">
        <v>43</v>
      </c>
      <c r="AB173">
        <v>1</v>
      </c>
      <c r="AD173">
        <v>1</v>
      </c>
      <c r="AE173" t="s">
        <v>44</v>
      </c>
      <c r="AI173">
        <v>5</v>
      </c>
      <c r="AJ173">
        <v>19</v>
      </c>
    </row>
    <row r="174" spans="1:36" x14ac:dyDescent="0.25">
      <c r="A174" t="s">
        <v>970</v>
      </c>
      <c r="B174">
        <v>178</v>
      </c>
      <c r="C174" t="s">
        <v>33</v>
      </c>
      <c r="D174">
        <v>1</v>
      </c>
      <c r="F174">
        <v>2</v>
      </c>
      <c r="G174" t="s">
        <v>65</v>
      </c>
      <c r="K174" t="s">
        <v>63</v>
      </c>
      <c r="L174">
        <v>2</v>
      </c>
      <c r="N174">
        <v>1</v>
      </c>
      <c r="O174" t="s">
        <v>145</v>
      </c>
      <c r="P174" t="s">
        <v>95</v>
      </c>
      <c r="S174" t="s">
        <v>48</v>
      </c>
      <c r="T174">
        <v>3</v>
      </c>
      <c r="V174">
        <v>2</v>
      </c>
      <c r="W174" t="s">
        <v>89</v>
      </c>
      <c r="AA174" t="s">
        <v>45</v>
      </c>
      <c r="AB174">
        <v>3</v>
      </c>
      <c r="AD174">
        <v>1</v>
      </c>
      <c r="AE174" t="s">
        <v>86</v>
      </c>
      <c r="AI174">
        <v>8</v>
      </c>
      <c r="AJ174">
        <v>23</v>
      </c>
    </row>
    <row r="175" spans="1:36" x14ac:dyDescent="0.25">
      <c r="A175" t="s">
        <v>971</v>
      </c>
      <c r="B175">
        <v>179</v>
      </c>
      <c r="C175" t="s">
        <v>48</v>
      </c>
      <c r="D175">
        <v>3</v>
      </c>
      <c r="F175">
        <v>1</v>
      </c>
      <c r="G175" t="s">
        <v>89</v>
      </c>
      <c r="K175" t="s">
        <v>45</v>
      </c>
      <c r="L175">
        <v>3</v>
      </c>
      <c r="N175">
        <v>1</v>
      </c>
      <c r="O175" t="s">
        <v>140</v>
      </c>
      <c r="S175" t="s">
        <v>33</v>
      </c>
      <c r="T175">
        <v>2</v>
      </c>
      <c r="V175">
        <v>3</v>
      </c>
      <c r="W175" t="s">
        <v>65</v>
      </c>
      <c r="AA175" t="s">
        <v>38</v>
      </c>
      <c r="AB175">
        <v>1</v>
      </c>
      <c r="AC175">
        <v>1</v>
      </c>
      <c r="AD175">
        <v>2</v>
      </c>
      <c r="AE175" t="s">
        <v>39</v>
      </c>
      <c r="AI175">
        <v>8</v>
      </c>
      <c r="AJ175">
        <v>24</v>
      </c>
    </row>
    <row r="176" spans="1:36" x14ac:dyDescent="0.25">
      <c r="A176" t="s">
        <v>972</v>
      </c>
      <c r="B176">
        <v>180</v>
      </c>
      <c r="C176" t="s">
        <v>48</v>
      </c>
      <c r="D176">
        <v>2</v>
      </c>
      <c r="F176">
        <v>1</v>
      </c>
      <c r="G176" t="s">
        <v>89</v>
      </c>
      <c r="H176" t="s">
        <v>84</v>
      </c>
      <c r="I176" t="s">
        <v>127</v>
      </c>
      <c r="K176" t="s">
        <v>45</v>
      </c>
      <c r="L176">
        <v>2</v>
      </c>
      <c r="N176">
        <v>1</v>
      </c>
      <c r="O176" t="s">
        <v>86</v>
      </c>
      <c r="S176" t="s">
        <v>43</v>
      </c>
      <c r="T176">
        <v>2</v>
      </c>
      <c r="V176">
        <v>1</v>
      </c>
      <c r="W176" t="s">
        <v>44</v>
      </c>
      <c r="X176" t="s">
        <v>74</v>
      </c>
      <c r="AA176" t="s">
        <v>63</v>
      </c>
      <c r="AB176">
        <v>2</v>
      </c>
      <c r="AD176">
        <v>1</v>
      </c>
      <c r="AE176" t="s">
        <v>72</v>
      </c>
      <c r="AF176" t="s">
        <v>95</v>
      </c>
      <c r="AG176" t="s">
        <v>104</v>
      </c>
      <c r="AI176">
        <v>9</v>
      </c>
      <c r="AJ176">
        <v>27</v>
      </c>
    </row>
    <row r="177" spans="1:36" x14ac:dyDescent="0.25">
      <c r="A177" t="s">
        <v>973</v>
      </c>
      <c r="B177">
        <v>181</v>
      </c>
      <c r="C177" t="s">
        <v>43</v>
      </c>
      <c r="D177">
        <v>3</v>
      </c>
      <c r="F177">
        <v>2</v>
      </c>
      <c r="G177" t="s">
        <v>73</v>
      </c>
      <c r="H177" t="s">
        <v>74</v>
      </c>
      <c r="I177" t="s">
        <v>100</v>
      </c>
      <c r="J177" t="s">
        <v>101</v>
      </c>
      <c r="K177" t="s">
        <v>38</v>
      </c>
      <c r="L177">
        <v>1</v>
      </c>
      <c r="M177">
        <v>1</v>
      </c>
      <c r="N177">
        <v>2</v>
      </c>
      <c r="O177" t="s">
        <v>39</v>
      </c>
      <c r="P177" t="s">
        <v>70</v>
      </c>
      <c r="S177" t="s">
        <v>48</v>
      </c>
      <c r="T177">
        <v>2</v>
      </c>
      <c r="V177">
        <v>2</v>
      </c>
      <c r="W177" t="s">
        <v>89</v>
      </c>
      <c r="X177" t="s">
        <v>50</v>
      </c>
      <c r="Y177" t="s">
        <v>90</v>
      </c>
      <c r="Z177" t="s">
        <v>52</v>
      </c>
      <c r="AA177" t="s">
        <v>45</v>
      </c>
      <c r="AB177">
        <v>2</v>
      </c>
      <c r="AD177">
        <v>1</v>
      </c>
      <c r="AE177" t="s">
        <v>86</v>
      </c>
      <c r="AI177">
        <v>14</v>
      </c>
      <c r="AJ177">
        <v>42</v>
      </c>
    </row>
    <row r="178" spans="1:36" x14ac:dyDescent="0.25">
      <c r="A178" t="s">
        <v>974</v>
      </c>
      <c r="B178">
        <v>182</v>
      </c>
      <c r="C178" t="s">
        <v>63</v>
      </c>
      <c r="D178">
        <v>2</v>
      </c>
      <c r="F178">
        <v>1</v>
      </c>
      <c r="G178" t="s">
        <v>72</v>
      </c>
      <c r="H178" t="s">
        <v>95</v>
      </c>
      <c r="K178" t="s">
        <v>38</v>
      </c>
      <c r="L178">
        <v>2</v>
      </c>
      <c r="M178">
        <v>1</v>
      </c>
      <c r="N178">
        <v>2</v>
      </c>
      <c r="O178" t="s">
        <v>39</v>
      </c>
      <c r="P178" t="s">
        <v>40</v>
      </c>
      <c r="Q178" t="s">
        <v>154</v>
      </c>
      <c r="S178" t="s">
        <v>48</v>
      </c>
      <c r="T178">
        <v>3</v>
      </c>
      <c r="V178">
        <v>1</v>
      </c>
      <c r="W178" t="s">
        <v>89</v>
      </c>
      <c r="AA178" t="s">
        <v>45</v>
      </c>
      <c r="AB178">
        <v>2</v>
      </c>
      <c r="AD178">
        <v>1</v>
      </c>
      <c r="AE178" t="s">
        <v>140</v>
      </c>
      <c r="AI178">
        <v>9</v>
      </c>
      <c r="AJ178">
        <v>25</v>
      </c>
    </row>
    <row r="179" spans="1:36" x14ac:dyDescent="0.25">
      <c r="A179" t="s">
        <v>975</v>
      </c>
      <c r="B179">
        <v>183</v>
      </c>
      <c r="C179" t="s">
        <v>48</v>
      </c>
      <c r="D179">
        <v>3</v>
      </c>
      <c r="F179">
        <v>1</v>
      </c>
      <c r="G179" t="s">
        <v>89</v>
      </c>
      <c r="H179" t="s">
        <v>50</v>
      </c>
      <c r="K179" t="s">
        <v>63</v>
      </c>
      <c r="L179">
        <v>2</v>
      </c>
      <c r="N179">
        <v>1</v>
      </c>
      <c r="O179" t="s">
        <v>145</v>
      </c>
      <c r="P179" t="s">
        <v>91</v>
      </c>
      <c r="S179" t="s">
        <v>33</v>
      </c>
      <c r="T179">
        <v>2</v>
      </c>
      <c r="V179">
        <v>3</v>
      </c>
      <c r="W179" t="s">
        <v>65</v>
      </c>
      <c r="AA179" t="s">
        <v>43</v>
      </c>
      <c r="AB179">
        <v>1</v>
      </c>
      <c r="AD179">
        <v>1</v>
      </c>
      <c r="AE179" t="s">
        <v>73</v>
      </c>
      <c r="AF179" t="s">
        <v>136</v>
      </c>
      <c r="AG179" t="s">
        <v>137</v>
      </c>
      <c r="AI179">
        <v>10</v>
      </c>
      <c r="AJ179">
        <v>31</v>
      </c>
    </row>
    <row r="180" spans="1:36" x14ac:dyDescent="0.25">
      <c r="A180" t="s">
        <v>976</v>
      </c>
      <c r="B180">
        <v>184</v>
      </c>
      <c r="C180" t="s">
        <v>33</v>
      </c>
      <c r="D180">
        <v>3</v>
      </c>
      <c r="F180">
        <v>1</v>
      </c>
      <c r="G180" t="s">
        <v>46</v>
      </c>
      <c r="K180" t="s">
        <v>45</v>
      </c>
      <c r="L180">
        <v>3</v>
      </c>
      <c r="N180">
        <v>1</v>
      </c>
      <c r="O180" t="s">
        <v>86</v>
      </c>
      <c r="S180" t="s">
        <v>48</v>
      </c>
      <c r="T180">
        <v>1</v>
      </c>
      <c r="V180">
        <v>1</v>
      </c>
      <c r="W180" t="s">
        <v>89</v>
      </c>
      <c r="X180" t="s">
        <v>50</v>
      </c>
      <c r="AA180" t="s">
        <v>63</v>
      </c>
      <c r="AB180">
        <v>1</v>
      </c>
      <c r="AD180">
        <v>2</v>
      </c>
      <c r="AE180" t="s">
        <v>145</v>
      </c>
      <c r="AI180">
        <v>6</v>
      </c>
      <c r="AJ180">
        <v>16</v>
      </c>
    </row>
    <row r="181" spans="1:36" x14ac:dyDescent="0.25">
      <c r="A181" t="s">
        <v>977</v>
      </c>
      <c r="B181">
        <v>185</v>
      </c>
      <c r="C181" t="s">
        <v>33</v>
      </c>
      <c r="D181">
        <v>2</v>
      </c>
      <c r="F181">
        <v>3</v>
      </c>
      <c r="G181" t="s">
        <v>65</v>
      </c>
      <c r="H181" t="s">
        <v>35</v>
      </c>
      <c r="I181" t="s">
        <v>36</v>
      </c>
      <c r="K181" t="s">
        <v>38</v>
      </c>
      <c r="L181">
        <v>3</v>
      </c>
      <c r="M181">
        <v>1</v>
      </c>
      <c r="N181">
        <v>2</v>
      </c>
      <c r="O181" t="s">
        <v>152</v>
      </c>
      <c r="S181" t="s">
        <v>48</v>
      </c>
      <c r="T181">
        <v>2</v>
      </c>
      <c r="V181">
        <v>1</v>
      </c>
      <c r="W181" t="s">
        <v>89</v>
      </c>
      <c r="X181" t="s">
        <v>50</v>
      </c>
      <c r="Y181" t="s">
        <v>90</v>
      </c>
      <c r="Z181" t="s">
        <v>129</v>
      </c>
      <c r="AA181" t="s">
        <v>63</v>
      </c>
      <c r="AB181">
        <v>3</v>
      </c>
      <c r="AD181">
        <v>1</v>
      </c>
      <c r="AE181" t="s">
        <v>72</v>
      </c>
      <c r="AI181">
        <v>14</v>
      </c>
      <c r="AJ181">
        <v>38</v>
      </c>
    </row>
    <row r="182" spans="1:36" x14ac:dyDescent="0.25">
      <c r="A182" t="s">
        <v>978</v>
      </c>
      <c r="B182">
        <v>186</v>
      </c>
      <c r="C182" t="s">
        <v>43</v>
      </c>
      <c r="D182">
        <v>2</v>
      </c>
      <c r="F182">
        <v>1</v>
      </c>
      <c r="G182" t="s">
        <v>44</v>
      </c>
      <c r="H182" t="s">
        <v>136</v>
      </c>
      <c r="K182" t="s">
        <v>45</v>
      </c>
      <c r="L182">
        <v>3</v>
      </c>
      <c r="N182">
        <v>1</v>
      </c>
      <c r="O182" t="s">
        <v>47</v>
      </c>
      <c r="S182" t="s">
        <v>48</v>
      </c>
      <c r="T182">
        <v>1</v>
      </c>
      <c r="V182">
        <v>1</v>
      </c>
      <c r="W182" t="s">
        <v>89</v>
      </c>
      <c r="X182" t="s">
        <v>50</v>
      </c>
      <c r="Y182" t="s">
        <v>51</v>
      </c>
      <c r="AA182" t="s">
        <v>63</v>
      </c>
      <c r="AB182">
        <v>2</v>
      </c>
      <c r="AD182">
        <v>1</v>
      </c>
      <c r="AE182" t="s">
        <v>72</v>
      </c>
      <c r="AI182">
        <v>7</v>
      </c>
      <c r="AJ182">
        <v>22</v>
      </c>
    </row>
    <row r="183" spans="1:36" x14ac:dyDescent="0.25">
      <c r="A183" t="s">
        <v>979</v>
      </c>
      <c r="B183">
        <v>187</v>
      </c>
      <c r="C183" t="s">
        <v>43</v>
      </c>
      <c r="D183">
        <v>3</v>
      </c>
      <c r="F183">
        <v>1</v>
      </c>
      <c r="G183" t="s">
        <v>44</v>
      </c>
      <c r="H183" t="s">
        <v>74</v>
      </c>
      <c r="I183" t="s">
        <v>75</v>
      </c>
      <c r="K183" t="s">
        <v>38</v>
      </c>
      <c r="L183">
        <v>1</v>
      </c>
      <c r="M183">
        <v>1</v>
      </c>
      <c r="N183">
        <v>1</v>
      </c>
      <c r="O183" t="s">
        <v>67</v>
      </c>
      <c r="P183" t="s">
        <v>70</v>
      </c>
      <c r="S183" t="s">
        <v>48</v>
      </c>
      <c r="T183">
        <v>1</v>
      </c>
      <c r="V183">
        <v>1</v>
      </c>
      <c r="W183" t="s">
        <v>89</v>
      </c>
      <c r="X183" t="s">
        <v>50</v>
      </c>
      <c r="AA183" t="s">
        <v>63</v>
      </c>
      <c r="AB183">
        <v>2</v>
      </c>
      <c r="AD183">
        <v>1</v>
      </c>
      <c r="AE183" t="s">
        <v>72</v>
      </c>
      <c r="AF183" t="s">
        <v>146</v>
      </c>
      <c r="AI183">
        <v>8</v>
      </c>
      <c r="AJ183">
        <v>26</v>
      </c>
    </row>
    <row r="184" spans="1:36" x14ac:dyDescent="0.25">
      <c r="A184" t="s">
        <v>980</v>
      </c>
      <c r="B184">
        <v>188</v>
      </c>
      <c r="C184" t="s">
        <v>45</v>
      </c>
      <c r="D184">
        <v>2</v>
      </c>
      <c r="F184">
        <v>2</v>
      </c>
      <c r="G184" t="s">
        <v>47</v>
      </c>
      <c r="K184" t="s">
        <v>38</v>
      </c>
      <c r="L184">
        <v>3</v>
      </c>
      <c r="M184">
        <v>1</v>
      </c>
      <c r="N184">
        <v>2</v>
      </c>
      <c r="O184" t="s">
        <v>67</v>
      </c>
      <c r="S184" t="s">
        <v>48</v>
      </c>
      <c r="T184">
        <v>1</v>
      </c>
      <c r="V184">
        <v>1</v>
      </c>
      <c r="W184" t="s">
        <v>89</v>
      </c>
      <c r="X184" t="s">
        <v>50</v>
      </c>
      <c r="AA184" t="s">
        <v>63</v>
      </c>
      <c r="AB184">
        <v>2</v>
      </c>
      <c r="AD184">
        <v>1</v>
      </c>
      <c r="AE184" t="s">
        <v>72</v>
      </c>
      <c r="AF184" t="s">
        <v>91</v>
      </c>
      <c r="AI184">
        <v>8</v>
      </c>
      <c r="AJ184">
        <v>26</v>
      </c>
    </row>
    <row r="185" spans="1:36" x14ac:dyDescent="0.25">
      <c r="A185" t="s">
        <v>981</v>
      </c>
      <c r="B185">
        <v>189</v>
      </c>
      <c r="C185" t="s">
        <v>33</v>
      </c>
      <c r="D185">
        <v>1</v>
      </c>
      <c r="F185">
        <v>3</v>
      </c>
      <c r="G185" t="s">
        <v>65</v>
      </c>
      <c r="H185" t="s">
        <v>35</v>
      </c>
      <c r="I185" t="s">
        <v>36</v>
      </c>
      <c r="K185" t="s">
        <v>43</v>
      </c>
      <c r="L185">
        <v>2</v>
      </c>
      <c r="N185">
        <v>1</v>
      </c>
      <c r="O185" t="s">
        <v>44</v>
      </c>
      <c r="S185" t="s">
        <v>48</v>
      </c>
      <c r="T185">
        <v>3</v>
      </c>
      <c r="V185">
        <v>1</v>
      </c>
      <c r="W185" t="s">
        <v>89</v>
      </c>
      <c r="AA185" t="s">
        <v>38</v>
      </c>
      <c r="AB185">
        <v>2</v>
      </c>
      <c r="AC185">
        <v>1</v>
      </c>
      <c r="AD185">
        <v>2</v>
      </c>
      <c r="AE185" t="s">
        <v>39</v>
      </c>
      <c r="AI185">
        <v>9</v>
      </c>
      <c r="AJ185">
        <v>26</v>
      </c>
    </row>
    <row r="186" spans="1:36" x14ac:dyDescent="0.25">
      <c r="A186" t="s">
        <v>982</v>
      </c>
      <c r="B186">
        <v>190</v>
      </c>
      <c r="C186" t="s">
        <v>48</v>
      </c>
      <c r="D186">
        <v>3</v>
      </c>
      <c r="F186">
        <v>3</v>
      </c>
      <c r="G186" t="s">
        <v>89</v>
      </c>
      <c r="K186" t="s">
        <v>38</v>
      </c>
      <c r="L186">
        <v>1</v>
      </c>
      <c r="M186">
        <v>1</v>
      </c>
      <c r="N186">
        <v>2</v>
      </c>
      <c r="O186" t="s">
        <v>39</v>
      </c>
      <c r="P186" t="s">
        <v>40</v>
      </c>
      <c r="S186" t="s">
        <v>33</v>
      </c>
      <c r="T186">
        <v>2</v>
      </c>
      <c r="V186">
        <v>3</v>
      </c>
      <c r="W186" t="s">
        <v>65</v>
      </c>
      <c r="X186" t="s">
        <v>35</v>
      </c>
      <c r="Y186" t="s">
        <v>131</v>
      </c>
      <c r="Z186" t="s">
        <v>134</v>
      </c>
      <c r="AA186" t="s">
        <v>45</v>
      </c>
      <c r="AB186">
        <v>3</v>
      </c>
      <c r="AD186">
        <v>1</v>
      </c>
      <c r="AE186" t="s">
        <v>140</v>
      </c>
      <c r="AI186">
        <v>14</v>
      </c>
      <c r="AJ186">
        <v>31</v>
      </c>
    </row>
    <row r="187" spans="1:36" x14ac:dyDescent="0.25">
      <c r="A187" t="s">
        <v>983</v>
      </c>
      <c r="B187">
        <v>191</v>
      </c>
      <c r="C187" t="s">
        <v>33</v>
      </c>
      <c r="D187">
        <v>2</v>
      </c>
      <c r="F187">
        <v>3</v>
      </c>
      <c r="G187" t="s">
        <v>65</v>
      </c>
      <c r="H187" t="s">
        <v>35</v>
      </c>
      <c r="I187" t="s">
        <v>131</v>
      </c>
      <c r="J187" t="s">
        <v>133</v>
      </c>
      <c r="K187" t="s">
        <v>63</v>
      </c>
      <c r="L187">
        <v>1</v>
      </c>
      <c r="N187">
        <v>1</v>
      </c>
      <c r="O187" t="s">
        <v>103</v>
      </c>
      <c r="S187" t="s">
        <v>48</v>
      </c>
      <c r="T187">
        <v>3</v>
      </c>
      <c r="V187">
        <v>2</v>
      </c>
      <c r="W187" t="s">
        <v>89</v>
      </c>
      <c r="AA187" t="s">
        <v>38</v>
      </c>
      <c r="AB187">
        <v>1</v>
      </c>
      <c r="AC187">
        <v>1</v>
      </c>
      <c r="AD187">
        <v>2</v>
      </c>
      <c r="AE187" t="s">
        <v>67</v>
      </c>
      <c r="AI187">
        <v>10</v>
      </c>
      <c r="AJ187">
        <v>34</v>
      </c>
    </row>
    <row r="188" spans="1:36" x14ac:dyDescent="0.25">
      <c r="A188" t="s">
        <v>984</v>
      </c>
      <c r="B188">
        <v>192</v>
      </c>
      <c r="C188" t="s">
        <v>48</v>
      </c>
      <c r="D188">
        <v>2</v>
      </c>
      <c r="F188">
        <v>1</v>
      </c>
      <c r="G188" t="s">
        <v>89</v>
      </c>
      <c r="H188" t="s">
        <v>50</v>
      </c>
      <c r="K188" t="s">
        <v>38</v>
      </c>
      <c r="L188">
        <v>1</v>
      </c>
      <c r="M188">
        <v>1</v>
      </c>
      <c r="N188">
        <v>2</v>
      </c>
      <c r="O188" t="s">
        <v>67</v>
      </c>
      <c r="S188" t="s">
        <v>43</v>
      </c>
      <c r="T188">
        <v>1</v>
      </c>
      <c r="V188">
        <v>3</v>
      </c>
      <c r="W188" t="s">
        <v>44</v>
      </c>
      <c r="X188" t="s">
        <v>136</v>
      </c>
      <c r="AA188" t="s">
        <v>45</v>
      </c>
      <c r="AB188">
        <v>2</v>
      </c>
      <c r="AD188">
        <v>1</v>
      </c>
      <c r="AE188" t="s">
        <v>140</v>
      </c>
      <c r="AI188">
        <v>7</v>
      </c>
      <c r="AJ188">
        <v>22</v>
      </c>
    </row>
    <row r="189" spans="1:36" x14ac:dyDescent="0.25">
      <c r="A189" t="s">
        <v>985</v>
      </c>
      <c r="B189">
        <v>193</v>
      </c>
      <c r="C189" t="s">
        <v>48</v>
      </c>
      <c r="D189">
        <v>2</v>
      </c>
      <c r="F189">
        <v>1</v>
      </c>
      <c r="G189" t="s">
        <v>89</v>
      </c>
      <c r="K189" t="s">
        <v>38</v>
      </c>
      <c r="L189">
        <v>1</v>
      </c>
      <c r="M189">
        <v>1</v>
      </c>
      <c r="N189">
        <v>2</v>
      </c>
      <c r="O189" t="s">
        <v>67</v>
      </c>
      <c r="P189" t="s">
        <v>70</v>
      </c>
      <c r="S189" t="s">
        <v>43</v>
      </c>
      <c r="T189">
        <v>1</v>
      </c>
      <c r="V189">
        <v>2</v>
      </c>
      <c r="W189" t="s">
        <v>44</v>
      </c>
      <c r="AA189" t="s">
        <v>63</v>
      </c>
      <c r="AB189">
        <v>1</v>
      </c>
      <c r="AD189">
        <v>1</v>
      </c>
      <c r="AE189" t="s">
        <v>103</v>
      </c>
      <c r="AF189" t="s">
        <v>95</v>
      </c>
      <c r="AI189">
        <v>5</v>
      </c>
      <c r="AJ189">
        <v>22</v>
      </c>
    </row>
    <row r="190" spans="1:36" x14ac:dyDescent="0.25">
      <c r="A190" t="s">
        <v>986</v>
      </c>
      <c r="B190">
        <v>194</v>
      </c>
      <c r="C190" t="s">
        <v>48</v>
      </c>
      <c r="D190">
        <v>3</v>
      </c>
      <c r="F190">
        <v>2</v>
      </c>
      <c r="G190" t="s">
        <v>89</v>
      </c>
      <c r="H190" t="s">
        <v>71</v>
      </c>
      <c r="I190" t="s">
        <v>90</v>
      </c>
      <c r="J190" t="s">
        <v>128</v>
      </c>
      <c r="K190" t="s">
        <v>38</v>
      </c>
      <c r="L190">
        <v>1</v>
      </c>
      <c r="M190">
        <v>1</v>
      </c>
      <c r="N190">
        <v>1</v>
      </c>
      <c r="O190" t="s">
        <v>67</v>
      </c>
      <c r="P190" t="s">
        <v>70</v>
      </c>
      <c r="S190" t="s">
        <v>45</v>
      </c>
      <c r="T190">
        <v>3</v>
      </c>
      <c r="V190">
        <v>2</v>
      </c>
      <c r="W190" t="s">
        <v>140</v>
      </c>
      <c r="AA190" t="s">
        <v>63</v>
      </c>
      <c r="AB190">
        <v>2</v>
      </c>
      <c r="AD190">
        <v>1</v>
      </c>
      <c r="AE190" t="s">
        <v>103</v>
      </c>
      <c r="AI190">
        <v>11</v>
      </c>
      <c r="AJ190">
        <v>44</v>
      </c>
    </row>
    <row r="191" spans="1:36" x14ac:dyDescent="0.25">
      <c r="A191" t="s">
        <v>987</v>
      </c>
      <c r="B191">
        <v>195</v>
      </c>
      <c r="C191" t="s">
        <v>33</v>
      </c>
      <c r="D191">
        <v>2</v>
      </c>
      <c r="F191">
        <v>2</v>
      </c>
      <c r="G191" t="s">
        <v>46</v>
      </c>
      <c r="K191" t="s">
        <v>43</v>
      </c>
      <c r="L191">
        <v>3</v>
      </c>
      <c r="N191">
        <v>1</v>
      </c>
      <c r="O191" t="s">
        <v>44</v>
      </c>
      <c r="S191" t="s">
        <v>45</v>
      </c>
      <c r="T191">
        <v>2</v>
      </c>
      <c r="V191">
        <v>1</v>
      </c>
      <c r="W191" t="s">
        <v>140</v>
      </c>
      <c r="AA191" t="s">
        <v>63</v>
      </c>
      <c r="AB191">
        <v>1</v>
      </c>
      <c r="AD191">
        <v>1</v>
      </c>
      <c r="AE191" t="s">
        <v>145</v>
      </c>
      <c r="AF191" t="s">
        <v>95</v>
      </c>
      <c r="AG191" t="s">
        <v>104</v>
      </c>
      <c r="AI191">
        <v>7</v>
      </c>
      <c r="AJ191">
        <v>20</v>
      </c>
    </row>
    <row r="192" spans="1:36" x14ac:dyDescent="0.25">
      <c r="A192" t="s">
        <v>988</v>
      </c>
      <c r="B192">
        <v>196</v>
      </c>
      <c r="C192" t="s">
        <v>33</v>
      </c>
      <c r="D192">
        <v>2</v>
      </c>
      <c r="F192">
        <v>2</v>
      </c>
      <c r="G192" t="s">
        <v>65</v>
      </c>
      <c r="K192" t="s">
        <v>43</v>
      </c>
      <c r="L192">
        <v>3</v>
      </c>
      <c r="N192">
        <v>1</v>
      </c>
      <c r="O192" t="s">
        <v>44</v>
      </c>
      <c r="S192" t="s">
        <v>45</v>
      </c>
      <c r="T192">
        <v>2</v>
      </c>
      <c r="V192">
        <v>1</v>
      </c>
      <c r="W192" t="s">
        <v>140</v>
      </c>
      <c r="AA192" t="s">
        <v>38</v>
      </c>
      <c r="AB192">
        <v>1</v>
      </c>
      <c r="AC192">
        <v>1</v>
      </c>
      <c r="AD192">
        <v>3</v>
      </c>
      <c r="AE192" t="s">
        <v>39</v>
      </c>
      <c r="AI192">
        <v>7</v>
      </c>
      <c r="AJ192">
        <v>17</v>
      </c>
    </row>
    <row r="193" spans="1:36" x14ac:dyDescent="0.25">
      <c r="A193" t="s">
        <v>989</v>
      </c>
      <c r="B193">
        <v>197</v>
      </c>
      <c r="C193" t="s">
        <v>63</v>
      </c>
      <c r="D193">
        <v>2</v>
      </c>
      <c r="F193">
        <v>1</v>
      </c>
      <c r="G193" t="s">
        <v>145</v>
      </c>
      <c r="H193" t="s">
        <v>91</v>
      </c>
      <c r="K193" t="s">
        <v>38</v>
      </c>
      <c r="L193">
        <v>1</v>
      </c>
      <c r="M193">
        <v>1</v>
      </c>
      <c r="N193">
        <v>3</v>
      </c>
      <c r="O193" t="s">
        <v>67</v>
      </c>
      <c r="S193" t="s">
        <v>33</v>
      </c>
      <c r="T193">
        <v>2</v>
      </c>
      <c r="V193">
        <v>2</v>
      </c>
      <c r="W193" t="s">
        <v>65</v>
      </c>
      <c r="AA193" t="s">
        <v>43</v>
      </c>
      <c r="AB193">
        <v>2</v>
      </c>
      <c r="AD193">
        <v>1</v>
      </c>
      <c r="AE193" t="s">
        <v>73</v>
      </c>
      <c r="AI193">
        <v>7</v>
      </c>
      <c r="AJ193">
        <v>20</v>
      </c>
    </row>
    <row r="194" spans="1:36" x14ac:dyDescent="0.25">
      <c r="A194" t="s">
        <v>990</v>
      </c>
      <c r="B194">
        <v>198</v>
      </c>
      <c r="C194" t="s">
        <v>43</v>
      </c>
      <c r="D194">
        <v>3</v>
      </c>
      <c r="F194">
        <v>1</v>
      </c>
      <c r="G194" t="s">
        <v>44</v>
      </c>
      <c r="H194" t="s">
        <v>136</v>
      </c>
      <c r="K194" t="s">
        <v>63</v>
      </c>
      <c r="L194">
        <v>1</v>
      </c>
      <c r="N194">
        <v>1</v>
      </c>
      <c r="O194" t="s">
        <v>72</v>
      </c>
      <c r="P194" t="s">
        <v>146</v>
      </c>
      <c r="S194" t="s">
        <v>33</v>
      </c>
      <c r="T194">
        <v>2</v>
      </c>
      <c r="V194">
        <v>2</v>
      </c>
      <c r="W194" t="s">
        <v>46</v>
      </c>
      <c r="AA194" t="s">
        <v>45</v>
      </c>
      <c r="AB194">
        <v>3</v>
      </c>
      <c r="AD194">
        <v>1</v>
      </c>
      <c r="AE194" t="s">
        <v>140</v>
      </c>
      <c r="AI194">
        <v>9</v>
      </c>
      <c r="AJ194">
        <v>26</v>
      </c>
    </row>
    <row r="195" spans="1:36" x14ac:dyDescent="0.25">
      <c r="A195" t="s">
        <v>991</v>
      </c>
      <c r="B195">
        <v>199</v>
      </c>
      <c r="C195" t="s">
        <v>33</v>
      </c>
      <c r="D195">
        <v>1</v>
      </c>
      <c r="F195">
        <v>1</v>
      </c>
      <c r="G195" t="s">
        <v>65</v>
      </c>
      <c r="K195" t="s">
        <v>45</v>
      </c>
      <c r="L195">
        <v>3</v>
      </c>
      <c r="N195">
        <v>2</v>
      </c>
      <c r="O195" t="s">
        <v>140</v>
      </c>
      <c r="S195" t="s">
        <v>43</v>
      </c>
      <c r="T195">
        <v>2</v>
      </c>
      <c r="V195">
        <v>1</v>
      </c>
      <c r="W195" t="s">
        <v>44</v>
      </c>
      <c r="AA195" t="s">
        <v>38</v>
      </c>
      <c r="AB195">
        <v>2</v>
      </c>
      <c r="AC195">
        <v>1</v>
      </c>
      <c r="AD195">
        <v>2</v>
      </c>
      <c r="AE195" t="s">
        <v>39</v>
      </c>
      <c r="AF195" t="s">
        <v>96</v>
      </c>
      <c r="AI195">
        <v>7</v>
      </c>
      <c r="AJ195">
        <v>23</v>
      </c>
    </row>
    <row r="196" spans="1:36" x14ac:dyDescent="0.25">
      <c r="A196" t="s">
        <v>992</v>
      </c>
      <c r="B196">
        <v>200</v>
      </c>
      <c r="C196" t="s">
        <v>33</v>
      </c>
      <c r="D196">
        <v>2</v>
      </c>
      <c r="F196">
        <v>3</v>
      </c>
      <c r="G196" t="s">
        <v>65</v>
      </c>
      <c r="H196" t="s">
        <v>35</v>
      </c>
      <c r="I196" t="s">
        <v>36</v>
      </c>
      <c r="K196" t="s">
        <v>45</v>
      </c>
      <c r="L196">
        <v>2</v>
      </c>
      <c r="N196">
        <v>1</v>
      </c>
      <c r="O196" t="s">
        <v>140</v>
      </c>
      <c r="S196" t="s">
        <v>63</v>
      </c>
      <c r="T196">
        <v>3</v>
      </c>
      <c r="V196">
        <v>1</v>
      </c>
      <c r="W196" t="s">
        <v>72</v>
      </c>
      <c r="X196" t="s">
        <v>146</v>
      </c>
      <c r="Y196" t="s">
        <v>104</v>
      </c>
      <c r="AA196" t="s">
        <v>38</v>
      </c>
      <c r="AB196">
        <v>1</v>
      </c>
      <c r="AC196">
        <v>1</v>
      </c>
      <c r="AD196">
        <v>2</v>
      </c>
      <c r="AE196" t="s">
        <v>39</v>
      </c>
      <c r="AI196">
        <v>11</v>
      </c>
      <c r="AJ196">
        <v>30</v>
      </c>
    </row>
    <row r="197" spans="1:36" x14ac:dyDescent="0.25">
      <c r="A197" t="s">
        <v>993</v>
      </c>
      <c r="B197">
        <v>201</v>
      </c>
      <c r="C197" t="s">
        <v>43</v>
      </c>
      <c r="D197">
        <v>3</v>
      </c>
      <c r="F197">
        <v>1</v>
      </c>
      <c r="G197" t="s">
        <v>44</v>
      </c>
      <c r="K197" t="s">
        <v>45</v>
      </c>
      <c r="L197">
        <v>3</v>
      </c>
      <c r="N197">
        <v>1</v>
      </c>
      <c r="O197" t="s">
        <v>86</v>
      </c>
      <c r="S197" t="s">
        <v>33</v>
      </c>
      <c r="T197">
        <v>2</v>
      </c>
      <c r="V197">
        <v>2</v>
      </c>
      <c r="W197" t="s">
        <v>46</v>
      </c>
      <c r="AA197" t="s">
        <v>63</v>
      </c>
      <c r="AB197">
        <v>1</v>
      </c>
      <c r="AD197">
        <v>2</v>
      </c>
      <c r="AE197" t="s">
        <v>145</v>
      </c>
      <c r="AI197">
        <v>7</v>
      </c>
      <c r="AJ197">
        <v>20</v>
      </c>
    </row>
    <row r="198" spans="1:36" x14ac:dyDescent="0.25">
      <c r="A198" t="s">
        <v>994</v>
      </c>
      <c r="B198">
        <v>202</v>
      </c>
      <c r="C198" t="s">
        <v>43</v>
      </c>
      <c r="D198">
        <v>3</v>
      </c>
      <c r="F198">
        <v>3</v>
      </c>
      <c r="G198" t="s">
        <v>44</v>
      </c>
      <c r="H198" t="s">
        <v>74</v>
      </c>
      <c r="K198" t="s">
        <v>38</v>
      </c>
      <c r="L198">
        <v>1</v>
      </c>
      <c r="M198">
        <v>1</v>
      </c>
      <c r="N198">
        <v>1</v>
      </c>
      <c r="O198" t="s">
        <v>67</v>
      </c>
      <c r="S198" t="s">
        <v>33</v>
      </c>
      <c r="T198">
        <v>3</v>
      </c>
      <c r="V198">
        <v>1</v>
      </c>
      <c r="W198" t="s">
        <v>65</v>
      </c>
      <c r="AA198" t="s">
        <v>63</v>
      </c>
      <c r="AB198">
        <v>1</v>
      </c>
      <c r="AD198">
        <v>1</v>
      </c>
      <c r="AE198" t="s">
        <v>72</v>
      </c>
      <c r="AF198" t="s">
        <v>95</v>
      </c>
      <c r="AI198">
        <v>8</v>
      </c>
      <c r="AJ198">
        <v>21</v>
      </c>
    </row>
    <row r="199" spans="1:36" x14ac:dyDescent="0.25">
      <c r="A199" t="s">
        <v>995</v>
      </c>
      <c r="B199">
        <v>203</v>
      </c>
      <c r="C199" t="s">
        <v>45</v>
      </c>
      <c r="D199">
        <v>3</v>
      </c>
      <c r="F199">
        <v>2</v>
      </c>
      <c r="G199" t="s">
        <v>47</v>
      </c>
      <c r="H199" t="s">
        <v>92</v>
      </c>
      <c r="I199" t="s">
        <v>102</v>
      </c>
      <c r="K199" t="s">
        <v>38</v>
      </c>
      <c r="L199">
        <v>1</v>
      </c>
      <c r="M199">
        <v>1</v>
      </c>
      <c r="N199">
        <v>1</v>
      </c>
      <c r="O199" t="s">
        <v>67</v>
      </c>
      <c r="P199" t="s">
        <v>40</v>
      </c>
      <c r="S199" t="s">
        <v>33</v>
      </c>
      <c r="T199">
        <v>1</v>
      </c>
      <c r="V199">
        <v>1</v>
      </c>
      <c r="W199" t="s">
        <v>65</v>
      </c>
      <c r="AA199" t="s">
        <v>63</v>
      </c>
      <c r="AB199">
        <v>3</v>
      </c>
      <c r="AD199">
        <v>1</v>
      </c>
      <c r="AE199" t="s">
        <v>72</v>
      </c>
      <c r="AF199" t="s">
        <v>146</v>
      </c>
      <c r="AG199" t="s">
        <v>104</v>
      </c>
      <c r="AH199" t="s">
        <v>151</v>
      </c>
      <c r="AI199">
        <v>11</v>
      </c>
      <c r="AJ199">
        <v>37</v>
      </c>
    </row>
    <row r="200" spans="1:36" x14ac:dyDescent="0.25">
      <c r="A200" t="s">
        <v>996</v>
      </c>
      <c r="B200">
        <v>204</v>
      </c>
      <c r="C200" t="s">
        <v>43</v>
      </c>
      <c r="D200">
        <v>3</v>
      </c>
      <c r="F200">
        <v>1</v>
      </c>
      <c r="G200" t="s">
        <v>44</v>
      </c>
      <c r="H200" t="s">
        <v>74</v>
      </c>
      <c r="K200" t="s">
        <v>45</v>
      </c>
      <c r="L200">
        <v>3</v>
      </c>
      <c r="N200">
        <v>1</v>
      </c>
      <c r="O200" t="s">
        <v>140</v>
      </c>
      <c r="S200" t="s">
        <v>33</v>
      </c>
      <c r="T200">
        <v>2</v>
      </c>
      <c r="V200">
        <v>1</v>
      </c>
      <c r="W200" t="s">
        <v>65</v>
      </c>
      <c r="AA200" t="s">
        <v>38</v>
      </c>
      <c r="AB200">
        <v>3</v>
      </c>
      <c r="AC200">
        <v>1</v>
      </c>
      <c r="AD200">
        <v>2</v>
      </c>
      <c r="AE200" t="s">
        <v>39</v>
      </c>
      <c r="AI200">
        <v>9</v>
      </c>
      <c r="AJ200">
        <v>20</v>
      </c>
    </row>
    <row r="201" spans="1:36" x14ac:dyDescent="0.25">
      <c r="A201" t="s">
        <v>997</v>
      </c>
      <c r="B201">
        <v>205</v>
      </c>
      <c r="C201" t="s">
        <v>43</v>
      </c>
      <c r="D201">
        <v>3</v>
      </c>
      <c r="F201">
        <v>1</v>
      </c>
      <c r="G201" t="s">
        <v>44</v>
      </c>
      <c r="K201" t="s">
        <v>63</v>
      </c>
      <c r="L201">
        <v>1</v>
      </c>
      <c r="N201">
        <v>2</v>
      </c>
      <c r="O201" t="s">
        <v>72</v>
      </c>
      <c r="P201" t="s">
        <v>95</v>
      </c>
      <c r="Q201" t="s">
        <v>147</v>
      </c>
      <c r="S201" t="s">
        <v>33</v>
      </c>
      <c r="T201">
        <v>1</v>
      </c>
      <c r="V201">
        <v>3</v>
      </c>
      <c r="W201" t="s">
        <v>65</v>
      </c>
      <c r="AA201" t="s">
        <v>38</v>
      </c>
      <c r="AB201">
        <v>3</v>
      </c>
      <c r="AC201">
        <v>1</v>
      </c>
      <c r="AD201">
        <v>2</v>
      </c>
      <c r="AE201" t="s">
        <v>152</v>
      </c>
      <c r="AI201">
        <v>10</v>
      </c>
      <c r="AJ201">
        <v>25</v>
      </c>
    </row>
    <row r="202" spans="1:36" x14ac:dyDescent="0.25">
      <c r="A202" t="s">
        <v>998</v>
      </c>
      <c r="B202">
        <v>206</v>
      </c>
      <c r="C202" t="s">
        <v>45</v>
      </c>
      <c r="D202">
        <v>3</v>
      </c>
      <c r="F202">
        <v>1</v>
      </c>
      <c r="G202" t="s">
        <v>140</v>
      </c>
      <c r="K202" t="s">
        <v>63</v>
      </c>
      <c r="L202">
        <v>2</v>
      </c>
      <c r="N202">
        <v>1</v>
      </c>
      <c r="O202" t="s">
        <v>145</v>
      </c>
      <c r="P202" t="s">
        <v>146</v>
      </c>
      <c r="S202" t="s">
        <v>33</v>
      </c>
      <c r="T202">
        <v>2</v>
      </c>
      <c r="V202">
        <v>1</v>
      </c>
      <c r="W202" t="s">
        <v>46</v>
      </c>
      <c r="AA202" t="s">
        <v>38</v>
      </c>
      <c r="AB202">
        <v>3</v>
      </c>
      <c r="AC202">
        <v>1</v>
      </c>
      <c r="AD202">
        <v>2</v>
      </c>
      <c r="AE202" t="s">
        <v>67</v>
      </c>
      <c r="AF202" t="s">
        <v>40</v>
      </c>
      <c r="AG202" t="s">
        <v>154</v>
      </c>
      <c r="AI202">
        <v>10</v>
      </c>
      <c r="AJ202">
        <v>26</v>
      </c>
    </row>
    <row r="203" spans="1:36" x14ac:dyDescent="0.25">
      <c r="A203" t="s">
        <v>999</v>
      </c>
      <c r="B203">
        <v>207</v>
      </c>
      <c r="C203" t="s">
        <v>43</v>
      </c>
      <c r="D203">
        <v>3</v>
      </c>
      <c r="F203">
        <v>1</v>
      </c>
      <c r="G203" t="s">
        <v>44</v>
      </c>
      <c r="K203" t="s">
        <v>45</v>
      </c>
      <c r="L203">
        <v>2</v>
      </c>
      <c r="N203">
        <v>2</v>
      </c>
      <c r="O203" t="s">
        <v>140</v>
      </c>
      <c r="P203" t="s">
        <v>92</v>
      </c>
      <c r="Q203" t="s">
        <v>142</v>
      </c>
      <c r="S203" t="s">
        <v>63</v>
      </c>
      <c r="T203">
        <v>2</v>
      </c>
      <c r="V203">
        <v>1</v>
      </c>
      <c r="W203" t="s">
        <v>72</v>
      </c>
      <c r="X203" t="s">
        <v>146</v>
      </c>
      <c r="AA203" t="s">
        <v>38</v>
      </c>
      <c r="AB203">
        <v>1</v>
      </c>
      <c r="AC203">
        <v>1</v>
      </c>
      <c r="AD203">
        <v>2</v>
      </c>
      <c r="AE203" t="s">
        <v>67</v>
      </c>
      <c r="AI203">
        <v>9</v>
      </c>
      <c r="AJ203">
        <v>23</v>
      </c>
    </row>
    <row r="204" spans="1:36" x14ac:dyDescent="0.25">
      <c r="A204" t="s">
        <v>1000</v>
      </c>
      <c r="B204">
        <v>208</v>
      </c>
      <c r="C204" t="s">
        <v>45</v>
      </c>
      <c r="D204">
        <v>3</v>
      </c>
      <c r="F204">
        <v>1</v>
      </c>
      <c r="G204" t="s">
        <v>140</v>
      </c>
      <c r="K204" t="s">
        <v>38</v>
      </c>
      <c r="L204">
        <v>3</v>
      </c>
      <c r="M204">
        <v>1</v>
      </c>
      <c r="N204">
        <v>2</v>
      </c>
      <c r="O204" t="s">
        <v>67</v>
      </c>
      <c r="P204" t="s">
        <v>70</v>
      </c>
      <c r="S204" t="s">
        <v>43</v>
      </c>
      <c r="T204">
        <v>1</v>
      </c>
      <c r="V204">
        <v>2</v>
      </c>
      <c r="W204" t="s">
        <v>44</v>
      </c>
      <c r="X204" t="s">
        <v>136</v>
      </c>
      <c r="AA204" t="s">
        <v>63</v>
      </c>
      <c r="AB204">
        <v>2</v>
      </c>
      <c r="AD204">
        <v>1</v>
      </c>
      <c r="AE204" t="s">
        <v>72</v>
      </c>
      <c r="AF204" t="s">
        <v>146</v>
      </c>
      <c r="AG204" t="s">
        <v>148</v>
      </c>
      <c r="AI204">
        <v>11</v>
      </c>
      <c r="AJ204">
        <v>32</v>
      </c>
    </row>
    <row r="205" spans="1:36" x14ac:dyDescent="0.25">
      <c r="A205" t="s">
        <v>1001</v>
      </c>
      <c r="B205">
        <v>209</v>
      </c>
      <c r="C205" t="s">
        <v>43</v>
      </c>
      <c r="D205">
        <v>2</v>
      </c>
      <c r="F205">
        <v>1</v>
      </c>
      <c r="G205" t="s">
        <v>44</v>
      </c>
      <c r="K205" t="s">
        <v>38</v>
      </c>
      <c r="L205">
        <v>3</v>
      </c>
      <c r="M205">
        <v>1</v>
      </c>
      <c r="N205">
        <v>2</v>
      </c>
      <c r="O205" t="s">
        <v>67</v>
      </c>
      <c r="S205" t="s">
        <v>45</v>
      </c>
      <c r="T205">
        <v>1</v>
      </c>
      <c r="V205">
        <v>1</v>
      </c>
      <c r="W205" t="s">
        <v>140</v>
      </c>
      <c r="AA205" t="s">
        <v>63</v>
      </c>
      <c r="AB205">
        <v>1</v>
      </c>
      <c r="AD205">
        <v>1</v>
      </c>
      <c r="AE205" t="s">
        <v>72</v>
      </c>
      <c r="AF205" t="s">
        <v>95</v>
      </c>
      <c r="AI205">
        <v>5</v>
      </c>
      <c r="AJ205">
        <v>21</v>
      </c>
    </row>
    <row r="206" spans="1:36" x14ac:dyDescent="0.25">
      <c r="A206" t="s">
        <v>1002</v>
      </c>
      <c r="B206">
        <v>98</v>
      </c>
      <c r="C206" t="s">
        <v>53</v>
      </c>
      <c r="D206">
        <v>2</v>
      </c>
      <c r="E206">
        <v>3</v>
      </c>
      <c r="F206">
        <v>3</v>
      </c>
      <c r="G206" t="s">
        <v>111</v>
      </c>
      <c r="K206" t="s">
        <v>38</v>
      </c>
      <c r="L206">
        <v>1</v>
      </c>
      <c r="M206">
        <v>1</v>
      </c>
      <c r="N206">
        <v>3</v>
      </c>
      <c r="O206" t="s">
        <v>152</v>
      </c>
      <c r="S206" t="s">
        <v>48</v>
      </c>
      <c r="T206">
        <v>3</v>
      </c>
      <c r="V206">
        <v>1</v>
      </c>
      <c r="W206" t="s">
        <v>89</v>
      </c>
      <c r="AA206" t="s">
        <v>63</v>
      </c>
      <c r="AB206">
        <v>3</v>
      </c>
      <c r="AD206">
        <v>1</v>
      </c>
      <c r="AE206" t="s">
        <v>72</v>
      </c>
      <c r="AF206" t="s">
        <v>95</v>
      </c>
      <c r="AG206" t="s">
        <v>147</v>
      </c>
      <c r="AI206">
        <v>13</v>
      </c>
      <c r="AJ206">
        <v>39</v>
      </c>
    </row>
    <row r="207" spans="1:36" x14ac:dyDescent="0.25">
      <c r="A207" t="s">
        <v>1003</v>
      </c>
      <c r="B207">
        <v>99</v>
      </c>
      <c r="C207" t="s">
        <v>33</v>
      </c>
      <c r="D207">
        <v>2</v>
      </c>
      <c r="F207">
        <v>3</v>
      </c>
      <c r="G207" t="s">
        <v>65</v>
      </c>
      <c r="H207" t="s">
        <v>66</v>
      </c>
      <c r="I207" t="s">
        <v>36</v>
      </c>
      <c r="K207" t="s">
        <v>43</v>
      </c>
      <c r="L207">
        <v>1</v>
      </c>
      <c r="N207">
        <v>1</v>
      </c>
      <c r="O207" t="s">
        <v>73</v>
      </c>
      <c r="S207" t="s">
        <v>53</v>
      </c>
      <c r="T207">
        <v>3</v>
      </c>
      <c r="U207">
        <v>1</v>
      </c>
      <c r="V207">
        <v>1</v>
      </c>
      <c r="W207" t="s">
        <v>111</v>
      </c>
      <c r="AA207" t="s">
        <v>38</v>
      </c>
      <c r="AB207">
        <v>1</v>
      </c>
      <c r="AC207">
        <v>2</v>
      </c>
      <c r="AD207">
        <v>3</v>
      </c>
      <c r="AE207" t="s">
        <v>39</v>
      </c>
      <c r="AF207" t="s">
        <v>40</v>
      </c>
      <c r="AG207" t="s">
        <v>154</v>
      </c>
      <c r="AI207">
        <v>12</v>
      </c>
      <c r="AJ207">
        <v>31</v>
      </c>
    </row>
    <row r="208" spans="1:36" x14ac:dyDescent="0.25">
      <c r="A208" t="s">
        <v>1004</v>
      </c>
      <c r="B208">
        <v>101</v>
      </c>
      <c r="C208" t="s">
        <v>33</v>
      </c>
      <c r="D208">
        <v>1</v>
      </c>
      <c r="F208">
        <v>3</v>
      </c>
      <c r="G208" t="s">
        <v>65</v>
      </c>
      <c r="H208" t="s">
        <v>66</v>
      </c>
      <c r="K208" t="s">
        <v>63</v>
      </c>
      <c r="L208">
        <v>1</v>
      </c>
      <c r="N208">
        <v>1</v>
      </c>
      <c r="O208" t="s">
        <v>103</v>
      </c>
      <c r="P208" t="s">
        <v>95</v>
      </c>
      <c r="Q208" t="s">
        <v>104</v>
      </c>
      <c r="S208" t="s">
        <v>53</v>
      </c>
      <c r="T208">
        <v>2</v>
      </c>
      <c r="U208">
        <v>2</v>
      </c>
      <c r="V208">
        <v>1</v>
      </c>
      <c r="W208" t="s">
        <v>111</v>
      </c>
      <c r="X208" t="s">
        <v>113</v>
      </c>
      <c r="AA208" t="s">
        <v>38</v>
      </c>
      <c r="AB208">
        <v>1</v>
      </c>
      <c r="AC208">
        <v>1</v>
      </c>
      <c r="AD208">
        <v>3</v>
      </c>
      <c r="AE208" t="s">
        <v>67</v>
      </c>
      <c r="AI208">
        <v>10</v>
      </c>
      <c r="AJ208">
        <v>29</v>
      </c>
    </row>
    <row r="209" spans="1:36" x14ac:dyDescent="0.25">
      <c r="A209" t="s">
        <v>1005</v>
      </c>
      <c r="B209">
        <v>102</v>
      </c>
      <c r="C209" t="s">
        <v>53</v>
      </c>
      <c r="D209">
        <v>2</v>
      </c>
      <c r="E209">
        <v>1</v>
      </c>
      <c r="F209">
        <v>2</v>
      </c>
      <c r="G209" t="s">
        <v>111</v>
      </c>
      <c r="H209" t="s">
        <v>83</v>
      </c>
      <c r="K209" t="s">
        <v>38</v>
      </c>
      <c r="L209">
        <v>3</v>
      </c>
      <c r="M209">
        <v>1</v>
      </c>
      <c r="N209">
        <v>3</v>
      </c>
      <c r="O209" t="s">
        <v>67</v>
      </c>
      <c r="S209" t="s">
        <v>43</v>
      </c>
      <c r="T209">
        <v>3</v>
      </c>
      <c r="V209">
        <v>1</v>
      </c>
      <c r="W209" t="s">
        <v>73</v>
      </c>
      <c r="X209" t="s">
        <v>74</v>
      </c>
      <c r="Y209" t="s">
        <v>75</v>
      </c>
      <c r="AA209" t="s">
        <v>45</v>
      </c>
      <c r="AB209">
        <v>2</v>
      </c>
      <c r="AD209">
        <v>2</v>
      </c>
      <c r="AE209" t="s">
        <v>140</v>
      </c>
      <c r="AI209">
        <v>13</v>
      </c>
      <c r="AJ209">
        <v>32</v>
      </c>
    </row>
    <row r="210" spans="1:36" x14ac:dyDescent="0.25">
      <c r="A210" t="s">
        <v>1006</v>
      </c>
      <c r="B210">
        <v>104</v>
      </c>
      <c r="C210" t="s">
        <v>53</v>
      </c>
      <c r="D210">
        <v>2</v>
      </c>
      <c r="E210">
        <v>3</v>
      </c>
      <c r="F210">
        <v>3</v>
      </c>
      <c r="G210" t="s">
        <v>111</v>
      </c>
      <c r="H210" t="s">
        <v>83</v>
      </c>
      <c r="I210" t="s">
        <v>114</v>
      </c>
      <c r="K210" t="s">
        <v>38</v>
      </c>
      <c r="L210">
        <v>3</v>
      </c>
      <c r="M210">
        <v>1</v>
      </c>
      <c r="N210">
        <v>1</v>
      </c>
      <c r="O210" t="s">
        <v>67</v>
      </c>
      <c r="S210" t="s">
        <v>45</v>
      </c>
      <c r="T210">
        <v>3</v>
      </c>
      <c r="V210">
        <v>2</v>
      </c>
      <c r="W210" t="s">
        <v>140</v>
      </c>
      <c r="X210" t="s">
        <v>141</v>
      </c>
      <c r="Y210" t="s">
        <v>102</v>
      </c>
      <c r="AA210" t="s">
        <v>63</v>
      </c>
      <c r="AB210">
        <v>1</v>
      </c>
      <c r="AD210">
        <v>1</v>
      </c>
      <c r="AE210" t="s">
        <v>103</v>
      </c>
      <c r="AF210" t="s">
        <v>95</v>
      </c>
      <c r="AI210">
        <v>15</v>
      </c>
      <c r="AJ210">
        <v>35</v>
      </c>
    </row>
    <row r="211" spans="1:36" x14ac:dyDescent="0.25">
      <c r="A211" t="s">
        <v>1007</v>
      </c>
      <c r="B211">
        <v>108</v>
      </c>
      <c r="C211" t="s">
        <v>56</v>
      </c>
      <c r="D211">
        <v>1</v>
      </c>
      <c r="F211">
        <v>1</v>
      </c>
      <c r="G211" t="s">
        <v>68</v>
      </c>
      <c r="H211" t="s">
        <v>69</v>
      </c>
      <c r="K211" t="s">
        <v>48</v>
      </c>
      <c r="L211">
        <v>3</v>
      </c>
      <c r="N211">
        <v>1</v>
      </c>
      <c r="O211" t="s">
        <v>89</v>
      </c>
      <c r="P211" t="s">
        <v>71</v>
      </c>
      <c r="Q211" t="s">
        <v>90</v>
      </c>
      <c r="R211" t="s">
        <v>129</v>
      </c>
      <c r="S211" t="s">
        <v>33</v>
      </c>
      <c r="T211">
        <v>1</v>
      </c>
      <c r="V211">
        <v>3</v>
      </c>
      <c r="W211" t="s">
        <v>65</v>
      </c>
      <c r="X211" t="s">
        <v>35</v>
      </c>
      <c r="Y211" t="s">
        <v>131</v>
      </c>
      <c r="AA211" t="s">
        <v>38</v>
      </c>
      <c r="AB211">
        <v>3</v>
      </c>
      <c r="AC211">
        <v>1</v>
      </c>
      <c r="AD211">
        <v>1</v>
      </c>
      <c r="AE211" t="s">
        <v>152</v>
      </c>
      <c r="AF211" t="s">
        <v>96</v>
      </c>
      <c r="AG211" t="s">
        <v>41</v>
      </c>
      <c r="AI211">
        <v>14</v>
      </c>
      <c r="AJ211">
        <v>47</v>
      </c>
    </row>
  </sheetData>
  <conditionalFormatting sqref="B1">
    <cfRule type="duplicateValues" dxfId="11" priority="3"/>
  </conditionalFormatting>
  <conditionalFormatting sqref="A105:B1048576">
    <cfRule type="duplicateValues" dxfId="10" priority="223"/>
  </conditionalFormatting>
  <conditionalFormatting sqref="B1:B1048576">
    <cfRule type="duplicateValues" dxfId="9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F34DB-9364-48EB-9A15-89282141558D}">
  <dimension ref="A1:P212"/>
  <sheetViews>
    <sheetView workbookViewId="0">
      <selection activeCell="C20" sqref="C20"/>
    </sheetView>
  </sheetViews>
  <sheetFormatPr defaultRowHeight="15" x14ac:dyDescent="0.25"/>
  <cols>
    <col min="1" max="1" width="10.5703125" bestFit="1" customWidth="1"/>
    <col min="2" max="2" width="11.42578125" bestFit="1" customWidth="1"/>
    <col min="3" max="3" width="13.5703125" bestFit="1" customWidth="1"/>
    <col min="4" max="5" width="11.42578125" bestFit="1" customWidth="1"/>
    <col min="6" max="6" width="13.5703125" bestFit="1" customWidth="1"/>
    <col min="7" max="7" width="9.42578125" bestFit="1" customWidth="1"/>
    <col min="9" max="10" width="11.42578125" bestFit="1" customWidth="1"/>
    <col min="11" max="11" width="9.42578125" bestFit="1" customWidth="1"/>
    <col min="12" max="12" width="7.42578125" bestFit="1" customWidth="1"/>
    <col min="13" max="13" width="10.85546875" style="3" bestFit="1" customWidth="1"/>
    <col min="15" max="15" width="25.140625" bestFit="1" customWidth="1"/>
    <col min="16" max="16" width="3" bestFit="1" customWidth="1"/>
    <col min="18" max="18" width="9.28515625" bestFit="1" customWidth="1"/>
  </cols>
  <sheetData>
    <row r="1" spans="1:16" ht="15.75" thickBot="1" x14ac:dyDescent="0.3">
      <c r="A1" s="37" t="s">
        <v>78</v>
      </c>
      <c r="B1" s="38"/>
      <c r="C1" s="38"/>
      <c r="D1" s="38"/>
      <c r="E1" s="38"/>
      <c r="F1" s="38"/>
      <c r="G1" s="39"/>
      <c r="I1" s="37" t="s">
        <v>82</v>
      </c>
      <c r="J1" s="38"/>
      <c r="K1" s="38"/>
      <c r="L1" s="38"/>
      <c r="M1" s="39"/>
      <c r="O1" s="4" t="s">
        <v>157</v>
      </c>
      <c r="P1" s="30">
        <f>MIN(Scenario1[crystals])</f>
        <v>3</v>
      </c>
    </row>
    <row r="2" spans="1:16" ht="15.75" thickBot="1" x14ac:dyDescent="0.3">
      <c r="A2" t="s">
        <v>59</v>
      </c>
      <c r="B2" t="s">
        <v>60</v>
      </c>
      <c r="C2" t="s">
        <v>81</v>
      </c>
      <c r="D2" t="s">
        <v>61</v>
      </c>
      <c r="E2" t="s">
        <v>62</v>
      </c>
      <c r="F2" t="s">
        <v>77</v>
      </c>
      <c r="G2" t="s">
        <v>58</v>
      </c>
      <c r="I2" t="s">
        <v>59</v>
      </c>
      <c r="J2" t="s">
        <v>60</v>
      </c>
      <c r="K2" t="s">
        <v>58</v>
      </c>
      <c r="L2" t="s">
        <v>79</v>
      </c>
      <c r="M2" s="3" t="s">
        <v>80</v>
      </c>
      <c r="O2" s="4" t="s">
        <v>107</v>
      </c>
      <c r="P2" s="30">
        <f>AVERAGE(Scenario1[crystals])</f>
        <v>9.6095238095238091</v>
      </c>
    </row>
    <row r="3" spans="1:16" ht="15.75" thickBot="1" x14ac:dyDescent="0.3">
      <c r="A3" t="s">
        <v>53</v>
      </c>
      <c r="B3" t="s">
        <v>56</v>
      </c>
      <c r="C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" t="s">
        <v>48</v>
      </c>
      <c r="E3" t="s">
        <v>33</v>
      </c>
      <c r="F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">
        <f>ScenarioStat1[[#This Row],[team-1-win]]+ScenarioStat1[[#This Row],[team-2-win]]</f>
        <v>1</v>
      </c>
      <c r="I3" t="s">
        <v>53</v>
      </c>
      <c r="J3" t="s">
        <v>56</v>
      </c>
      <c r="K3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3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8</v>
      </c>
      <c r="M3" s="3">
        <f>IF(ScenarioTeams1[[#This Row],[battles]],ScenarioTeams1[[#This Row],[wins]]/ScenarioTeams1[[#This Row],[battles]],0)</f>
        <v>0.53333333333333333</v>
      </c>
      <c r="O3" s="4" t="s">
        <v>159</v>
      </c>
      <c r="P3" s="30">
        <f>MAX(Scenario1[crystals])</f>
        <v>18</v>
      </c>
    </row>
    <row r="4" spans="1:16" ht="15.75" thickBot="1" x14ac:dyDescent="0.3">
      <c r="A4" t="s">
        <v>53</v>
      </c>
      <c r="B4" t="s">
        <v>56</v>
      </c>
      <c r="C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" t="s">
        <v>48</v>
      </c>
      <c r="E4" t="s">
        <v>43</v>
      </c>
      <c r="F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4">
        <f>ScenarioStat1[[#This Row],[team-1-win]]+ScenarioStat1[[#This Row],[team-2-win]]</f>
        <v>1</v>
      </c>
      <c r="I4" t="s">
        <v>53</v>
      </c>
      <c r="J4" t="s">
        <v>48</v>
      </c>
      <c r="K4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4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8</v>
      </c>
      <c r="M4" s="3">
        <f>IF(ScenarioTeams1[[#This Row],[battles]],ScenarioTeams1[[#This Row],[wins]]/ScenarioTeams1[[#This Row],[battles]],0)</f>
        <v>0.53333333333333333</v>
      </c>
      <c r="P4" s="7"/>
    </row>
    <row r="5" spans="1:16" ht="15.75" thickBot="1" x14ac:dyDescent="0.3">
      <c r="A5" t="s">
        <v>53</v>
      </c>
      <c r="B5" t="s">
        <v>56</v>
      </c>
      <c r="C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5" t="s">
        <v>48</v>
      </c>
      <c r="E5" t="s">
        <v>45</v>
      </c>
      <c r="F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">
        <f>ScenarioStat1[[#This Row],[team-1-win]]+ScenarioStat1[[#This Row],[team-2-win]]</f>
        <v>1</v>
      </c>
      <c r="I5" t="s">
        <v>53</v>
      </c>
      <c r="J5" t="s">
        <v>33</v>
      </c>
      <c r="K5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5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9</v>
      </c>
      <c r="M5" s="3">
        <f>IF(ScenarioTeams1[[#This Row],[battles]],ScenarioTeams1[[#This Row],[wins]]/ScenarioTeams1[[#This Row],[battles]],0)</f>
        <v>0.6</v>
      </c>
      <c r="O5" s="4" t="s">
        <v>158</v>
      </c>
      <c r="P5" s="30">
        <f>MIN(Scenario1[turns])</f>
        <v>12</v>
      </c>
    </row>
    <row r="6" spans="1:16" ht="15.75" thickBot="1" x14ac:dyDescent="0.3">
      <c r="A6" t="s">
        <v>53</v>
      </c>
      <c r="B6" t="s">
        <v>56</v>
      </c>
      <c r="C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" t="s">
        <v>48</v>
      </c>
      <c r="E6" t="s">
        <v>63</v>
      </c>
      <c r="F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">
        <f>ScenarioStat1[[#This Row],[team-1-win]]+ScenarioStat1[[#This Row],[team-2-win]]</f>
        <v>1</v>
      </c>
      <c r="I6" t="s">
        <v>53</v>
      </c>
      <c r="J6" t="s">
        <v>43</v>
      </c>
      <c r="K6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6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13</v>
      </c>
      <c r="M6" s="3">
        <f>IF(ScenarioTeams1[[#This Row],[battles]],ScenarioTeams1[[#This Row],[wins]]/ScenarioTeams1[[#This Row],[battles]],0)</f>
        <v>0.8666666666666667</v>
      </c>
      <c r="O6" s="5" t="s">
        <v>108</v>
      </c>
      <c r="P6" s="31">
        <f>AVERAGE(Scenario1[turns])</f>
        <v>27.776190476190475</v>
      </c>
    </row>
    <row r="7" spans="1:16" ht="15.75" thickBot="1" x14ac:dyDescent="0.3">
      <c r="A7" t="s">
        <v>53</v>
      </c>
      <c r="B7" t="s">
        <v>56</v>
      </c>
      <c r="C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7" t="s">
        <v>48</v>
      </c>
      <c r="E7" t="s">
        <v>38</v>
      </c>
      <c r="F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">
        <f>ScenarioStat1[[#This Row],[team-1-win]]+ScenarioStat1[[#This Row],[team-2-win]]</f>
        <v>1</v>
      </c>
      <c r="I7" t="s">
        <v>53</v>
      </c>
      <c r="J7" t="s">
        <v>45</v>
      </c>
      <c r="K7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10</v>
      </c>
      <c r="M7" s="3">
        <f>IF(ScenarioTeams1[[#This Row],[battles]],ScenarioTeams1[[#This Row],[wins]]/ScenarioTeams1[[#This Row],[battles]],0)</f>
        <v>0.66666666666666663</v>
      </c>
      <c r="O7" s="5" t="s">
        <v>160</v>
      </c>
      <c r="P7" s="31">
        <f>MAX(Scenario1[turns])</f>
        <v>52</v>
      </c>
    </row>
    <row r="8" spans="1:16" ht="15.75" thickBot="1" x14ac:dyDescent="0.3">
      <c r="A8" t="s">
        <v>53</v>
      </c>
      <c r="B8" t="s">
        <v>56</v>
      </c>
      <c r="C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8" t="s">
        <v>33</v>
      </c>
      <c r="E8" t="s">
        <v>43</v>
      </c>
      <c r="F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">
        <f>ScenarioStat1[[#This Row],[team-1-win]]+ScenarioStat1[[#This Row],[team-2-win]]</f>
        <v>1</v>
      </c>
      <c r="I8" t="s">
        <v>53</v>
      </c>
      <c r="J8" t="s">
        <v>63</v>
      </c>
      <c r="K8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8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7</v>
      </c>
      <c r="M8" s="3">
        <f>IF(ScenarioTeams1[[#This Row],[battles]],ScenarioTeams1[[#This Row],[wins]]/ScenarioTeams1[[#This Row],[battles]],0)</f>
        <v>0.46666666666666667</v>
      </c>
    </row>
    <row r="9" spans="1:16" ht="15.75" thickBot="1" x14ac:dyDescent="0.3">
      <c r="A9" t="s">
        <v>53</v>
      </c>
      <c r="B9" t="s">
        <v>56</v>
      </c>
      <c r="C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" t="s">
        <v>33</v>
      </c>
      <c r="E9" t="s">
        <v>45</v>
      </c>
      <c r="F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9">
        <f>ScenarioStat1[[#This Row],[team-1-win]]+ScenarioStat1[[#This Row],[team-2-win]]</f>
        <v>1</v>
      </c>
      <c r="I9" t="s">
        <v>53</v>
      </c>
      <c r="J9" t="s">
        <v>38</v>
      </c>
      <c r="K9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9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5</v>
      </c>
      <c r="M9" s="3">
        <f>IF(ScenarioTeams1[[#This Row],[battles]],ScenarioTeams1[[#This Row],[wins]]/ScenarioTeams1[[#This Row],[battles]],0)</f>
        <v>0.33333333333333331</v>
      </c>
      <c r="O9" s="4" t="s">
        <v>185</v>
      </c>
      <c r="P9" s="30">
        <f>120000*$P$6/1000/60</f>
        <v>55.55238095238095</v>
      </c>
    </row>
    <row r="10" spans="1:16" ht="15.75" thickBot="1" x14ac:dyDescent="0.3">
      <c r="A10" t="s">
        <v>53</v>
      </c>
      <c r="B10" t="s">
        <v>56</v>
      </c>
      <c r="C1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0" t="s">
        <v>33</v>
      </c>
      <c r="E10" t="s">
        <v>63</v>
      </c>
      <c r="F1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">
        <f>ScenarioStat1[[#This Row],[team-1-win]]+ScenarioStat1[[#This Row],[team-2-win]]</f>
        <v>1</v>
      </c>
      <c r="I10" t="s">
        <v>56</v>
      </c>
      <c r="J10" t="s">
        <v>48</v>
      </c>
      <c r="K10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0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7</v>
      </c>
      <c r="M10" s="3">
        <f>IF(ScenarioTeams1[[#This Row],[battles]],ScenarioTeams1[[#This Row],[wins]]/ScenarioTeams1[[#This Row],[battles]],0)</f>
        <v>0.46666666666666667</v>
      </c>
      <c r="O10" s="5" t="s">
        <v>186</v>
      </c>
      <c r="P10" s="31">
        <f>P9*COUNTA(ScenarioStat1[hero-1])/60/24</f>
        <v>8.1013888888888896</v>
      </c>
    </row>
    <row r="11" spans="1:16" x14ac:dyDescent="0.25">
      <c r="A11" t="s">
        <v>53</v>
      </c>
      <c r="B11" t="s">
        <v>56</v>
      </c>
      <c r="C1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1" t="s">
        <v>33</v>
      </c>
      <c r="E11" t="s">
        <v>38</v>
      </c>
      <c r="F1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">
        <f>ScenarioStat1[[#This Row],[team-1-win]]+ScenarioStat1[[#This Row],[team-2-win]]</f>
        <v>1</v>
      </c>
      <c r="I11" t="s">
        <v>56</v>
      </c>
      <c r="J11" t="s">
        <v>33</v>
      </c>
      <c r="K11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1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3</v>
      </c>
      <c r="M11" s="3">
        <f>IF(ScenarioTeams1[[#This Row],[battles]],ScenarioTeams1[[#This Row],[wins]]/ScenarioTeams1[[#This Row],[battles]],0)</f>
        <v>0.2</v>
      </c>
    </row>
    <row r="12" spans="1:16" x14ac:dyDescent="0.25">
      <c r="A12" t="s">
        <v>53</v>
      </c>
      <c r="B12" t="s">
        <v>56</v>
      </c>
      <c r="C1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" t="s">
        <v>43</v>
      </c>
      <c r="E12" t="s">
        <v>45</v>
      </c>
      <c r="F1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">
        <f>ScenarioStat1[[#This Row],[team-1-win]]+ScenarioStat1[[#This Row],[team-2-win]]</f>
        <v>1</v>
      </c>
      <c r="I12" t="s">
        <v>56</v>
      </c>
      <c r="J12" t="s">
        <v>43</v>
      </c>
      <c r="K12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2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8</v>
      </c>
      <c r="M12" s="3">
        <f>IF(ScenarioTeams1[[#This Row],[battles]],ScenarioTeams1[[#This Row],[wins]]/ScenarioTeams1[[#This Row],[battles]],0)</f>
        <v>0.53333333333333333</v>
      </c>
    </row>
    <row r="13" spans="1:16" x14ac:dyDescent="0.25">
      <c r="A13" t="s">
        <v>53</v>
      </c>
      <c r="B13" t="s">
        <v>56</v>
      </c>
      <c r="C1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" t="s">
        <v>43</v>
      </c>
      <c r="E13" t="s">
        <v>63</v>
      </c>
      <c r="F1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3">
        <f>ScenarioStat1[[#This Row],[team-1-win]]+ScenarioStat1[[#This Row],[team-2-win]]</f>
        <v>1</v>
      </c>
      <c r="I13" t="s">
        <v>56</v>
      </c>
      <c r="J13" t="s">
        <v>45</v>
      </c>
      <c r="K13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3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8</v>
      </c>
      <c r="M13" s="3">
        <f>IF(ScenarioTeams1[[#This Row],[battles]],ScenarioTeams1[[#This Row],[wins]]/ScenarioTeams1[[#This Row],[battles]],0)</f>
        <v>0.53333333333333333</v>
      </c>
    </row>
    <row r="14" spans="1:16" x14ac:dyDescent="0.25">
      <c r="A14" t="s">
        <v>53</v>
      </c>
      <c r="B14" t="s">
        <v>56</v>
      </c>
      <c r="C1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" t="s">
        <v>43</v>
      </c>
      <c r="E14" t="s">
        <v>38</v>
      </c>
      <c r="F1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4">
        <f>ScenarioStat1[[#This Row],[team-1-win]]+ScenarioStat1[[#This Row],[team-2-win]]</f>
        <v>1</v>
      </c>
      <c r="I14" t="s">
        <v>56</v>
      </c>
      <c r="J14" t="s">
        <v>63</v>
      </c>
      <c r="K14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4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11</v>
      </c>
      <c r="M14" s="3">
        <f>IF(ScenarioTeams1[[#This Row],[battles]],ScenarioTeams1[[#This Row],[wins]]/ScenarioTeams1[[#This Row],[battles]],0)</f>
        <v>0.73333333333333328</v>
      </c>
    </row>
    <row r="15" spans="1:16" x14ac:dyDescent="0.25">
      <c r="A15" t="s">
        <v>53</v>
      </c>
      <c r="B15" t="s">
        <v>56</v>
      </c>
      <c r="C1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" t="s">
        <v>45</v>
      </c>
      <c r="E15" t="s">
        <v>63</v>
      </c>
      <c r="F1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">
        <f>ScenarioStat1[[#This Row],[team-1-win]]+ScenarioStat1[[#This Row],[team-2-win]]</f>
        <v>1</v>
      </c>
      <c r="I15" t="s">
        <v>56</v>
      </c>
      <c r="J15" t="s">
        <v>38</v>
      </c>
      <c r="K15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5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5</v>
      </c>
      <c r="M15" s="3">
        <f>IF(ScenarioTeams1[[#This Row],[battles]],ScenarioTeams1[[#This Row],[wins]]/ScenarioTeams1[[#This Row],[battles]],0)</f>
        <v>0.33333333333333331</v>
      </c>
    </row>
    <row r="16" spans="1:16" x14ac:dyDescent="0.25">
      <c r="A16" t="s">
        <v>53</v>
      </c>
      <c r="B16" t="s">
        <v>56</v>
      </c>
      <c r="C1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6" t="s">
        <v>45</v>
      </c>
      <c r="E16" t="s">
        <v>38</v>
      </c>
      <c r="F1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">
        <f>ScenarioStat1[[#This Row],[team-1-win]]+ScenarioStat1[[#This Row],[team-2-win]]</f>
        <v>1</v>
      </c>
      <c r="I16" t="s">
        <v>48</v>
      </c>
      <c r="J16" t="s">
        <v>33</v>
      </c>
      <c r="K16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6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4</v>
      </c>
      <c r="M16" s="3">
        <f>IF(ScenarioTeams1[[#This Row],[battles]],ScenarioTeams1[[#This Row],[wins]]/ScenarioTeams1[[#This Row],[battles]],0)</f>
        <v>0.26666666666666666</v>
      </c>
    </row>
    <row r="17" spans="1:13" x14ac:dyDescent="0.25">
      <c r="A17" t="s">
        <v>53</v>
      </c>
      <c r="B17" t="s">
        <v>56</v>
      </c>
      <c r="C1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" t="s">
        <v>63</v>
      </c>
      <c r="E17" t="s">
        <v>38</v>
      </c>
      <c r="F1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">
        <f>ScenarioStat1[[#This Row],[team-1-win]]+ScenarioStat1[[#This Row],[team-2-win]]</f>
        <v>1</v>
      </c>
      <c r="I17" t="s">
        <v>48</v>
      </c>
      <c r="J17" t="s">
        <v>43</v>
      </c>
      <c r="K17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11</v>
      </c>
      <c r="M17" s="3">
        <f>IF(ScenarioTeams1[[#This Row],[battles]],ScenarioTeams1[[#This Row],[wins]]/ScenarioTeams1[[#This Row],[battles]],0)</f>
        <v>0.73333333333333328</v>
      </c>
    </row>
    <row r="18" spans="1:13" x14ac:dyDescent="0.25">
      <c r="A18" t="s">
        <v>53</v>
      </c>
      <c r="B18" t="s">
        <v>48</v>
      </c>
      <c r="C1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8" t="s">
        <v>56</v>
      </c>
      <c r="E18" t="s">
        <v>33</v>
      </c>
      <c r="F1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">
        <f>ScenarioStat1[[#This Row],[team-1-win]]+ScenarioStat1[[#This Row],[team-2-win]]</f>
        <v>1</v>
      </c>
      <c r="I18" t="s">
        <v>48</v>
      </c>
      <c r="J18" t="s">
        <v>45</v>
      </c>
      <c r="K18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8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7</v>
      </c>
      <c r="M18" s="3">
        <f>IF(ScenarioTeams1[[#This Row],[battles]],ScenarioTeams1[[#This Row],[wins]]/ScenarioTeams1[[#This Row],[battles]],0)</f>
        <v>0.46666666666666667</v>
      </c>
    </row>
    <row r="19" spans="1:13" x14ac:dyDescent="0.25">
      <c r="A19" t="s">
        <v>53</v>
      </c>
      <c r="B19" t="s">
        <v>48</v>
      </c>
      <c r="C1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9" t="s">
        <v>56</v>
      </c>
      <c r="E19" t="s">
        <v>43</v>
      </c>
      <c r="F1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">
        <f>ScenarioStat1[[#This Row],[team-1-win]]+ScenarioStat1[[#This Row],[team-2-win]]</f>
        <v>1</v>
      </c>
      <c r="I19" t="s">
        <v>48</v>
      </c>
      <c r="J19" t="s">
        <v>63</v>
      </c>
      <c r="K19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9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4</v>
      </c>
      <c r="M19" s="3">
        <f>IF(ScenarioTeams1[[#This Row],[battles]],ScenarioTeams1[[#This Row],[wins]]/ScenarioTeams1[[#This Row],[battles]],0)</f>
        <v>0.26666666666666666</v>
      </c>
    </row>
    <row r="20" spans="1:13" x14ac:dyDescent="0.25">
      <c r="A20" t="s">
        <v>53</v>
      </c>
      <c r="B20" t="s">
        <v>48</v>
      </c>
      <c r="C2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" t="s">
        <v>56</v>
      </c>
      <c r="E20" t="s">
        <v>45</v>
      </c>
      <c r="F2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">
        <f>ScenarioStat1[[#This Row],[team-1-win]]+ScenarioStat1[[#This Row],[team-2-win]]</f>
        <v>1</v>
      </c>
      <c r="I20" t="s">
        <v>48</v>
      </c>
      <c r="J20" t="s">
        <v>38</v>
      </c>
      <c r="K20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0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9</v>
      </c>
      <c r="M20" s="3">
        <f>IF(ScenarioTeams1[[#This Row],[battles]],ScenarioTeams1[[#This Row],[wins]]/ScenarioTeams1[[#This Row],[battles]],0)</f>
        <v>0.6</v>
      </c>
    </row>
    <row r="21" spans="1:13" x14ac:dyDescent="0.25">
      <c r="A21" t="s">
        <v>53</v>
      </c>
      <c r="B21" t="s">
        <v>48</v>
      </c>
      <c r="C2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1" t="s">
        <v>56</v>
      </c>
      <c r="E21" t="s">
        <v>63</v>
      </c>
      <c r="F2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1">
        <f>ScenarioStat1[[#This Row],[team-1-win]]+ScenarioStat1[[#This Row],[team-2-win]]</f>
        <v>1</v>
      </c>
      <c r="I21" t="s">
        <v>33</v>
      </c>
      <c r="J21" t="s">
        <v>43</v>
      </c>
      <c r="K21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1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5</v>
      </c>
      <c r="M21" s="3">
        <f>IF(ScenarioTeams1[[#This Row],[battles]],ScenarioTeams1[[#This Row],[wins]]/ScenarioTeams1[[#This Row],[battles]],0)</f>
        <v>0.33333333333333331</v>
      </c>
    </row>
    <row r="22" spans="1:13" x14ac:dyDescent="0.25">
      <c r="A22" t="s">
        <v>53</v>
      </c>
      <c r="B22" t="s">
        <v>48</v>
      </c>
      <c r="C2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2" t="s">
        <v>56</v>
      </c>
      <c r="E22" t="s">
        <v>38</v>
      </c>
      <c r="F2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2">
        <f>ScenarioStat1[[#This Row],[team-1-win]]+ScenarioStat1[[#This Row],[team-2-win]]</f>
        <v>1</v>
      </c>
      <c r="I22" t="s">
        <v>33</v>
      </c>
      <c r="J22" t="s">
        <v>45</v>
      </c>
      <c r="K22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2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6</v>
      </c>
      <c r="M22" s="3">
        <f>IF(ScenarioTeams1[[#This Row],[battles]],ScenarioTeams1[[#This Row],[wins]]/ScenarioTeams1[[#This Row],[battles]],0)</f>
        <v>0.4</v>
      </c>
    </row>
    <row r="23" spans="1:13" x14ac:dyDescent="0.25">
      <c r="A23" t="s">
        <v>53</v>
      </c>
      <c r="B23" t="s">
        <v>48</v>
      </c>
      <c r="C2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3" t="s">
        <v>33</v>
      </c>
      <c r="E23" t="s">
        <v>43</v>
      </c>
      <c r="F2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3">
        <f>ScenarioStat1[[#This Row],[team-1-win]]+ScenarioStat1[[#This Row],[team-2-win]]</f>
        <v>1</v>
      </c>
      <c r="I23" t="s">
        <v>33</v>
      </c>
      <c r="J23" t="s">
        <v>63</v>
      </c>
      <c r="K23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3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7</v>
      </c>
      <c r="M23" s="3">
        <f>IF(ScenarioTeams1[[#This Row],[battles]],ScenarioTeams1[[#This Row],[wins]]/ScenarioTeams1[[#This Row],[battles]],0)</f>
        <v>0.46666666666666667</v>
      </c>
    </row>
    <row r="24" spans="1:13" x14ac:dyDescent="0.25">
      <c r="A24" t="s">
        <v>53</v>
      </c>
      <c r="B24" t="s">
        <v>48</v>
      </c>
      <c r="C2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4" t="s">
        <v>33</v>
      </c>
      <c r="E24" t="s">
        <v>45</v>
      </c>
      <c r="F2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4">
        <f>ScenarioStat1[[#This Row],[team-1-win]]+ScenarioStat1[[#This Row],[team-2-win]]</f>
        <v>1</v>
      </c>
      <c r="I24" t="s">
        <v>33</v>
      </c>
      <c r="J24" t="s">
        <v>38</v>
      </c>
      <c r="K24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4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6</v>
      </c>
      <c r="M24" s="3">
        <f>IF(ScenarioTeams1[[#This Row],[battles]],ScenarioTeams1[[#This Row],[wins]]/ScenarioTeams1[[#This Row],[battles]],0)</f>
        <v>0.4</v>
      </c>
    </row>
    <row r="25" spans="1:13" x14ac:dyDescent="0.25">
      <c r="A25" t="s">
        <v>53</v>
      </c>
      <c r="B25" t="s">
        <v>48</v>
      </c>
      <c r="C2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5" t="s">
        <v>33</v>
      </c>
      <c r="E25" t="s">
        <v>63</v>
      </c>
      <c r="F2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5">
        <f>ScenarioStat1[[#This Row],[team-1-win]]+ScenarioStat1[[#This Row],[team-2-win]]</f>
        <v>1</v>
      </c>
      <c r="I25" t="s">
        <v>43</v>
      </c>
      <c r="J25" t="s">
        <v>45</v>
      </c>
      <c r="K25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5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9</v>
      </c>
      <c r="M25" s="3">
        <f>IF(ScenarioTeams1[[#This Row],[battles]],ScenarioTeams1[[#This Row],[wins]]/ScenarioTeams1[[#This Row],[battles]],0)</f>
        <v>0.6</v>
      </c>
    </row>
    <row r="26" spans="1:13" x14ac:dyDescent="0.25">
      <c r="A26" t="s">
        <v>53</v>
      </c>
      <c r="B26" t="s">
        <v>48</v>
      </c>
      <c r="C2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6" t="s">
        <v>33</v>
      </c>
      <c r="E26" t="s">
        <v>38</v>
      </c>
      <c r="F2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6">
        <f>ScenarioStat1[[#This Row],[team-1-win]]+ScenarioStat1[[#This Row],[team-2-win]]</f>
        <v>1</v>
      </c>
      <c r="I26" t="s">
        <v>43</v>
      </c>
      <c r="J26" t="s">
        <v>63</v>
      </c>
      <c r="K26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6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7</v>
      </c>
      <c r="M26" s="3">
        <f>IF(ScenarioTeams1[[#This Row],[battles]],ScenarioTeams1[[#This Row],[wins]]/ScenarioTeams1[[#This Row],[battles]],0)</f>
        <v>0.46666666666666667</v>
      </c>
    </row>
    <row r="27" spans="1:13" x14ac:dyDescent="0.25">
      <c r="A27" t="s">
        <v>53</v>
      </c>
      <c r="B27" t="s">
        <v>48</v>
      </c>
      <c r="C2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7" t="s">
        <v>43</v>
      </c>
      <c r="E27" t="s">
        <v>45</v>
      </c>
      <c r="F2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7">
        <f>ScenarioStat1[[#This Row],[team-1-win]]+ScenarioStat1[[#This Row],[team-2-win]]</f>
        <v>1</v>
      </c>
      <c r="I27" t="s">
        <v>43</v>
      </c>
      <c r="J27" t="s">
        <v>38</v>
      </c>
      <c r="K27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9</v>
      </c>
      <c r="M27" s="3">
        <f>IF(ScenarioTeams1[[#This Row],[battles]],ScenarioTeams1[[#This Row],[wins]]/ScenarioTeams1[[#This Row],[battles]],0)</f>
        <v>0.6</v>
      </c>
    </row>
    <row r="28" spans="1:13" x14ac:dyDescent="0.25">
      <c r="A28" t="s">
        <v>53</v>
      </c>
      <c r="B28" t="s">
        <v>48</v>
      </c>
      <c r="C2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8" t="s">
        <v>43</v>
      </c>
      <c r="E28" t="s">
        <v>63</v>
      </c>
      <c r="F2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8">
        <f>ScenarioStat1[[#This Row],[team-1-win]]+ScenarioStat1[[#This Row],[team-2-win]]</f>
        <v>1</v>
      </c>
      <c r="I28" t="s">
        <v>45</v>
      </c>
      <c r="J28" t="s">
        <v>63</v>
      </c>
      <c r="K28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8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8</v>
      </c>
      <c r="M28" s="3">
        <f>IF(ScenarioTeams1[[#This Row],[battles]],ScenarioTeams1[[#This Row],[wins]]/ScenarioTeams1[[#This Row],[battles]],0)</f>
        <v>0.53333333333333333</v>
      </c>
    </row>
    <row r="29" spans="1:13" x14ac:dyDescent="0.25">
      <c r="A29" t="s">
        <v>53</v>
      </c>
      <c r="B29" t="s">
        <v>48</v>
      </c>
      <c r="C2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9" t="s">
        <v>43</v>
      </c>
      <c r="E29" t="s">
        <v>38</v>
      </c>
      <c r="F2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9">
        <f>ScenarioStat1[[#This Row],[team-1-win]]+ScenarioStat1[[#This Row],[team-2-win]]</f>
        <v>1</v>
      </c>
      <c r="I29" t="s">
        <v>45</v>
      </c>
      <c r="J29" t="s">
        <v>38</v>
      </c>
      <c r="K29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9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7</v>
      </c>
      <c r="M29" s="3">
        <f>IF(ScenarioTeams1[[#This Row],[battles]],ScenarioTeams1[[#This Row],[wins]]/ScenarioTeams1[[#This Row],[battles]],0)</f>
        <v>0.46666666666666667</v>
      </c>
    </row>
    <row r="30" spans="1:13" x14ac:dyDescent="0.25">
      <c r="A30" t="s">
        <v>53</v>
      </c>
      <c r="B30" t="s">
        <v>48</v>
      </c>
      <c r="C3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0" t="s">
        <v>45</v>
      </c>
      <c r="E30" t="s">
        <v>63</v>
      </c>
      <c r="F3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0">
        <f>ScenarioStat1[[#This Row],[team-1-win]]+ScenarioStat1[[#This Row],[team-2-win]]</f>
        <v>1</v>
      </c>
      <c r="I30" t="s">
        <v>63</v>
      </c>
      <c r="J30" t="s">
        <v>38</v>
      </c>
      <c r="K30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30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9</v>
      </c>
      <c r="M30" s="3">
        <f>IF(ScenarioTeams1[[#This Row],[battles]],ScenarioTeams1[[#This Row],[wins]]/ScenarioTeams1[[#This Row],[battles]],0)</f>
        <v>0.6</v>
      </c>
    </row>
    <row r="31" spans="1:13" x14ac:dyDescent="0.25">
      <c r="A31" t="s">
        <v>53</v>
      </c>
      <c r="B31" t="s">
        <v>48</v>
      </c>
      <c r="C3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1" t="s">
        <v>45</v>
      </c>
      <c r="E31" t="s">
        <v>38</v>
      </c>
      <c r="F3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1">
        <f>ScenarioStat1[[#This Row],[team-1-win]]+ScenarioStat1[[#This Row],[team-2-win]]</f>
        <v>1</v>
      </c>
    </row>
    <row r="32" spans="1:13" x14ac:dyDescent="0.25">
      <c r="A32" t="s">
        <v>53</v>
      </c>
      <c r="B32" t="s">
        <v>48</v>
      </c>
      <c r="C3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2" t="s">
        <v>63</v>
      </c>
      <c r="E32" t="s">
        <v>38</v>
      </c>
      <c r="F3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2">
        <f>ScenarioStat1[[#This Row],[team-1-win]]+ScenarioStat1[[#This Row],[team-2-win]]</f>
        <v>1</v>
      </c>
    </row>
    <row r="33" spans="1:7" x14ac:dyDescent="0.25">
      <c r="A33" t="s">
        <v>53</v>
      </c>
      <c r="B33" t="s">
        <v>33</v>
      </c>
      <c r="C3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3" t="s">
        <v>56</v>
      </c>
      <c r="E33" t="s">
        <v>48</v>
      </c>
      <c r="F3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3">
        <f>ScenarioStat1[[#This Row],[team-1-win]]+ScenarioStat1[[#This Row],[team-2-win]]</f>
        <v>1</v>
      </c>
    </row>
    <row r="34" spans="1:7" x14ac:dyDescent="0.25">
      <c r="A34" t="s">
        <v>53</v>
      </c>
      <c r="B34" t="s">
        <v>33</v>
      </c>
      <c r="C3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4" t="s">
        <v>56</v>
      </c>
      <c r="E34" t="s">
        <v>43</v>
      </c>
      <c r="F3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4">
        <f>ScenarioStat1[[#This Row],[team-1-win]]+ScenarioStat1[[#This Row],[team-2-win]]</f>
        <v>1</v>
      </c>
    </row>
    <row r="35" spans="1:7" x14ac:dyDescent="0.25">
      <c r="A35" t="s">
        <v>53</v>
      </c>
      <c r="B35" t="s">
        <v>33</v>
      </c>
      <c r="C3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5" t="s">
        <v>56</v>
      </c>
      <c r="E35" t="s">
        <v>45</v>
      </c>
      <c r="F3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5">
        <f>ScenarioStat1[[#This Row],[team-1-win]]+ScenarioStat1[[#This Row],[team-2-win]]</f>
        <v>1</v>
      </c>
    </row>
    <row r="36" spans="1:7" x14ac:dyDescent="0.25">
      <c r="A36" t="s">
        <v>53</v>
      </c>
      <c r="B36" t="s">
        <v>33</v>
      </c>
      <c r="C3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6" t="s">
        <v>56</v>
      </c>
      <c r="E36" t="s">
        <v>63</v>
      </c>
      <c r="F3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6">
        <f>ScenarioStat1[[#This Row],[team-1-win]]+ScenarioStat1[[#This Row],[team-2-win]]</f>
        <v>1</v>
      </c>
    </row>
    <row r="37" spans="1:7" x14ac:dyDescent="0.25">
      <c r="A37" t="s">
        <v>53</v>
      </c>
      <c r="B37" t="s">
        <v>33</v>
      </c>
      <c r="C3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7" t="s">
        <v>56</v>
      </c>
      <c r="E37" t="s">
        <v>38</v>
      </c>
      <c r="F3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7">
        <f>ScenarioStat1[[#This Row],[team-1-win]]+ScenarioStat1[[#This Row],[team-2-win]]</f>
        <v>1</v>
      </c>
    </row>
    <row r="38" spans="1:7" x14ac:dyDescent="0.25">
      <c r="A38" t="s">
        <v>53</v>
      </c>
      <c r="B38" t="s">
        <v>33</v>
      </c>
      <c r="C3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8" t="s">
        <v>48</v>
      </c>
      <c r="E38" t="s">
        <v>43</v>
      </c>
      <c r="F3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8">
        <f>ScenarioStat1[[#This Row],[team-1-win]]+ScenarioStat1[[#This Row],[team-2-win]]</f>
        <v>1</v>
      </c>
    </row>
    <row r="39" spans="1:7" x14ac:dyDescent="0.25">
      <c r="A39" t="s">
        <v>53</v>
      </c>
      <c r="B39" t="s">
        <v>33</v>
      </c>
      <c r="C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9" t="s">
        <v>48</v>
      </c>
      <c r="E39" t="s">
        <v>45</v>
      </c>
      <c r="F3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9">
        <f>ScenarioStat1[[#This Row],[team-1-win]]+ScenarioStat1[[#This Row],[team-2-win]]</f>
        <v>1</v>
      </c>
    </row>
    <row r="40" spans="1:7" x14ac:dyDescent="0.25">
      <c r="A40" t="s">
        <v>53</v>
      </c>
      <c r="B40" t="s">
        <v>33</v>
      </c>
      <c r="C4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0" t="s">
        <v>48</v>
      </c>
      <c r="E40" t="s">
        <v>63</v>
      </c>
      <c r="F4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0">
        <f>ScenarioStat1[[#This Row],[team-1-win]]+ScenarioStat1[[#This Row],[team-2-win]]</f>
        <v>1</v>
      </c>
    </row>
    <row r="41" spans="1:7" x14ac:dyDescent="0.25">
      <c r="A41" t="s">
        <v>53</v>
      </c>
      <c r="B41" t="s">
        <v>33</v>
      </c>
      <c r="C4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1" t="s">
        <v>48</v>
      </c>
      <c r="E41" t="s">
        <v>38</v>
      </c>
      <c r="F4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41">
        <f>ScenarioStat1[[#This Row],[team-1-win]]+ScenarioStat1[[#This Row],[team-2-win]]</f>
        <v>1</v>
      </c>
    </row>
    <row r="42" spans="1:7" x14ac:dyDescent="0.25">
      <c r="A42" t="s">
        <v>53</v>
      </c>
      <c r="B42" t="s">
        <v>33</v>
      </c>
      <c r="C4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2" t="s">
        <v>43</v>
      </c>
      <c r="E42" t="s">
        <v>45</v>
      </c>
      <c r="F4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42">
        <f>ScenarioStat1[[#This Row],[team-1-win]]+ScenarioStat1[[#This Row],[team-2-win]]</f>
        <v>1</v>
      </c>
    </row>
    <row r="43" spans="1:7" x14ac:dyDescent="0.25">
      <c r="A43" t="s">
        <v>53</v>
      </c>
      <c r="B43" t="s">
        <v>33</v>
      </c>
      <c r="C4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3" t="s">
        <v>43</v>
      </c>
      <c r="E43" t="s">
        <v>63</v>
      </c>
      <c r="F4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3">
        <f>ScenarioStat1[[#This Row],[team-1-win]]+ScenarioStat1[[#This Row],[team-2-win]]</f>
        <v>1</v>
      </c>
    </row>
    <row r="44" spans="1:7" x14ac:dyDescent="0.25">
      <c r="A44" t="s">
        <v>53</v>
      </c>
      <c r="B44" t="s">
        <v>33</v>
      </c>
      <c r="C4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4" t="s">
        <v>43</v>
      </c>
      <c r="E44" t="s">
        <v>38</v>
      </c>
      <c r="F4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4">
        <f>ScenarioStat1[[#This Row],[team-1-win]]+ScenarioStat1[[#This Row],[team-2-win]]</f>
        <v>1</v>
      </c>
    </row>
    <row r="45" spans="1:7" x14ac:dyDescent="0.25">
      <c r="A45" t="s">
        <v>53</v>
      </c>
      <c r="B45" t="s">
        <v>33</v>
      </c>
      <c r="C4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5" t="s">
        <v>45</v>
      </c>
      <c r="E45" t="s">
        <v>63</v>
      </c>
      <c r="F4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5">
        <f>ScenarioStat1[[#This Row],[team-1-win]]+ScenarioStat1[[#This Row],[team-2-win]]</f>
        <v>1</v>
      </c>
    </row>
    <row r="46" spans="1:7" x14ac:dyDescent="0.25">
      <c r="A46" t="s">
        <v>53</v>
      </c>
      <c r="B46" t="s">
        <v>33</v>
      </c>
      <c r="C4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6" t="s">
        <v>45</v>
      </c>
      <c r="E46" t="s">
        <v>38</v>
      </c>
      <c r="F4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46">
        <f>ScenarioStat1[[#This Row],[team-1-win]]+ScenarioStat1[[#This Row],[team-2-win]]</f>
        <v>1</v>
      </c>
    </row>
    <row r="47" spans="1:7" x14ac:dyDescent="0.25">
      <c r="A47" t="s">
        <v>53</v>
      </c>
      <c r="B47" t="s">
        <v>33</v>
      </c>
      <c r="C4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7" t="s">
        <v>63</v>
      </c>
      <c r="E47" t="s">
        <v>38</v>
      </c>
      <c r="F4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7">
        <f>ScenarioStat1[[#This Row],[team-1-win]]+ScenarioStat1[[#This Row],[team-2-win]]</f>
        <v>1</v>
      </c>
    </row>
    <row r="48" spans="1:7" x14ac:dyDescent="0.25">
      <c r="A48" t="s">
        <v>53</v>
      </c>
      <c r="B48" t="s">
        <v>43</v>
      </c>
      <c r="C4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8" t="s">
        <v>56</v>
      </c>
      <c r="E48" t="s">
        <v>48</v>
      </c>
      <c r="F4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8">
        <f>ScenarioStat1[[#This Row],[team-1-win]]+ScenarioStat1[[#This Row],[team-2-win]]</f>
        <v>1</v>
      </c>
    </row>
    <row r="49" spans="1:7" x14ac:dyDescent="0.25">
      <c r="A49" t="s">
        <v>53</v>
      </c>
      <c r="B49" t="s">
        <v>43</v>
      </c>
      <c r="C4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9" t="s">
        <v>56</v>
      </c>
      <c r="E49" t="s">
        <v>33</v>
      </c>
      <c r="F4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9">
        <f>ScenarioStat1[[#This Row],[team-1-win]]+ScenarioStat1[[#This Row],[team-2-win]]</f>
        <v>1</v>
      </c>
    </row>
    <row r="50" spans="1:7" x14ac:dyDescent="0.25">
      <c r="A50" t="s">
        <v>53</v>
      </c>
      <c r="B50" t="s">
        <v>43</v>
      </c>
      <c r="C5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50" t="s">
        <v>56</v>
      </c>
      <c r="E50" t="s">
        <v>45</v>
      </c>
      <c r="F5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0">
        <f>ScenarioStat1[[#This Row],[team-1-win]]+ScenarioStat1[[#This Row],[team-2-win]]</f>
        <v>1</v>
      </c>
    </row>
    <row r="51" spans="1:7" x14ac:dyDescent="0.25">
      <c r="A51" t="s">
        <v>53</v>
      </c>
      <c r="B51" t="s">
        <v>43</v>
      </c>
      <c r="C5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51" t="s">
        <v>56</v>
      </c>
      <c r="E51" t="s">
        <v>63</v>
      </c>
      <c r="F5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1">
        <f>ScenarioStat1[[#This Row],[team-1-win]]+ScenarioStat1[[#This Row],[team-2-win]]</f>
        <v>1</v>
      </c>
    </row>
    <row r="52" spans="1:7" x14ac:dyDescent="0.25">
      <c r="A52" t="s">
        <v>53</v>
      </c>
      <c r="B52" t="s">
        <v>43</v>
      </c>
      <c r="C5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2" t="s">
        <v>56</v>
      </c>
      <c r="E52" t="s">
        <v>38</v>
      </c>
      <c r="F5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52">
        <f>ScenarioStat1[[#This Row],[team-1-win]]+ScenarioStat1[[#This Row],[team-2-win]]</f>
        <v>1</v>
      </c>
    </row>
    <row r="53" spans="1:7" x14ac:dyDescent="0.25">
      <c r="A53" t="s">
        <v>53</v>
      </c>
      <c r="B53" t="s">
        <v>43</v>
      </c>
      <c r="C5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53" t="s">
        <v>48</v>
      </c>
      <c r="E53" t="s">
        <v>33</v>
      </c>
      <c r="F5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3">
        <f>ScenarioStat1[[#This Row],[team-1-win]]+ScenarioStat1[[#This Row],[team-2-win]]</f>
        <v>1</v>
      </c>
    </row>
    <row r="54" spans="1:7" x14ac:dyDescent="0.25">
      <c r="A54" t="s">
        <v>53</v>
      </c>
      <c r="B54" t="s">
        <v>43</v>
      </c>
      <c r="C5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54" t="s">
        <v>48</v>
      </c>
      <c r="E54" t="s">
        <v>45</v>
      </c>
      <c r="F5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4">
        <f>ScenarioStat1[[#This Row],[team-1-win]]+ScenarioStat1[[#This Row],[team-2-win]]</f>
        <v>1</v>
      </c>
    </row>
    <row r="55" spans="1:7" x14ac:dyDescent="0.25">
      <c r="A55" t="s">
        <v>53</v>
      </c>
      <c r="B55" t="s">
        <v>43</v>
      </c>
      <c r="C5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55" t="s">
        <v>48</v>
      </c>
      <c r="E55" t="s">
        <v>63</v>
      </c>
      <c r="F5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5">
        <f>ScenarioStat1[[#This Row],[team-1-win]]+ScenarioStat1[[#This Row],[team-2-win]]</f>
        <v>1</v>
      </c>
    </row>
    <row r="56" spans="1:7" x14ac:dyDescent="0.25">
      <c r="A56" t="s">
        <v>53</v>
      </c>
      <c r="B56" t="s">
        <v>43</v>
      </c>
      <c r="C5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56" t="s">
        <v>48</v>
      </c>
      <c r="E56" t="s">
        <v>38</v>
      </c>
      <c r="F5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6">
        <f>ScenarioStat1[[#This Row],[team-1-win]]+ScenarioStat1[[#This Row],[team-2-win]]</f>
        <v>1</v>
      </c>
    </row>
    <row r="57" spans="1:7" x14ac:dyDescent="0.25">
      <c r="A57" t="s">
        <v>53</v>
      </c>
      <c r="B57" t="s">
        <v>43</v>
      </c>
      <c r="C5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57" t="s">
        <v>33</v>
      </c>
      <c r="E57" t="s">
        <v>45</v>
      </c>
      <c r="F5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7">
        <f>ScenarioStat1[[#This Row],[team-1-win]]+ScenarioStat1[[#This Row],[team-2-win]]</f>
        <v>1</v>
      </c>
    </row>
    <row r="58" spans="1:7" x14ac:dyDescent="0.25">
      <c r="A58" t="s">
        <v>53</v>
      </c>
      <c r="B58" t="s">
        <v>43</v>
      </c>
      <c r="C5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58" t="s">
        <v>33</v>
      </c>
      <c r="E58" t="s">
        <v>63</v>
      </c>
      <c r="F5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8">
        <f>ScenarioStat1[[#This Row],[team-1-win]]+ScenarioStat1[[#This Row],[team-2-win]]</f>
        <v>1</v>
      </c>
    </row>
    <row r="59" spans="1:7" x14ac:dyDescent="0.25">
      <c r="A59" t="s">
        <v>53</v>
      </c>
      <c r="B59" t="s">
        <v>43</v>
      </c>
      <c r="C5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9" t="s">
        <v>33</v>
      </c>
      <c r="E59" t="s">
        <v>38</v>
      </c>
      <c r="F5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59">
        <f>ScenarioStat1[[#This Row],[team-1-win]]+ScenarioStat1[[#This Row],[team-2-win]]</f>
        <v>1</v>
      </c>
    </row>
    <row r="60" spans="1:7" x14ac:dyDescent="0.25">
      <c r="A60" t="s">
        <v>53</v>
      </c>
      <c r="B60" t="s">
        <v>43</v>
      </c>
      <c r="C6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0" t="s">
        <v>45</v>
      </c>
      <c r="E60" t="s">
        <v>63</v>
      </c>
      <c r="F6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0">
        <f>ScenarioStat1[[#This Row],[team-1-win]]+ScenarioStat1[[#This Row],[team-2-win]]</f>
        <v>1</v>
      </c>
    </row>
    <row r="61" spans="1:7" x14ac:dyDescent="0.25">
      <c r="A61" t="s">
        <v>53</v>
      </c>
      <c r="B61" t="s">
        <v>43</v>
      </c>
      <c r="C6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1" t="s">
        <v>45</v>
      </c>
      <c r="E61" t="s">
        <v>38</v>
      </c>
      <c r="F6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1">
        <f>ScenarioStat1[[#This Row],[team-1-win]]+ScenarioStat1[[#This Row],[team-2-win]]</f>
        <v>1</v>
      </c>
    </row>
    <row r="62" spans="1:7" x14ac:dyDescent="0.25">
      <c r="A62" t="s">
        <v>53</v>
      </c>
      <c r="B62" t="s">
        <v>43</v>
      </c>
      <c r="C6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2" t="s">
        <v>63</v>
      </c>
      <c r="E62" t="s">
        <v>38</v>
      </c>
      <c r="F6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2">
        <f>ScenarioStat1[[#This Row],[team-1-win]]+ScenarioStat1[[#This Row],[team-2-win]]</f>
        <v>1</v>
      </c>
    </row>
    <row r="63" spans="1:7" x14ac:dyDescent="0.25">
      <c r="A63" t="s">
        <v>53</v>
      </c>
      <c r="B63" t="s">
        <v>45</v>
      </c>
      <c r="C6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3" t="s">
        <v>56</v>
      </c>
      <c r="E63" t="s">
        <v>48</v>
      </c>
      <c r="F6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3">
        <f>ScenarioStat1[[#This Row],[team-1-win]]+ScenarioStat1[[#This Row],[team-2-win]]</f>
        <v>1</v>
      </c>
    </row>
    <row r="64" spans="1:7" x14ac:dyDescent="0.25">
      <c r="A64" t="s">
        <v>53</v>
      </c>
      <c r="B64" t="s">
        <v>45</v>
      </c>
      <c r="C6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4" t="s">
        <v>56</v>
      </c>
      <c r="E64" t="s">
        <v>33</v>
      </c>
      <c r="F6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4">
        <f>ScenarioStat1[[#This Row],[team-1-win]]+ScenarioStat1[[#This Row],[team-2-win]]</f>
        <v>1</v>
      </c>
    </row>
    <row r="65" spans="1:7" x14ac:dyDescent="0.25">
      <c r="A65" t="s">
        <v>53</v>
      </c>
      <c r="B65" t="s">
        <v>45</v>
      </c>
      <c r="C6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5" t="s">
        <v>56</v>
      </c>
      <c r="E65" t="s">
        <v>43</v>
      </c>
      <c r="F6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5">
        <f>ScenarioStat1[[#This Row],[team-1-win]]+ScenarioStat1[[#This Row],[team-2-win]]</f>
        <v>1</v>
      </c>
    </row>
    <row r="66" spans="1:7" x14ac:dyDescent="0.25">
      <c r="A66" t="s">
        <v>53</v>
      </c>
      <c r="B66" t="s">
        <v>45</v>
      </c>
      <c r="C6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6" t="s">
        <v>56</v>
      </c>
      <c r="E66" t="s">
        <v>63</v>
      </c>
      <c r="F6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66">
        <f>ScenarioStat1[[#This Row],[team-1-win]]+ScenarioStat1[[#This Row],[team-2-win]]</f>
        <v>1</v>
      </c>
    </row>
    <row r="67" spans="1:7" x14ac:dyDescent="0.25">
      <c r="A67" t="s">
        <v>53</v>
      </c>
      <c r="B67" t="s">
        <v>45</v>
      </c>
      <c r="C6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7" t="s">
        <v>56</v>
      </c>
      <c r="E67" t="s">
        <v>38</v>
      </c>
      <c r="F6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7">
        <f>ScenarioStat1[[#This Row],[team-1-win]]+ScenarioStat1[[#This Row],[team-2-win]]</f>
        <v>1</v>
      </c>
    </row>
    <row r="68" spans="1:7" x14ac:dyDescent="0.25">
      <c r="A68" t="s">
        <v>53</v>
      </c>
      <c r="B68" t="s">
        <v>45</v>
      </c>
      <c r="C6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8" t="s">
        <v>48</v>
      </c>
      <c r="E68" t="s">
        <v>33</v>
      </c>
      <c r="F6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8">
        <f>ScenarioStat1[[#This Row],[team-1-win]]+ScenarioStat1[[#This Row],[team-2-win]]</f>
        <v>1</v>
      </c>
    </row>
    <row r="69" spans="1:7" x14ac:dyDescent="0.25">
      <c r="A69" t="s">
        <v>53</v>
      </c>
      <c r="B69" t="s">
        <v>45</v>
      </c>
      <c r="C6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9" t="s">
        <v>48</v>
      </c>
      <c r="E69" t="s">
        <v>43</v>
      </c>
      <c r="F6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69">
        <f>ScenarioStat1[[#This Row],[team-1-win]]+ScenarioStat1[[#This Row],[team-2-win]]</f>
        <v>1</v>
      </c>
    </row>
    <row r="70" spans="1:7" x14ac:dyDescent="0.25">
      <c r="A70" t="s">
        <v>53</v>
      </c>
      <c r="B70" t="s">
        <v>45</v>
      </c>
      <c r="C7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70" t="s">
        <v>48</v>
      </c>
      <c r="E70" t="s">
        <v>63</v>
      </c>
      <c r="F7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0">
        <f>ScenarioStat1[[#This Row],[team-1-win]]+ScenarioStat1[[#This Row],[team-2-win]]</f>
        <v>1</v>
      </c>
    </row>
    <row r="71" spans="1:7" x14ac:dyDescent="0.25">
      <c r="A71" t="s">
        <v>53</v>
      </c>
      <c r="B71" t="s">
        <v>45</v>
      </c>
      <c r="C7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1" t="s">
        <v>48</v>
      </c>
      <c r="E71" t="s">
        <v>38</v>
      </c>
      <c r="F7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71">
        <f>ScenarioStat1[[#This Row],[team-1-win]]+ScenarioStat1[[#This Row],[team-2-win]]</f>
        <v>1</v>
      </c>
    </row>
    <row r="72" spans="1:7" x14ac:dyDescent="0.25">
      <c r="A72" t="s">
        <v>53</v>
      </c>
      <c r="B72" t="s">
        <v>45</v>
      </c>
      <c r="C7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72" t="s">
        <v>33</v>
      </c>
      <c r="E72" t="s">
        <v>43</v>
      </c>
      <c r="F7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2">
        <f>ScenarioStat1[[#This Row],[team-1-win]]+ScenarioStat1[[#This Row],[team-2-win]]</f>
        <v>1</v>
      </c>
    </row>
    <row r="73" spans="1:7" x14ac:dyDescent="0.25">
      <c r="A73" t="s">
        <v>53</v>
      </c>
      <c r="B73" t="s">
        <v>45</v>
      </c>
      <c r="C7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73" t="s">
        <v>33</v>
      </c>
      <c r="E73" t="s">
        <v>63</v>
      </c>
      <c r="F7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3">
        <f>ScenarioStat1[[#This Row],[team-1-win]]+ScenarioStat1[[#This Row],[team-2-win]]</f>
        <v>1</v>
      </c>
    </row>
    <row r="74" spans="1:7" x14ac:dyDescent="0.25">
      <c r="A74" t="s">
        <v>53</v>
      </c>
      <c r="B74" t="s">
        <v>45</v>
      </c>
      <c r="C7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74" t="s">
        <v>33</v>
      </c>
      <c r="E74" t="s">
        <v>38</v>
      </c>
      <c r="F7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4">
        <f>ScenarioStat1[[#This Row],[team-1-win]]+ScenarioStat1[[#This Row],[team-2-win]]</f>
        <v>1</v>
      </c>
    </row>
    <row r="75" spans="1:7" x14ac:dyDescent="0.25">
      <c r="A75" t="s">
        <v>53</v>
      </c>
      <c r="B75" t="s">
        <v>45</v>
      </c>
      <c r="C7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75" t="s">
        <v>43</v>
      </c>
      <c r="E75" t="s">
        <v>63</v>
      </c>
      <c r="F7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5">
        <f>ScenarioStat1[[#This Row],[team-1-win]]+ScenarioStat1[[#This Row],[team-2-win]]</f>
        <v>1</v>
      </c>
    </row>
    <row r="76" spans="1:7" x14ac:dyDescent="0.25">
      <c r="A76" t="s">
        <v>53</v>
      </c>
      <c r="B76" t="s">
        <v>45</v>
      </c>
      <c r="C7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6" t="s">
        <v>43</v>
      </c>
      <c r="E76" t="s">
        <v>38</v>
      </c>
      <c r="F7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76">
        <f>ScenarioStat1[[#This Row],[team-1-win]]+ScenarioStat1[[#This Row],[team-2-win]]</f>
        <v>1</v>
      </c>
    </row>
    <row r="77" spans="1:7" x14ac:dyDescent="0.25">
      <c r="A77" t="s">
        <v>53</v>
      </c>
      <c r="B77" t="s">
        <v>45</v>
      </c>
      <c r="C7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7" t="s">
        <v>63</v>
      </c>
      <c r="E77" t="s">
        <v>38</v>
      </c>
      <c r="F7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77">
        <f>ScenarioStat1[[#This Row],[team-1-win]]+ScenarioStat1[[#This Row],[team-2-win]]</f>
        <v>1</v>
      </c>
    </row>
    <row r="78" spans="1:7" x14ac:dyDescent="0.25">
      <c r="A78" t="s">
        <v>53</v>
      </c>
      <c r="B78" t="s">
        <v>63</v>
      </c>
      <c r="C7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78" t="s">
        <v>56</v>
      </c>
      <c r="E78" t="s">
        <v>48</v>
      </c>
      <c r="F7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8">
        <f>ScenarioStat1[[#This Row],[team-1-win]]+ScenarioStat1[[#This Row],[team-2-win]]</f>
        <v>1</v>
      </c>
    </row>
    <row r="79" spans="1:7" x14ac:dyDescent="0.25">
      <c r="A79" t="s">
        <v>53</v>
      </c>
      <c r="B79" t="s">
        <v>63</v>
      </c>
      <c r="C7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9" t="s">
        <v>56</v>
      </c>
      <c r="E79" t="s">
        <v>33</v>
      </c>
      <c r="F7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79">
        <f>ScenarioStat1[[#This Row],[team-1-win]]+ScenarioStat1[[#This Row],[team-2-win]]</f>
        <v>1</v>
      </c>
    </row>
    <row r="80" spans="1:7" x14ac:dyDescent="0.25">
      <c r="A80" t="s">
        <v>53</v>
      </c>
      <c r="B80" t="s">
        <v>63</v>
      </c>
      <c r="C8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0" t="s">
        <v>56</v>
      </c>
      <c r="E80" t="s">
        <v>43</v>
      </c>
      <c r="F8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0">
        <f>ScenarioStat1[[#This Row],[team-1-win]]+ScenarioStat1[[#This Row],[team-2-win]]</f>
        <v>1</v>
      </c>
    </row>
    <row r="81" spans="1:7" x14ac:dyDescent="0.25">
      <c r="A81" t="s">
        <v>53</v>
      </c>
      <c r="B81" t="s">
        <v>63</v>
      </c>
      <c r="C8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1" t="s">
        <v>56</v>
      </c>
      <c r="E81" t="s">
        <v>45</v>
      </c>
      <c r="F8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1">
        <f>ScenarioStat1[[#This Row],[team-1-win]]+ScenarioStat1[[#This Row],[team-2-win]]</f>
        <v>1</v>
      </c>
    </row>
    <row r="82" spans="1:7" x14ac:dyDescent="0.25">
      <c r="A82" t="s">
        <v>53</v>
      </c>
      <c r="B82" t="s">
        <v>63</v>
      </c>
      <c r="C8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82" t="s">
        <v>56</v>
      </c>
      <c r="E82" t="s">
        <v>38</v>
      </c>
      <c r="F8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2">
        <f>ScenarioStat1[[#This Row],[team-1-win]]+ScenarioStat1[[#This Row],[team-2-win]]</f>
        <v>1</v>
      </c>
    </row>
    <row r="83" spans="1:7" x14ac:dyDescent="0.25">
      <c r="A83" t="s">
        <v>53</v>
      </c>
      <c r="B83" t="s">
        <v>63</v>
      </c>
      <c r="C8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3" t="s">
        <v>48</v>
      </c>
      <c r="E83" t="s">
        <v>33</v>
      </c>
      <c r="F8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3">
        <f>ScenarioStat1[[#This Row],[team-1-win]]+ScenarioStat1[[#This Row],[team-2-win]]</f>
        <v>1</v>
      </c>
    </row>
    <row r="84" spans="1:7" x14ac:dyDescent="0.25">
      <c r="A84" t="s">
        <v>53</v>
      </c>
      <c r="B84" t="s">
        <v>63</v>
      </c>
      <c r="C8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4" t="s">
        <v>48</v>
      </c>
      <c r="E84" t="s">
        <v>43</v>
      </c>
      <c r="F8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4">
        <f>ScenarioStat1[[#This Row],[team-1-win]]+ScenarioStat1[[#This Row],[team-2-win]]</f>
        <v>1</v>
      </c>
    </row>
    <row r="85" spans="1:7" x14ac:dyDescent="0.25">
      <c r="A85" t="s">
        <v>53</v>
      </c>
      <c r="B85" t="s">
        <v>63</v>
      </c>
      <c r="C8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85" t="s">
        <v>48</v>
      </c>
      <c r="E85" t="s">
        <v>45</v>
      </c>
      <c r="F8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5">
        <f>ScenarioStat1[[#This Row],[team-1-win]]+ScenarioStat1[[#This Row],[team-2-win]]</f>
        <v>1</v>
      </c>
    </row>
    <row r="86" spans="1:7" x14ac:dyDescent="0.25">
      <c r="A86" t="s">
        <v>53</v>
      </c>
      <c r="B86" t="s">
        <v>63</v>
      </c>
      <c r="C8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6" t="s">
        <v>48</v>
      </c>
      <c r="E86" t="s">
        <v>38</v>
      </c>
      <c r="F8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6">
        <f>ScenarioStat1[[#This Row],[team-1-win]]+ScenarioStat1[[#This Row],[team-2-win]]</f>
        <v>1</v>
      </c>
    </row>
    <row r="87" spans="1:7" x14ac:dyDescent="0.25">
      <c r="A87" t="s">
        <v>53</v>
      </c>
      <c r="B87" t="s">
        <v>63</v>
      </c>
      <c r="C8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87" t="s">
        <v>33</v>
      </c>
      <c r="E87" t="s">
        <v>43</v>
      </c>
      <c r="F8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7">
        <f>ScenarioStat1[[#This Row],[team-1-win]]+ScenarioStat1[[#This Row],[team-2-win]]</f>
        <v>1</v>
      </c>
    </row>
    <row r="88" spans="1:7" x14ac:dyDescent="0.25">
      <c r="A88" t="s">
        <v>53</v>
      </c>
      <c r="B88" t="s">
        <v>63</v>
      </c>
      <c r="C8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88" t="s">
        <v>33</v>
      </c>
      <c r="E88" t="s">
        <v>45</v>
      </c>
      <c r="F8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8">
        <f>ScenarioStat1[[#This Row],[team-1-win]]+ScenarioStat1[[#This Row],[team-2-win]]</f>
        <v>1</v>
      </c>
    </row>
    <row r="89" spans="1:7" x14ac:dyDescent="0.25">
      <c r="A89" t="s">
        <v>53</v>
      </c>
      <c r="B89" t="s">
        <v>63</v>
      </c>
      <c r="C8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9" t="s">
        <v>33</v>
      </c>
      <c r="E89" t="s">
        <v>38</v>
      </c>
      <c r="F8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9">
        <f>ScenarioStat1[[#This Row],[team-1-win]]+ScenarioStat1[[#This Row],[team-2-win]]</f>
        <v>1</v>
      </c>
    </row>
    <row r="90" spans="1:7" x14ac:dyDescent="0.25">
      <c r="A90" t="s">
        <v>53</v>
      </c>
      <c r="B90" t="s">
        <v>63</v>
      </c>
      <c r="C9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90" t="s">
        <v>43</v>
      </c>
      <c r="E90" t="s">
        <v>45</v>
      </c>
      <c r="F9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0">
        <f>ScenarioStat1[[#This Row],[team-1-win]]+ScenarioStat1[[#This Row],[team-2-win]]</f>
        <v>1</v>
      </c>
    </row>
    <row r="91" spans="1:7" x14ac:dyDescent="0.25">
      <c r="A91" t="s">
        <v>53</v>
      </c>
      <c r="B91" t="s">
        <v>63</v>
      </c>
      <c r="C9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91" t="s">
        <v>43</v>
      </c>
      <c r="E91" t="s">
        <v>38</v>
      </c>
      <c r="F9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1">
        <f>ScenarioStat1[[#This Row],[team-1-win]]+ScenarioStat1[[#This Row],[team-2-win]]</f>
        <v>1</v>
      </c>
    </row>
    <row r="92" spans="1:7" x14ac:dyDescent="0.25">
      <c r="A92" t="s">
        <v>53</v>
      </c>
      <c r="B92" t="s">
        <v>63</v>
      </c>
      <c r="C9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2" t="s">
        <v>45</v>
      </c>
      <c r="E92" t="s">
        <v>38</v>
      </c>
      <c r="F9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92">
        <f>ScenarioStat1[[#This Row],[team-1-win]]+ScenarioStat1[[#This Row],[team-2-win]]</f>
        <v>1</v>
      </c>
    </row>
    <row r="93" spans="1:7" x14ac:dyDescent="0.25">
      <c r="A93" t="s">
        <v>53</v>
      </c>
      <c r="B93" t="s">
        <v>38</v>
      </c>
      <c r="C9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3" t="s">
        <v>56</v>
      </c>
      <c r="E93" t="s">
        <v>48</v>
      </c>
      <c r="F9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93">
        <f>ScenarioStat1[[#This Row],[team-1-win]]+ScenarioStat1[[#This Row],[team-2-win]]</f>
        <v>1</v>
      </c>
    </row>
    <row r="94" spans="1:7" x14ac:dyDescent="0.25">
      <c r="A94" t="s">
        <v>53</v>
      </c>
      <c r="B94" t="s">
        <v>38</v>
      </c>
      <c r="C9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4" t="s">
        <v>56</v>
      </c>
      <c r="E94" t="s">
        <v>33</v>
      </c>
      <c r="F9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94">
        <f>ScenarioStat1[[#This Row],[team-1-win]]+ScenarioStat1[[#This Row],[team-2-win]]</f>
        <v>1</v>
      </c>
    </row>
    <row r="95" spans="1:7" x14ac:dyDescent="0.25">
      <c r="A95" t="s">
        <v>53</v>
      </c>
      <c r="B95" t="s">
        <v>38</v>
      </c>
      <c r="C9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95" t="s">
        <v>56</v>
      </c>
      <c r="E95" t="s">
        <v>43</v>
      </c>
      <c r="F9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5">
        <f>ScenarioStat1[[#This Row],[team-1-win]]+ScenarioStat1[[#This Row],[team-2-win]]</f>
        <v>1</v>
      </c>
    </row>
    <row r="96" spans="1:7" x14ac:dyDescent="0.25">
      <c r="A96" t="s">
        <v>53</v>
      </c>
      <c r="B96" t="s">
        <v>38</v>
      </c>
      <c r="C9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96" t="s">
        <v>56</v>
      </c>
      <c r="E96" t="s">
        <v>45</v>
      </c>
      <c r="F9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6">
        <f>ScenarioStat1[[#This Row],[team-1-win]]+ScenarioStat1[[#This Row],[team-2-win]]</f>
        <v>1</v>
      </c>
    </row>
    <row r="97" spans="1:7" x14ac:dyDescent="0.25">
      <c r="A97" t="s">
        <v>53</v>
      </c>
      <c r="B97" t="s">
        <v>38</v>
      </c>
      <c r="C9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7" t="s">
        <v>56</v>
      </c>
      <c r="E97" t="s">
        <v>63</v>
      </c>
      <c r="F9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97">
        <f>ScenarioStat1[[#This Row],[team-1-win]]+ScenarioStat1[[#This Row],[team-2-win]]</f>
        <v>1</v>
      </c>
    </row>
    <row r="98" spans="1:7" x14ac:dyDescent="0.25">
      <c r="A98" t="s">
        <v>53</v>
      </c>
      <c r="B98" t="s">
        <v>38</v>
      </c>
      <c r="C9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8" t="s">
        <v>48</v>
      </c>
      <c r="E98" t="s">
        <v>33</v>
      </c>
      <c r="F9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98">
        <f>ScenarioStat1[[#This Row],[team-1-win]]+ScenarioStat1[[#This Row],[team-2-win]]</f>
        <v>1</v>
      </c>
    </row>
    <row r="99" spans="1:7" x14ac:dyDescent="0.25">
      <c r="A99" t="s">
        <v>53</v>
      </c>
      <c r="B99" t="s">
        <v>38</v>
      </c>
      <c r="C9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9" t="s">
        <v>48</v>
      </c>
      <c r="E99" t="s">
        <v>43</v>
      </c>
      <c r="F9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99">
        <f>ScenarioStat1[[#This Row],[team-1-win]]+ScenarioStat1[[#This Row],[team-2-win]]</f>
        <v>1</v>
      </c>
    </row>
    <row r="100" spans="1:7" x14ac:dyDescent="0.25">
      <c r="A100" t="s">
        <v>53</v>
      </c>
      <c r="B100" t="s">
        <v>38</v>
      </c>
      <c r="C10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0" t="s">
        <v>48</v>
      </c>
      <c r="E100" t="s">
        <v>45</v>
      </c>
      <c r="F10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00">
        <f>ScenarioStat1[[#This Row],[team-1-win]]+ScenarioStat1[[#This Row],[team-2-win]]</f>
        <v>1</v>
      </c>
    </row>
    <row r="101" spans="1:7" x14ac:dyDescent="0.25">
      <c r="A101" t="s">
        <v>53</v>
      </c>
      <c r="B101" t="s">
        <v>38</v>
      </c>
      <c r="C10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01" t="s">
        <v>48</v>
      </c>
      <c r="E101" t="s">
        <v>63</v>
      </c>
      <c r="F10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1">
        <f>ScenarioStat1[[#This Row],[team-1-win]]+ScenarioStat1[[#This Row],[team-2-win]]</f>
        <v>1</v>
      </c>
    </row>
    <row r="102" spans="1:7" x14ac:dyDescent="0.25">
      <c r="A102" t="s">
        <v>53</v>
      </c>
      <c r="B102" t="s">
        <v>38</v>
      </c>
      <c r="C10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2" t="s">
        <v>33</v>
      </c>
      <c r="E102" t="s">
        <v>43</v>
      </c>
      <c r="F10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02">
        <f>ScenarioStat1[[#This Row],[team-1-win]]+ScenarioStat1[[#This Row],[team-2-win]]</f>
        <v>1</v>
      </c>
    </row>
    <row r="103" spans="1:7" x14ac:dyDescent="0.25">
      <c r="A103" t="s">
        <v>53</v>
      </c>
      <c r="B103" t="s">
        <v>38</v>
      </c>
      <c r="C10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3" t="s">
        <v>33</v>
      </c>
      <c r="E103" t="s">
        <v>45</v>
      </c>
      <c r="F10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03">
        <f>ScenarioStat1[[#This Row],[team-1-win]]+ScenarioStat1[[#This Row],[team-2-win]]</f>
        <v>1</v>
      </c>
    </row>
    <row r="104" spans="1:7" x14ac:dyDescent="0.25">
      <c r="A104" t="s">
        <v>53</v>
      </c>
      <c r="B104" t="s">
        <v>38</v>
      </c>
      <c r="C10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4" t="s">
        <v>33</v>
      </c>
      <c r="E104" t="s">
        <v>63</v>
      </c>
      <c r="F10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04">
        <f>ScenarioStat1[[#This Row],[team-1-win]]+ScenarioStat1[[#This Row],[team-2-win]]</f>
        <v>1</v>
      </c>
    </row>
    <row r="105" spans="1:7" x14ac:dyDescent="0.25">
      <c r="A105" t="s">
        <v>53</v>
      </c>
      <c r="B105" t="s">
        <v>38</v>
      </c>
      <c r="C10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05" t="s">
        <v>43</v>
      </c>
      <c r="E105" t="s">
        <v>45</v>
      </c>
      <c r="F10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5">
        <f>ScenarioStat1[[#This Row],[team-1-win]]+ScenarioStat1[[#This Row],[team-2-win]]</f>
        <v>1</v>
      </c>
    </row>
    <row r="106" spans="1:7" x14ac:dyDescent="0.25">
      <c r="A106" t="s">
        <v>53</v>
      </c>
      <c r="B106" t="s">
        <v>38</v>
      </c>
      <c r="C10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6" t="s">
        <v>43</v>
      </c>
      <c r="E106" t="s">
        <v>63</v>
      </c>
      <c r="F10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06">
        <f>ScenarioStat1[[#This Row],[team-1-win]]+ScenarioStat1[[#This Row],[team-2-win]]</f>
        <v>1</v>
      </c>
    </row>
    <row r="107" spans="1:7" x14ac:dyDescent="0.25">
      <c r="A107" t="s">
        <v>53</v>
      </c>
      <c r="B107" t="s">
        <v>38</v>
      </c>
      <c r="C10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07" t="s">
        <v>45</v>
      </c>
      <c r="E107" t="s">
        <v>63</v>
      </c>
      <c r="F10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7">
        <f>ScenarioStat1[[#This Row],[team-1-win]]+ScenarioStat1[[#This Row],[team-2-win]]</f>
        <v>1</v>
      </c>
    </row>
    <row r="108" spans="1:7" x14ac:dyDescent="0.25">
      <c r="A108" t="s">
        <v>56</v>
      </c>
      <c r="B108" t="s">
        <v>48</v>
      </c>
      <c r="C10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08" t="s">
        <v>33</v>
      </c>
      <c r="E108" t="s">
        <v>43</v>
      </c>
      <c r="F10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8">
        <f>ScenarioStat1[[#This Row],[team-1-win]]+ScenarioStat1[[#This Row],[team-2-win]]</f>
        <v>1</v>
      </c>
    </row>
    <row r="109" spans="1:7" x14ac:dyDescent="0.25">
      <c r="A109" t="s">
        <v>56</v>
      </c>
      <c r="B109" t="s">
        <v>48</v>
      </c>
      <c r="C10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09" t="s">
        <v>33</v>
      </c>
      <c r="E109" t="s">
        <v>45</v>
      </c>
      <c r="F10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9">
        <f>ScenarioStat1[[#This Row],[team-1-win]]+ScenarioStat1[[#This Row],[team-2-win]]</f>
        <v>1</v>
      </c>
    </row>
    <row r="110" spans="1:7" x14ac:dyDescent="0.25">
      <c r="A110" t="s">
        <v>56</v>
      </c>
      <c r="B110" t="s">
        <v>48</v>
      </c>
      <c r="C11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0" t="s">
        <v>33</v>
      </c>
      <c r="E110" t="s">
        <v>63</v>
      </c>
      <c r="F11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10">
        <f>ScenarioStat1[[#This Row],[team-1-win]]+ScenarioStat1[[#This Row],[team-2-win]]</f>
        <v>1</v>
      </c>
    </row>
    <row r="111" spans="1:7" x14ac:dyDescent="0.25">
      <c r="A111" t="s">
        <v>56</v>
      </c>
      <c r="B111" t="s">
        <v>48</v>
      </c>
      <c r="C11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11" t="s">
        <v>33</v>
      </c>
      <c r="E111" t="s">
        <v>38</v>
      </c>
      <c r="F11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1">
        <f>ScenarioStat1[[#This Row],[team-1-win]]+ScenarioStat1[[#This Row],[team-2-win]]</f>
        <v>1</v>
      </c>
    </row>
    <row r="112" spans="1:7" x14ac:dyDescent="0.25">
      <c r="A112" t="s">
        <v>56</v>
      </c>
      <c r="B112" t="s">
        <v>48</v>
      </c>
      <c r="C11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12" t="s">
        <v>43</v>
      </c>
      <c r="E112" t="s">
        <v>45</v>
      </c>
      <c r="F11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2">
        <f>ScenarioStat1[[#This Row],[team-1-win]]+ScenarioStat1[[#This Row],[team-2-win]]</f>
        <v>1</v>
      </c>
    </row>
    <row r="113" spans="1:7" x14ac:dyDescent="0.25">
      <c r="A113" t="s">
        <v>56</v>
      </c>
      <c r="B113" t="s">
        <v>48</v>
      </c>
      <c r="C11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13" t="s">
        <v>43</v>
      </c>
      <c r="E113" t="s">
        <v>63</v>
      </c>
      <c r="F11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3">
        <f>ScenarioStat1[[#This Row],[team-1-win]]+ScenarioStat1[[#This Row],[team-2-win]]</f>
        <v>1</v>
      </c>
    </row>
    <row r="114" spans="1:7" x14ac:dyDescent="0.25">
      <c r="A114" t="s">
        <v>56</v>
      </c>
      <c r="B114" t="s">
        <v>48</v>
      </c>
      <c r="C11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14" t="s">
        <v>43</v>
      </c>
      <c r="E114" t="s">
        <v>38</v>
      </c>
      <c r="F11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4">
        <f>ScenarioStat1[[#This Row],[team-1-win]]+ScenarioStat1[[#This Row],[team-2-win]]</f>
        <v>1</v>
      </c>
    </row>
    <row r="115" spans="1:7" x14ac:dyDescent="0.25">
      <c r="A115" t="s">
        <v>56</v>
      </c>
      <c r="B115" t="s">
        <v>48</v>
      </c>
      <c r="C11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5" t="s">
        <v>45</v>
      </c>
      <c r="E115" t="s">
        <v>63</v>
      </c>
      <c r="F11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15">
        <f>ScenarioStat1[[#This Row],[team-1-win]]+ScenarioStat1[[#This Row],[team-2-win]]</f>
        <v>1</v>
      </c>
    </row>
    <row r="116" spans="1:7" x14ac:dyDescent="0.25">
      <c r="A116" t="s">
        <v>56</v>
      </c>
      <c r="B116" t="s">
        <v>48</v>
      </c>
      <c r="C11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6" t="s">
        <v>45</v>
      </c>
      <c r="E116" t="s">
        <v>38</v>
      </c>
      <c r="F11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16">
        <f>ScenarioStat1[[#This Row],[team-1-win]]+ScenarioStat1[[#This Row],[team-2-win]]</f>
        <v>1</v>
      </c>
    </row>
    <row r="117" spans="1:7" x14ac:dyDescent="0.25">
      <c r="A117" t="s">
        <v>56</v>
      </c>
      <c r="B117" t="s">
        <v>48</v>
      </c>
      <c r="C11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7" t="s">
        <v>63</v>
      </c>
      <c r="E117" t="s">
        <v>38</v>
      </c>
      <c r="F11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17">
        <f>ScenarioStat1[[#This Row],[team-1-win]]+ScenarioStat1[[#This Row],[team-2-win]]</f>
        <v>1</v>
      </c>
    </row>
    <row r="118" spans="1:7" x14ac:dyDescent="0.25">
      <c r="A118" t="s">
        <v>56</v>
      </c>
      <c r="B118" t="s">
        <v>33</v>
      </c>
      <c r="C11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8" t="s">
        <v>48</v>
      </c>
      <c r="E118" t="s">
        <v>43</v>
      </c>
      <c r="F11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18">
        <f>ScenarioStat1[[#This Row],[team-1-win]]+ScenarioStat1[[#This Row],[team-2-win]]</f>
        <v>1</v>
      </c>
    </row>
    <row r="119" spans="1:7" x14ac:dyDescent="0.25">
      <c r="A119" t="s">
        <v>56</v>
      </c>
      <c r="B119" t="s">
        <v>33</v>
      </c>
      <c r="C11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9" t="s">
        <v>48</v>
      </c>
      <c r="E119" t="s">
        <v>45</v>
      </c>
      <c r="F11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19">
        <f>ScenarioStat1[[#This Row],[team-1-win]]+ScenarioStat1[[#This Row],[team-2-win]]</f>
        <v>1</v>
      </c>
    </row>
    <row r="120" spans="1:7" x14ac:dyDescent="0.25">
      <c r="A120" t="s">
        <v>56</v>
      </c>
      <c r="B120" t="s">
        <v>33</v>
      </c>
      <c r="C12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0" t="s">
        <v>48</v>
      </c>
      <c r="E120" t="s">
        <v>63</v>
      </c>
      <c r="F12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0">
        <f>ScenarioStat1[[#This Row],[team-1-win]]+ScenarioStat1[[#This Row],[team-2-win]]</f>
        <v>1</v>
      </c>
    </row>
    <row r="121" spans="1:7" x14ac:dyDescent="0.25">
      <c r="A121" t="s">
        <v>56</v>
      </c>
      <c r="B121" t="s">
        <v>33</v>
      </c>
      <c r="C12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21" t="s">
        <v>48</v>
      </c>
      <c r="E121" t="s">
        <v>38</v>
      </c>
      <c r="F12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1">
        <f>ScenarioStat1[[#This Row],[team-1-win]]+ScenarioStat1[[#This Row],[team-2-win]]</f>
        <v>1</v>
      </c>
    </row>
    <row r="122" spans="1:7" x14ac:dyDescent="0.25">
      <c r="A122" t="s">
        <v>56</v>
      </c>
      <c r="B122" t="s">
        <v>33</v>
      </c>
      <c r="C12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2" t="s">
        <v>43</v>
      </c>
      <c r="E122" t="s">
        <v>45</v>
      </c>
      <c r="F12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2">
        <f>ScenarioStat1[[#This Row],[team-1-win]]+ScenarioStat1[[#This Row],[team-2-win]]</f>
        <v>1</v>
      </c>
    </row>
    <row r="123" spans="1:7" x14ac:dyDescent="0.25">
      <c r="A123" t="s">
        <v>56</v>
      </c>
      <c r="B123" t="s">
        <v>33</v>
      </c>
      <c r="C12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3" t="s">
        <v>43</v>
      </c>
      <c r="E123" t="s">
        <v>63</v>
      </c>
      <c r="F12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3">
        <f>ScenarioStat1[[#This Row],[team-1-win]]+ScenarioStat1[[#This Row],[team-2-win]]</f>
        <v>1</v>
      </c>
    </row>
    <row r="124" spans="1:7" x14ac:dyDescent="0.25">
      <c r="A124" t="s">
        <v>56</v>
      </c>
      <c r="B124" t="s">
        <v>33</v>
      </c>
      <c r="C12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4" t="s">
        <v>43</v>
      </c>
      <c r="E124" t="s">
        <v>38</v>
      </c>
      <c r="F12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4">
        <f>ScenarioStat1[[#This Row],[team-1-win]]+ScenarioStat1[[#This Row],[team-2-win]]</f>
        <v>1</v>
      </c>
    </row>
    <row r="125" spans="1:7" x14ac:dyDescent="0.25">
      <c r="A125" t="s">
        <v>56</v>
      </c>
      <c r="B125" t="s">
        <v>33</v>
      </c>
      <c r="C12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5" t="s">
        <v>45</v>
      </c>
      <c r="E125" t="s">
        <v>63</v>
      </c>
      <c r="F12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5">
        <f>ScenarioStat1[[#This Row],[team-1-win]]+ScenarioStat1[[#This Row],[team-2-win]]</f>
        <v>1</v>
      </c>
    </row>
    <row r="126" spans="1:7" x14ac:dyDescent="0.25">
      <c r="A126" t="s">
        <v>56</v>
      </c>
      <c r="B126" t="s">
        <v>33</v>
      </c>
      <c r="C12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6" t="s">
        <v>45</v>
      </c>
      <c r="E126" t="s">
        <v>38</v>
      </c>
      <c r="F12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6">
        <f>ScenarioStat1[[#This Row],[team-1-win]]+ScenarioStat1[[#This Row],[team-2-win]]</f>
        <v>1</v>
      </c>
    </row>
    <row r="127" spans="1:7" x14ac:dyDescent="0.25">
      <c r="A127" t="s">
        <v>56</v>
      </c>
      <c r="B127" t="s">
        <v>33</v>
      </c>
      <c r="C12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7" t="s">
        <v>63</v>
      </c>
      <c r="E127" t="s">
        <v>38</v>
      </c>
      <c r="F12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7">
        <f>ScenarioStat1[[#This Row],[team-1-win]]+ScenarioStat1[[#This Row],[team-2-win]]</f>
        <v>1</v>
      </c>
    </row>
    <row r="128" spans="1:7" x14ac:dyDescent="0.25">
      <c r="A128" t="s">
        <v>56</v>
      </c>
      <c r="B128" t="s">
        <v>43</v>
      </c>
      <c r="C12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28" t="s">
        <v>48</v>
      </c>
      <c r="E128" t="s">
        <v>33</v>
      </c>
      <c r="F12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8">
        <f>ScenarioStat1[[#This Row],[team-1-win]]+ScenarioStat1[[#This Row],[team-2-win]]</f>
        <v>1</v>
      </c>
    </row>
    <row r="129" spans="1:7" x14ac:dyDescent="0.25">
      <c r="A129" t="s">
        <v>56</v>
      </c>
      <c r="B129" t="s">
        <v>43</v>
      </c>
      <c r="C12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29" t="s">
        <v>48</v>
      </c>
      <c r="E129" t="s">
        <v>45</v>
      </c>
      <c r="F12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9">
        <f>ScenarioStat1[[#This Row],[team-1-win]]+ScenarioStat1[[#This Row],[team-2-win]]</f>
        <v>1</v>
      </c>
    </row>
    <row r="130" spans="1:7" x14ac:dyDescent="0.25">
      <c r="A130" t="s">
        <v>56</v>
      </c>
      <c r="B130" t="s">
        <v>43</v>
      </c>
      <c r="C13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30" t="s">
        <v>48</v>
      </c>
      <c r="E130" t="s">
        <v>63</v>
      </c>
      <c r="F13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0">
        <f>ScenarioStat1[[#This Row],[team-1-win]]+ScenarioStat1[[#This Row],[team-2-win]]</f>
        <v>1</v>
      </c>
    </row>
    <row r="131" spans="1:7" x14ac:dyDescent="0.25">
      <c r="A131" t="s">
        <v>56</v>
      </c>
      <c r="B131" t="s">
        <v>43</v>
      </c>
      <c r="C13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1" t="s">
        <v>48</v>
      </c>
      <c r="E131" t="s">
        <v>38</v>
      </c>
      <c r="F13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31">
        <f>ScenarioStat1[[#This Row],[team-1-win]]+ScenarioStat1[[#This Row],[team-2-win]]</f>
        <v>1</v>
      </c>
    </row>
    <row r="132" spans="1:7" x14ac:dyDescent="0.25">
      <c r="A132" t="s">
        <v>56</v>
      </c>
      <c r="B132" t="s">
        <v>43</v>
      </c>
      <c r="C13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2" t="s">
        <v>33</v>
      </c>
      <c r="E132" t="s">
        <v>45</v>
      </c>
      <c r="F13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32">
        <f>ScenarioStat1[[#This Row],[team-1-win]]+ScenarioStat1[[#This Row],[team-2-win]]</f>
        <v>1</v>
      </c>
    </row>
    <row r="133" spans="1:7" x14ac:dyDescent="0.25">
      <c r="A133" t="s">
        <v>56</v>
      </c>
      <c r="B133" t="s">
        <v>43</v>
      </c>
      <c r="C13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33" t="s">
        <v>33</v>
      </c>
      <c r="E133" t="s">
        <v>63</v>
      </c>
      <c r="F13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3">
        <f>ScenarioStat1[[#This Row],[team-1-win]]+ScenarioStat1[[#This Row],[team-2-win]]</f>
        <v>1</v>
      </c>
    </row>
    <row r="134" spans="1:7" x14ac:dyDescent="0.25">
      <c r="A134" t="s">
        <v>56</v>
      </c>
      <c r="B134" t="s">
        <v>43</v>
      </c>
      <c r="C13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34" t="s">
        <v>33</v>
      </c>
      <c r="E134" t="s">
        <v>38</v>
      </c>
      <c r="F13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4">
        <f>ScenarioStat1[[#This Row],[team-1-win]]+ScenarioStat1[[#This Row],[team-2-win]]</f>
        <v>1</v>
      </c>
    </row>
    <row r="135" spans="1:7" x14ac:dyDescent="0.25">
      <c r="A135" t="s">
        <v>56</v>
      </c>
      <c r="B135" t="s">
        <v>43</v>
      </c>
      <c r="C13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35" t="s">
        <v>45</v>
      </c>
      <c r="E135" t="s">
        <v>63</v>
      </c>
      <c r="F13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5">
        <f>ScenarioStat1[[#This Row],[team-1-win]]+ScenarioStat1[[#This Row],[team-2-win]]</f>
        <v>1</v>
      </c>
    </row>
    <row r="136" spans="1:7" x14ac:dyDescent="0.25">
      <c r="A136" t="s">
        <v>56</v>
      </c>
      <c r="B136" t="s">
        <v>43</v>
      </c>
      <c r="C13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36" t="s">
        <v>45</v>
      </c>
      <c r="E136" t="s">
        <v>38</v>
      </c>
      <c r="F13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6">
        <f>ScenarioStat1[[#This Row],[team-1-win]]+ScenarioStat1[[#This Row],[team-2-win]]</f>
        <v>1</v>
      </c>
    </row>
    <row r="137" spans="1:7" x14ac:dyDescent="0.25">
      <c r="A137" t="s">
        <v>56</v>
      </c>
      <c r="B137" t="s">
        <v>43</v>
      </c>
      <c r="C13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7" t="s">
        <v>63</v>
      </c>
      <c r="E137" t="s">
        <v>38</v>
      </c>
      <c r="F13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37">
        <f>ScenarioStat1[[#This Row],[team-1-win]]+ScenarioStat1[[#This Row],[team-2-win]]</f>
        <v>1</v>
      </c>
    </row>
    <row r="138" spans="1:7" x14ac:dyDescent="0.25">
      <c r="A138" t="s">
        <v>56</v>
      </c>
      <c r="B138" t="s">
        <v>45</v>
      </c>
      <c r="C13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38" t="s">
        <v>48</v>
      </c>
      <c r="E138" t="s">
        <v>33</v>
      </c>
      <c r="F13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8">
        <f>ScenarioStat1[[#This Row],[team-1-win]]+ScenarioStat1[[#This Row],[team-2-win]]</f>
        <v>1</v>
      </c>
    </row>
    <row r="139" spans="1:7" x14ac:dyDescent="0.25">
      <c r="A139" t="s">
        <v>56</v>
      </c>
      <c r="B139" t="s">
        <v>45</v>
      </c>
      <c r="C1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9" t="s">
        <v>48</v>
      </c>
      <c r="E139" t="s">
        <v>43</v>
      </c>
      <c r="F13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39">
        <f>ScenarioStat1[[#This Row],[team-1-win]]+ScenarioStat1[[#This Row],[team-2-win]]</f>
        <v>1</v>
      </c>
    </row>
    <row r="140" spans="1:7" x14ac:dyDescent="0.25">
      <c r="A140" t="s">
        <v>56</v>
      </c>
      <c r="B140" t="s">
        <v>45</v>
      </c>
      <c r="C14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0" t="s">
        <v>48</v>
      </c>
      <c r="E140" t="s">
        <v>63</v>
      </c>
      <c r="F14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40">
        <f>ScenarioStat1[[#This Row],[team-1-win]]+ScenarioStat1[[#This Row],[team-2-win]]</f>
        <v>1</v>
      </c>
    </row>
    <row r="141" spans="1:7" x14ac:dyDescent="0.25">
      <c r="A141" t="s">
        <v>56</v>
      </c>
      <c r="B141" t="s">
        <v>45</v>
      </c>
      <c r="C14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1" t="s">
        <v>48</v>
      </c>
      <c r="E141" t="s">
        <v>38</v>
      </c>
      <c r="F14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41">
        <f>ScenarioStat1[[#This Row],[team-1-win]]+ScenarioStat1[[#This Row],[team-2-win]]</f>
        <v>1</v>
      </c>
    </row>
    <row r="142" spans="1:7" x14ac:dyDescent="0.25">
      <c r="A142" t="s">
        <v>56</v>
      </c>
      <c r="B142" t="s">
        <v>45</v>
      </c>
      <c r="C14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42" t="s">
        <v>33</v>
      </c>
      <c r="E142" t="s">
        <v>43</v>
      </c>
      <c r="F14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2">
        <f>ScenarioStat1[[#This Row],[team-1-win]]+ScenarioStat1[[#This Row],[team-2-win]]</f>
        <v>1</v>
      </c>
    </row>
    <row r="143" spans="1:7" x14ac:dyDescent="0.25">
      <c r="A143" t="s">
        <v>56</v>
      </c>
      <c r="B143" t="s">
        <v>45</v>
      </c>
      <c r="C14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3" t="s">
        <v>33</v>
      </c>
      <c r="E143" t="s">
        <v>63</v>
      </c>
      <c r="F14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43">
        <f>ScenarioStat1[[#This Row],[team-1-win]]+ScenarioStat1[[#This Row],[team-2-win]]</f>
        <v>1</v>
      </c>
    </row>
    <row r="144" spans="1:7" x14ac:dyDescent="0.25">
      <c r="A144" t="s">
        <v>56</v>
      </c>
      <c r="B144" t="s">
        <v>45</v>
      </c>
      <c r="C14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4" t="s">
        <v>33</v>
      </c>
      <c r="E144" t="s">
        <v>38</v>
      </c>
      <c r="F14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44">
        <f>ScenarioStat1[[#This Row],[team-1-win]]+ScenarioStat1[[#This Row],[team-2-win]]</f>
        <v>1</v>
      </c>
    </row>
    <row r="145" spans="1:7" x14ac:dyDescent="0.25">
      <c r="A145" t="s">
        <v>56</v>
      </c>
      <c r="B145" t="s">
        <v>45</v>
      </c>
      <c r="C14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45" t="s">
        <v>43</v>
      </c>
      <c r="E145" t="s">
        <v>63</v>
      </c>
      <c r="F14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5">
        <f>ScenarioStat1[[#This Row],[team-1-win]]+ScenarioStat1[[#This Row],[team-2-win]]</f>
        <v>1</v>
      </c>
    </row>
    <row r="146" spans="1:7" x14ac:dyDescent="0.25">
      <c r="A146" t="s">
        <v>56</v>
      </c>
      <c r="B146" t="s">
        <v>45</v>
      </c>
      <c r="C14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46" t="s">
        <v>43</v>
      </c>
      <c r="E146" t="s">
        <v>38</v>
      </c>
      <c r="F14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6">
        <f>ScenarioStat1[[#This Row],[team-1-win]]+ScenarioStat1[[#This Row],[team-2-win]]</f>
        <v>1</v>
      </c>
    </row>
    <row r="147" spans="1:7" x14ac:dyDescent="0.25">
      <c r="A147" t="s">
        <v>56</v>
      </c>
      <c r="B147" t="s">
        <v>45</v>
      </c>
      <c r="C14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47" t="s">
        <v>63</v>
      </c>
      <c r="E147" t="s">
        <v>38</v>
      </c>
      <c r="F14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7">
        <f>ScenarioStat1[[#This Row],[team-1-win]]+ScenarioStat1[[#This Row],[team-2-win]]</f>
        <v>1</v>
      </c>
    </row>
    <row r="148" spans="1:7" x14ac:dyDescent="0.25">
      <c r="A148" t="s">
        <v>56</v>
      </c>
      <c r="B148" t="s">
        <v>63</v>
      </c>
      <c r="C14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48" t="s">
        <v>48</v>
      </c>
      <c r="E148" t="s">
        <v>33</v>
      </c>
      <c r="F14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8">
        <f>ScenarioStat1[[#This Row],[team-1-win]]+ScenarioStat1[[#This Row],[team-2-win]]</f>
        <v>1</v>
      </c>
    </row>
    <row r="149" spans="1:7" x14ac:dyDescent="0.25">
      <c r="A149" t="s">
        <v>56</v>
      </c>
      <c r="B149" t="s">
        <v>63</v>
      </c>
      <c r="C14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49" t="s">
        <v>48</v>
      </c>
      <c r="E149" t="s">
        <v>43</v>
      </c>
      <c r="F14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9">
        <f>ScenarioStat1[[#This Row],[team-1-win]]+ScenarioStat1[[#This Row],[team-2-win]]</f>
        <v>1</v>
      </c>
    </row>
    <row r="150" spans="1:7" x14ac:dyDescent="0.25">
      <c r="A150" t="s">
        <v>56</v>
      </c>
      <c r="B150" t="s">
        <v>63</v>
      </c>
      <c r="C15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50" t="s">
        <v>48</v>
      </c>
      <c r="E150" t="s">
        <v>45</v>
      </c>
      <c r="F15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0">
        <f>ScenarioStat1[[#This Row],[team-1-win]]+ScenarioStat1[[#This Row],[team-2-win]]</f>
        <v>1</v>
      </c>
    </row>
    <row r="151" spans="1:7" x14ac:dyDescent="0.25">
      <c r="A151" t="s">
        <v>56</v>
      </c>
      <c r="B151" t="s">
        <v>63</v>
      </c>
      <c r="C15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51" t="s">
        <v>48</v>
      </c>
      <c r="E151" t="s">
        <v>38</v>
      </c>
      <c r="F15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1">
        <f>ScenarioStat1[[#This Row],[team-1-win]]+ScenarioStat1[[#This Row],[team-2-win]]</f>
        <v>1</v>
      </c>
    </row>
    <row r="152" spans="1:7" x14ac:dyDescent="0.25">
      <c r="A152" t="s">
        <v>56</v>
      </c>
      <c r="B152" t="s">
        <v>63</v>
      </c>
      <c r="C15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52" t="s">
        <v>33</v>
      </c>
      <c r="E152" t="s">
        <v>43</v>
      </c>
      <c r="F15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2">
        <f>ScenarioStat1[[#This Row],[team-1-win]]+ScenarioStat1[[#This Row],[team-2-win]]</f>
        <v>1</v>
      </c>
    </row>
    <row r="153" spans="1:7" x14ac:dyDescent="0.25">
      <c r="A153" t="s">
        <v>56</v>
      </c>
      <c r="B153" t="s">
        <v>63</v>
      </c>
      <c r="C15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53" t="s">
        <v>33</v>
      </c>
      <c r="E153" t="s">
        <v>45</v>
      </c>
      <c r="F15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3">
        <f>ScenarioStat1[[#This Row],[team-1-win]]+ScenarioStat1[[#This Row],[team-2-win]]</f>
        <v>1</v>
      </c>
    </row>
    <row r="154" spans="1:7" x14ac:dyDescent="0.25">
      <c r="A154" t="s">
        <v>56</v>
      </c>
      <c r="B154" t="s">
        <v>63</v>
      </c>
      <c r="C15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4" t="s">
        <v>33</v>
      </c>
      <c r="E154" t="s">
        <v>38</v>
      </c>
      <c r="F15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4">
        <f>ScenarioStat1[[#This Row],[team-1-win]]+ScenarioStat1[[#This Row],[team-2-win]]</f>
        <v>1</v>
      </c>
    </row>
    <row r="155" spans="1:7" x14ac:dyDescent="0.25">
      <c r="A155" t="s">
        <v>56</v>
      </c>
      <c r="B155" t="s">
        <v>63</v>
      </c>
      <c r="C15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55" t="s">
        <v>43</v>
      </c>
      <c r="E155" t="s">
        <v>45</v>
      </c>
      <c r="F15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5">
        <f>ScenarioStat1[[#This Row],[team-1-win]]+ScenarioStat1[[#This Row],[team-2-win]]</f>
        <v>1</v>
      </c>
    </row>
    <row r="156" spans="1:7" x14ac:dyDescent="0.25">
      <c r="A156" t="s">
        <v>56</v>
      </c>
      <c r="B156" t="s">
        <v>63</v>
      </c>
      <c r="C15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6" t="s">
        <v>43</v>
      </c>
      <c r="E156" t="s">
        <v>38</v>
      </c>
      <c r="F15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6">
        <f>ScenarioStat1[[#This Row],[team-1-win]]+ScenarioStat1[[#This Row],[team-2-win]]</f>
        <v>1</v>
      </c>
    </row>
    <row r="157" spans="1:7" x14ac:dyDescent="0.25">
      <c r="A157" t="s">
        <v>56</v>
      </c>
      <c r="B157" t="s">
        <v>63</v>
      </c>
      <c r="C15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57" t="s">
        <v>45</v>
      </c>
      <c r="E157" t="s">
        <v>38</v>
      </c>
      <c r="F15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7">
        <f>ScenarioStat1[[#This Row],[team-1-win]]+ScenarioStat1[[#This Row],[team-2-win]]</f>
        <v>1</v>
      </c>
    </row>
    <row r="158" spans="1:7" x14ac:dyDescent="0.25">
      <c r="A158" t="s">
        <v>56</v>
      </c>
      <c r="B158" t="s">
        <v>38</v>
      </c>
      <c r="C15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8" t="s">
        <v>48</v>
      </c>
      <c r="E158" t="s">
        <v>33</v>
      </c>
      <c r="F15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8">
        <f>ScenarioStat1[[#This Row],[team-1-win]]+ScenarioStat1[[#This Row],[team-2-win]]</f>
        <v>1</v>
      </c>
    </row>
    <row r="159" spans="1:7" x14ac:dyDescent="0.25">
      <c r="A159" t="s">
        <v>56</v>
      </c>
      <c r="B159" t="s">
        <v>38</v>
      </c>
      <c r="C15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59" t="s">
        <v>48</v>
      </c>
      <c r="E159" t="s">
        <v>43</v>
      </c>
      <c r="F15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9">
        <f>ScenarioStat1[[#This Row],[team-1-win]]+ScenarioStat1[[#This Row],[team-2-win]]</f>
        <v>1</v>
      </c>
    </row>
    <row r="160" spans="1:7" x14ac:dyDescent="0.25">
      <c r="A160" t="s">
        <v>56</v>
      </c>
      <c r="B160" t="s">
        <v>38</v>
      </c>
      <c r="C16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0" t="s">
        <v>48</v>
      </c>
      <c r="E160" t="s">
        <v>45</v>
      </c>
      <c r="F16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0">
        <f>ScenarioStat1[[#This Row],[team-1-win]]+ScenarioStat1[[#This Row],[team-2-win]]</f>
        <v>1</v>
      </c>
    </row>
    <row r="161" spans="1:7" x14ac:dyDescent="0.25">
      <c r="A161" t="s">
        <v>56</v>
      </c>
      <c r="B161" t="s">
        <v>38</v>
      </c>
      <c r="C16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1" t="s">
        <v>48</v>
      </c>
      <c r="E161" t="s">
        <v>63</v>
      </c>
      <c r="F16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1">
        <f>ScenarioStat1[[#This Row],[team-1-win]]+ScenarioStat1[[#This Row],[team-2-win]]</f>
        <v>1</v>
      </c>
    </row>
    <row r="162" spans="1:7" x14ac:dyDescent="0.25">
      <c r="A162" t="s">
        <v>56</v>
      </c>
      <c r="B162" t="s">
        <v>38</v>
      </c>
      <c r="C16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2" t="s">
        <v>33</v>
      </c>
      <c r="E162" t="s">
        <v>43</v>
      </c>
      <c r="F16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2">
        <f>ScenarioStat1[[#This Row],[team-1-win]]+ScenarioStat1[[#This Row],[team-2-win]]</f>
        <v>1</v>
      </c>
    </row>
    <row r="163" spans="1:7" x14ac:dyDescent="0.25">
      <c r="A163" t="s">
        <v>56</v>
      </c>
      <c r="B163" t="s">
        <v>38</v>
      </c>
      <c r="C16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63" t="s">
        <v>33</v>
      </c>
      <c r="E163" t="s">
        <v>45</v>
      </c>
      <c r="F16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3">
        <f>ScenarioStat1[[#This Row],[team-1-win]]+ScenarioStat1[[#This Row],[team-2-win]]</f>
        <v>1</v>
      </c>
    </row>
    <row r="164" spans="1:7" x14ac:dyDescent="0.25">
      <c r="A164" t="s">
        <v>56</v>
      </c>
      <c r="B164" t="s">
        <v>38</v>
      </c>
      <c r="C16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4" t="s">
        <v>33</v>
      </c>
      <c r="E164" t="s">
        <v>63</v>
      </c>
      <c r="F16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4">
        <f>ScenarioStat1[[#This Row],[team-1-win]]+ScenarioStat1[[#This Row],[team-2-win]]</f>
        <v>1</v>
      </c>
    </row>
    <row r="165" spans="1:7" x14ac:dyDescent="0.25">
      <c r="A165" t="s">
        <v>56</v>
      </c>
      <c r="B165" t="s">
        <v>38</v>
      </c>
      <c r="C16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65" t="s">
        <v>43</v>
      </c>
      <c r="E165" t="s">
        <v>45</v>
      </c>
      <c r="F16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5">
        <f>ScenarioStat1[[#This Row],[team-1-win]]+ScenarioStat1[[#This Row],[team-2-win]]</f>
        <v>1</v>
      </c>
    </row>
    <row r="166" spans="1:7" x14ac:dyDescent="0.25">
      <c r="A166" t="s">
        <v>56</v>
      </c>
      <c r="B166" t="s">
        <v>38</v>
      </c>
      <c r="C16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66" t="s">
        <v>43</v>
      </c>
      <c r="E166" t="s">
        <v>63</v>
      </c>
      <c r="F16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6">
        <f>ScenarioStat1[[#This Row],[team-1-win]]+ScenarioStat1[[#This Row],[team-2-win]]</f>
        <v>1</v>
      </c>
    </row>
    <row r="167" spans="1:7" x14ac:dyDescent="0.25">
      <c r="A167" t="s">
        <v>56</v>
      </c>
      <c r="B167" t="s">
        <v>38</v>
      </c>
      <c r="C16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7" t="s">
        <v>45</v>
      </c>
      <c r="E167" t="s">
        <v>63</v>
      </c>
      <c r="F16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7">
        <f>ScenarioStat1[[#This Row],[team-1-win]]+ScenarioStat1[[#This Row],[team-2-win]]</f>
        <v>1</v>
      </c>
    </row>
    <row r="168" spans="1:7" x14ac:dyDescent="0.25">
      <c r="A168" t="s">
        <v>48</v>
      </c>
      <c r="B168" t="s">
        <v>33</v>
      </c>
      <c r="C16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8" t="s">
        <v>43</v>
      </c>
      <c r="E168" t="s">
        <v>45</v>
      </c>
      <c r="F16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8">
        <f>ScenarioStat1[[#This Row],[team-1-win]]+ScenarioStat1[[#This Row],[team-2-win]]</f>
        <v>1</v>
      </c>
    </row>
    <row r="169" spans="1:7" x14ac:dyDescent="0.25">
      <c r="A169" t="s">
        <v>48</v>
      </c>
      <c r="B169" t="s">
        <v>33</v>
      </c>
      <c r="C16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9" t="s">
        <v>43</v>
      </c>
      <c r="E169" t="s">
        <v>63</v>
      </c>
      <c r="F16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9">
        <f>ScenarioStat1[[#This Row],[team-1-win]]+ScenarioStat1[[#This Row],[team-2-win]]</f>
        <v>1</v>
      </c>
    </row>
    <row r="170" spans="1:7" x14ac:dyDescent="0.25">
      <c r="A170" t="s">
        <v>48</v>
      </c>
      <c r="B170" t="s">
        <v>33</v>
      </c>
      <c r="C17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0" t="s">
        <v>43</v>
      </c>
      <c r="E170" t="s">
        <v>38</v>
      </c>
      <c r="F17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0">
        <f>ScenarioStat1[[#This Row],[team-1-win]]+ScenarioStat1[[#This Row],[team-2-win]]</f>
        <v>1</v>
      </c>
    </row>
    <row r="171" spans="1:7" x14ac:dyDescent="0.25">
      <c r="A171" t="s">
        <v>48</v>
      </c>
      <c r="B171" t="s">
        <v>33</v>
      </c>
      <c r="C17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1" t="s">
        <v>45</v>
      </c>
      <c r="E171" t="s">
        <v>63</v>
      </c>
      <c r="F17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1">
        <f>ScenarioStat1[[#This Row],[team-1-win]]+ScenarioStat1[[#This Row],[team-2-win]]</f>
        <v>1</v>
      </c>
    </row>
    <row r="172" spans="1:7" x14ac:dyDescent="0.25">
      <c r="A172" t="s">
        <v>48</v>
      </c>
      <c r="B172" t="s">
        <v>33</v>
      </c>
      <c r="C17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72" t="s">
        <v>45</v>
      </c>
      <c r="E172" t="s">
        <v>38</v>
      </c>
      <c r="F17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2">
        <f>ScenarioStat1[[#This Row],[team-1-win]]+ScenarioStat1[[#This Row],[team-2-win]]</f>
        <v>1</v>
      </c>
    </row>
    <row r="173" spans="1:7" x14ac:dyDescent="0.25">
      <c r="A173" t="s">
        <v>48</v>
      </c>
      <c r="B173" t="s">
        <v>33</v>
      </c>
      <c r="C17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3" t="s">
        <v>63</v>
      </c>
      <c r="E173" t="s">
        <v>38</v>
      </c>
      <c r="F17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3">
        <f>ScenarioStat1[[#This Row],[team-1-win]]+ScenarioStat1[[#This Row],[team-2-win]]</f>
        <v>1</v>
      </c>
    </row>
    <row r="174" spans="1:7" x14ac:dyDescent="0.25">
      <c r="A174" t="s">
        <v>48</v>
      </c>
      <c r="B174" t="s">
        <v>43</v>
      </c>
      <c r="C17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74" t="s">
        <v>33</v>
      </c>
      <c r="E174" t="s">
        <v>45</v>
      </c>
      <c r="F17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4">
        <f>ScenarioStat1[[#This Row],[team-1-win]]+ScenarioStat1[[#This Row],[team-2-win]]</f>
        <v>1</v>
      </c>
    </row>
    <row r="175" spans="1:7" x14ac:dyDescent="0.25">
      <c r="A175" t="s">
        <v>48</v>
      </c>
      <c r="B175" t="s">
        <v>43</v>
      </c>
      <c r="C17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75" t="s">
        <v>33</v>
      </c>
      <c r="E175" t="s">
        <v>63</v>
      </c>
      <c r="F17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5">
        <f>ScenarioStat1[[#This Row],[team-1-win]]+ScenarioStat1[[#This Row],[team-2-win]]</f>
        <v>1</v>
      </c>
    </row>
    <row r="176" spans="1:7" x14ac:dyDescent="0.25">
      <c r="A176" t="s">
        <v>48</v>
      </c>
      <c r="B176" t="s">
        <v>43</v>
      </c>
      <c r="C17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76" t="s">
        <v>33</v>
      </c>
      <c r="E176" t="s">
        <v>38</v>
      </c>
      <c r="F17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6">
        <f>ScenarioStat1[[#This Row],[team-1-win]]+ScenarioStat1[[#This Row],[team-2-win]]</f>
        <v>1</v>
      </c>
    </row>
    <row r="177" spans="1:7" x14ac:dyDescent="0.25">
      <c r="A177" t="s">
        <v>48</v>
      </c>
      <c r="B177" t="s">
        <v>43</v>
      </c>
      <c r="C17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7" t="s">
        <v>45</v>
      </c>
      <c r="E177" t="s">
        <v>63</v>
      </c>
      <c r="F17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7">
        <f>ScenarioStat1[[#This Row],[team-1-win]]+ScenarioStat1[[#This Row],[team-2-win]]</f>
        <v>1</v>
      </c>
    </row>
    <row r="178" spans="1:7" x14ac:dyDescent="0.25">
      <c r="A178" t="s">
        <v>48</v>
      </c>
      <c r="B178" t="s">
        <v>43</v>
      </c>
      <c r="C17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78" t="s">
        <v>45</v>
      </c>
      <c r="E178" t="s">
        <v>38</v>
      </c>
      <c r="F17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8">
        <f>ScenarioStat1[[#This Row],[team-1-win]]+ScenarioStat1[[#This Row],[team-2-win]]</f>
        <v>1</v>
      </c>
    </row>
    <row r="179" spans="1:7" x14ac:dyDescent="0.25">
      <c r="A179" t="s">
        <v>48</v>
      </c>
      <c r="B179" t="s">
        <v>43</v>
      </c>
      <c r="C17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79" t="s">
        <v>63</v>
      </c>
      <c r="E179" t="s">
        <v>38</v>
      </c>
      <c r="F17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9">
        <f>ScenarioStat1[[#This Row],[team-1-win]]+ScenarioStat1[[#This Row],[team-2-win]]</f>
        <v>1</v>
      </c>
    </row>
    <row r="180" spans="1:7" x14ac:dyDescent="0.25">
      <c r="A180" t="s">
        <v>48</v>
      </c>
      <c r="B180" t="s">
        <v>45</v>
      </c>
      <c r="C18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80" t="s">
        <v>33</v>
      </c>
      <c r="E180" t="s">
        <v>43</v>
      </c>
      <c r="F18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0">
        <f>ScenarioStat1[[#This Row],[team-1-win]]+ScenarioStat1[[#This Row],[team-2-win]]</f>
        <v>1</v>
      </c>
    </row>
    <row r="181" spans="1:7" x14ac:dyDescent="0.25">
      <c r="A181" t="s">
        <v>48</v>
      </c>
      <c r="B181" t="s">
        <v>45</v>
      </c>
      <c r="C18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1" t="s">
        <v>33</v>
      </c>
      <c r="E181" t="s">
        <v>63</v>
      </c>
      <c r="F18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81">
        <f>ScenarioStat1[[#This Row],[team-1-win]]+ScenarioStat1[[#This Row],[team-2-win]]</f>
        <v>1</v>
      </c>
    </row>
    <row r="182" spans="1:7" x14ac:dyDescent="0.25">
      <c r="A182" t="s">
        <v>48</v>
      </c>
      <c r="B182" t="s">
        <v>45</v>
      </c>
      <c r="C18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82" t="s">
        <v>33</v>
      </c>
      <c r="E182" t="s">
        <v>38</v>
      </c>
      <c r="F18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2">
        <f>ScenarioStat1[[#This Row],[team-1-win]]+ScenarioStat1[[#This Row],[team-2-win]]</f>
        <v>1</v>
      </c>
    </row>
    <row r="183" spans="1:7" x14ac:dyDescent="0.25">
      <c r="A183" t="s">
        <v>48</v>
      </c>
      <c r="B183" t="s">
        <v>45</v>
      </c>
      <c r="C18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83" t="s">
        <v>43</v>
      </c>
      <c r="E183" t="s">
        <v>63</v>
      </c>
      <c r="F18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3">
        <f>ScenarioStat1[[#This Row],[team-1-win]]+ScenarioStat1[[#This Row],[team-2-win]]</f>
        <v>1</v>
      </c>
    </row>
    <row r="184" spans="1:7" x14ac:dyDescent="0.25">
      <c r="A184" t="s">
        <v>48</v>
      </c>
      <c r="B184" t="s">
        <v>45</v>
      </c>
      <c r="C18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4" t="s">
        <v>43</v>
      </c>
      <c r="E184" t="s">
        <v>38</v>
      </c>
      <c r="F18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84">
        <f>ScenarioStat1[[#This Row],[team-1-win]]+ScenarioStat1[[#This Row],[team-2-win]]</f>
        <v>1</v>
      </c>
    </row>
    <row r="185" spans="1:7" x14ac:dyDescent="0.25">
      <c r="A185" t="s">
        <v>48</v>
      </c>
      <c r="B185" t="s">
        <v>45</v>
      </c>
      <c r="C18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5" t="s">
        <v>63</v>
      </c>
      <c r="E185" t="s">
        <v>38</v>
      </c>
      <c r="F18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85">
        <f>ScenarioStat1[[#This Row],[team-1-win]]+ScenarioStat1[[#This Row],[team-2-win]]</f>
        <v>1</v>
      </c>
    </row>
    <row r="186" spans="1:7" x14ac:dyDescent="0.25">
      <c r="A186" t="s">
        <v>48</v>
      </c>
      <c r="B186" t="s">
        <v>63</v>
      </c>
      <c r="C18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86" t="s">
        <v>33</v>
      </c>
      <c r="E186" t="s">
        <v>43</v>
      </c>
      <c r="F18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6">
        <f>ScenarioStat1[[#This Row],[team-1-win]]+ScenarioStat1[[#This Row],[team-2-win]]</f>
        <v>1</v>
      </c>
    </row>
    <row r="187" spans="1:7" x14ac:dyDescent="0.25">
      <c r="A187" t="s">
        <v>48</v>
      </c>
      <c r="B187" t="s">
        <v>63</v>
      </c>
      <c r="C18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7" t="s">
        <v>33</v>
      </c>
      <c r="E187" t="s">
        <v>45</v>
      </c>
      <c r="F18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87">
        <f>ScenarioStat1[[#This Row],[team-1-win]]+ScenarioStat1[[#This Row],[team-2-win]]</f>
        <v>1</v>
      </c>
    </row>
    <row r="188" spans="1:7" x14ac:dyDescent="0.25">
      <c r="A188" t="s">
        <v>48</v>
      </c>
      <c r="B188" t="s">
        <v>63</v>
      </c>
      <c r="C18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8" t="s">
        <v>33</v>
      </c>
      <c r="E188" t="s">
        <v>38</v>
      </c>
      <c r="F18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88">
        <f>ScenarioStat1[[#This Row],[team-1-win]]+ScenarioStat1[[#This Row],[team-2-win]]</f>
        <v>1</v>
      </c>
    </row>
    <row r="189" spans="1:7" x14ac:dyDescent="0.25">
      <c r="A189" t="s">
        <v>48</v>
      </c>
      <c r="B189" t="s">
        <v>63</v>
      </c>
      <c r="C18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9" t="s">
        <v>43</v>
      </c>
      <c r="E189" t="s">
        <v>45</v>
      </c>
      <c r="F18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89">
        <f>ScenarioStat1[[#This Row],[team-1-win]]+ScenarioStat1[[#This Row],[team-2-win]]</f>
        <v>1</v>
      </c>
    </row>
    <row r="190" spans="1:7" x14ac:dyDescent="0.25">
      <c r="A190" t="s">
        <v>48</v>
      </c>
      <c r="B190" t="s">
        <v>63</v>
      </c>
      <c r="C19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0" t="s">
        <v>43</v>
      </c>
      <c r="E190" t="s">
        <v>38</v>
      </c>
      <c r="F19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0">
        <f>ScenarioStat1[[#This Row],[team-1-win]]+ScenarioStat1[[#This Row],[team-2-win]]</f>
        <v>1</v>
      </c>
    </row>
    <row r="191" spans="1:7" x14ac:dyDescent="0.25">
      <c r="A191" t="s">
        <v>48</v>
      </c>
      <c r="B191" t="s">
        <v>63</v>
      </c>
      <c r="C19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1" t="s">
        <v>45</v>
      </c>
      <c r="E191" t="s">
        <v>38</v>
      </c>
      <c r="F19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1">
        <f>ScenarioStat1[[#This Row],[team-1-win]]+ScenarioStat1[[#This Row],[team-2-win]]</f>
        <v>1</v>
      </c>
    </row>
    <row r="192" spans="1:7" x14ac:dyDescent="0.25">
      <c r="A192" t="s">
        <v>48</v>
      </c>
      <c r="B192" t="s">
        <v>38</v>
      </c>
      <c r="C19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2" t="s">
        <v>33</v>
      </c>
      <c r="E192" t="s">
        <v>43</v>
      </c>
      <c r="F19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2">
        <f>ScenarioStat1[[#This Row],[team-1-win]]+ScenarioStat1[[#This Row],[team-2-win]]</f>
        <v>1</v>
      </c>
    </row>
    <row r="193" spans="1:7" x14ac:dyDescent="0.25">
      <c r="A193" t="s">
        <v>48</v>
      </c>
      <c r="B193" t="s">
        <v>38</v>
      </c>
      <c r="C19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93" t="s">
        <v>33</v>
      </c>
      <c r="E193" t="s">
        <v>45</v>
      </c>
      <c r="F19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3">
        <f>ScenarioStat1[[#This Row],[team-1-win]]+ScenarioStat1[[#This Row],[team-2-win]]</f>
        <v>1</v>
      </c>
    </row>
    <row r="194" spans="1:7" x14ac:dyDescent="0.25">
      <c r="A194" t="s">
        <v>48</v>
      </c>
      <c r="B194" t="s">
        <v>38</v>
      </c>
      <c r="C19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4" t="s">
        <v>33</v>
      </c>
      <c r="E194" t="s">
        <v>63</v>
      </c>
      <c r="F19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4">
        <f>ScenarioStat1[[#This Row],[team-1-win]]+ScenarioStat1[[#This Row],[team-2-win]]</f>
        <v>1</v>
      </c>
    </row>
    <row r="195" spans="1:7" x14ac:dyDescent="0.25">
      <c r="A195" t="s">
        <v>48</v>
      </c>
      <c r="B195" t="s">
        <v>38</v>
      </c>
      <c r="C19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95" t="s">
        <v>43</v>
      </c>
      <c r="E195" t="s">
        <v>45</v>
      </c>
      <c r="F19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5">
        <f>ScenarioStat1[[#This Row],[team-1-win]]+ScenarioStat1[[#This Row],[team-2-win]]</f>
        <v>1</v>
      </c>
    </row>
    <row r="196" spans="1:7" x14ac:dyDescent="0.25">
      <c r="A196" t="s">
        <v>48</v>
      </c>
      <c r="B196" t="s">
        <v>38</v>
      </c>
      <c r="C19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96" t="s">
        <v>43</v>
      </c>
      <c r="E196" t="s">
        <v>63</v>
      </c>
      <c r="F19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6">
        <f>ScenarioStat1[[#This Row],[team-1-win]]+ScenarioStat1[[#This Row],[team-2-win]]</f>
        <v>1</v>
      </c>
    </row>
    <row r="197" spans="1:7" x14ac:dyDescent="0.25">
      <c r="A197" t="s">
        <v>48</v>
      </c>
      <c r="B197" t="s">
        <v>38</v>
      </c>
      <c r="C19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97" t="s">
        <v>45</v>
      </c>
      <c r="E197" t="s">
        <v>63</v>
      </c>
      <c r="F19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7">
        <f>ScenarioStat1[[#This Row],[team-1-win]]+ScenarioStat1[[#This Row],[team-2-win]]</f>
        <v>1</v>
      </c>
    </row>
    <row r="198" spans="1:7" x14ac:dyDescent="0.25">
      <c r="A198" t="s">
        <v>33</v>
      </c>
      <c r="B198" t="s">
        <v>43</v>
      </c>
      <c r="C19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98" t="s">
        <v>45</v>
      </c>
      <c r="E198" t="s">
        <v>63</v>
      </c>
      <c r="F19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8">
        <f>ScenarioStat1[[#This Row],[team-1-win]]+ScenarioStat1[[#This Row],[team-2-win]]</f>
        <v>1</v>
      </c>
    </row>
    <row r="199" spans="1:7" x14ac:dyDescent="0.25">
      <c r="A199" t="s">
        <v>33</v>
      </c>
      <c r="B199" t="s">
        <v>43</v>
      </c>
      <c r="C19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99" t="s">
        <v>45</v>
      </c>
      <c r="E199" t="s">
        <v>38</v>
      </c>
      <c r="F19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9">
        <f>ScenarioStat1[[#This Row],[team-1-win]]+ScenarioStat1[[#This Row],[team-2-win]]</f>
        <v>1</v>
      </c>
    </row>
    <row r="200" spans="1:7" x14ac:dyDescent="0.25">
      <c r="A200" t="s">
        <v>33</v>
      </c>
      <c r="B200" t="s">
        <v>43</v>
      </c>
      <c r="C20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0" t="s">
        <v>63</v>
      </c>
      <c r="E200" t="s">
        <v>38</v>
      </c>
      <c r="F20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0">
        <f>ScenarioStat1[[#This Row],[team-1-win]]+ScenarioStat1[[#This Row],[team-2-win]]</f>
        <v>1</v>
      </c>
    </row>
    <row r="201" spans="1:7" x14ac:dyDescent="0.25">
      <c r="A201" t="s">
        <v>33</v>
      </c>
      <c r="B201" t="s">
        <v>45</v>
      </c>
      <c r="C20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1" t="s">
        <v>43</v>
      </c>
      <c r="E201" t="s">
        <v>63</v>
      </c>
      <c r="F20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1">
        <f>ScenarioStat1[[#This Row],[team-1-win]]+ScenarioStat1[[#This Row],[team-2-win]]</f>
        <v>1</v>
      </c>
    </row>
    <row r="202" spans="1:7" x14ac:dyDescent="0.25">
      <c r="A202" t="s">
        <v>33</v>
      </c>
      <c r="B202" t="s">
        <v>45</v>
      </c>
      <c r="C20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02" t="s">
        <v>43</v>
      </c>
      <c r="E202" t="s">
        <v>38</v>
      </c>
      <c r="F20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2">
        <f>ScenarioStat1[[#This Row],[team-1-win]]+ScenarioStat1[[#This Row],[team-2-win]]</f>
        <v>1</v>
      </c>
    </row>
    <row r="203" spans="1:7" x14ac:dyDescent="0.25">
      <c r="A203" t="s">
        <v>33</v>
      </c>
      <c r="B203" t="s">
        <v>45</v>
      </c>
      <c r="C20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03" t="s">
        <v>63</v>
      </c>
      <c r="E203" t="s">
        <v>38</v>
      </c>
      <c r="F20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3">
        <f>ScenarioStat1[[#This Row],[team-1-win]]+ScenarioStat1[[#This Row],[team-2-win]]</f>
        <v>1</v>
      </c>
    </row>
    <row r="204" spans="1:7" x14ac:dyDescent="0.25">
      <c r="A204" t="s">
        <v>33</v>
      </c>
      <c r="B204" t="s">
        <v>63</v>
      </c>
      <c r="C20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4" t="s">
        <v>43</v>
      </c>
      <c r="E204" t="s">
        <v>45</v>
      </c>
      <c r="F20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4">
        <f>ScenarioStat1[[#This Row],[team-1-win]]+ScenarioStat1[[#This Row],[team-2-win]]</f>
        <v>1</v>
      </c>
    </row>
    <row r="205" spans="1:7" x14ac:dyDescent="0.25">
      <c r="A205" t="s">
        <v>33</v>
      </c>
      <c r="B205" t="s">
        <v>63</v>
      </c>
      <c r="C20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5" t="s">
        <v>43</v>
      </c>
      <c r="E205" t="s">
        <v>38</v>
      </c>
      <c r="F20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5">
        <f>ScenarioStat1[[#This Row],[team-1-win]]+ScenarioStat1[[#This Row],[team-2-win]]</f>
        <v>1</v>
      </c>
    </row>
    <row r="206" spans="1:7" x14ac:dyDescent="0.25">
      <c r="A206" t="s">
        <v>33</v>
      </c>
      <c r="B206" t="s">
        <v>63</v>
      </c>
      <c r="C20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6" t="s">
        <v>45</v>
      </c>
      <c r="E206" t="s">
        <v>38</v>
      </c>
      <c r="F20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6">
        <f>ScenarioStat1[[#This Row],[team-1-win]]+ScenarioStat1[[#This Row],[team-2-win]]</f>
        <v>1</v>
      </c>
    </row>
    <row r="207" spans="1:7" x14ac:dyDescent="0.25">
      <c r="A207" t="s">
        <v>33</v>
      </c>
      <c r="B207" t="s">
        <v>38</v>
      </c>
      <c r="C20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7" t="s">
        <v>43</v>
      </c>
      <c r="E207" t="s">
        <v>45</v>
      </c>
      <c r="F20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7">
        <f>ScenarioStat1[[#This Row],[team-1-win]]+ScenarioStat1[[#This Row],[team-2-win]]</f>
        <v>1</v>
      </c>
    </row>
    <row r="208" spans="1:7" x14ac:dyDescent="0.25">
      <c r="A208" t="s">
        <v>33</v>
      </c>
      <c r="B208" t="s">
        <v>38</v>
      </c>
      <c r="C20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8" t="s">
        <v>43</v>
      </c>
      <c r="E208" t="s">
        <v>63</v>
      </c>
      <c r="F20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8">
        <f>ScenarioStat1[[#This Row],[team-1-win]]+ScenarioStat1[[#This Row],[team-2-win]]</f>
        <v>1</v>
      </c>
    </row>
    <row r="209" spans="1:7" x14ac:dyDescent="0.25">
      <c r="A209" t="s">
        <v>33</v>
      </c>
      <c r="B209" t="s">
        <v>38</v>
      </c>
      <c r="C20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9" t="s">
        <v>45</v>
      </c>
      <c r="E209" t="s">
        <v>63</v>
      </c>
      <c r="F20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9">
        <f>ScenarioStat1[[#This Row],[team-1-win]]+ScenarioStat1[[#This Row],[team-2-win]]</f>
        <v>1</v>
      </c>
    </row>
    <row r="210" spans="1:7" x14ac:dyDescent="0.25">
      <c r="A210" t="s">
        <v>43</v>
      </c>
      <c r="B210" t="s">
        <v>45</v>
      </c>
      <c r="C21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10" t="s">
        <v>63</v>
      </c>
      <c r="E210" t="s">
        <v>38</v>
      </c>
      <c r="F21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10">
        <f>ScenarioStat1[[#This Row],[team-1-win]]+ScenarioStat1[[#This Row],[team-2-win]]</f>
        <v>1</v>
      </c>
    </row>
    <row r="211" spans="1:7" x14ac:dyDescent="0.25">
      <c r="A211" t="s">
        <v>43</v>
      </c>
      <c r="B211" t="s">
        <v>63</v>
      </c>
      <c r="C21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11" t="s">
        <v>45</v>
      </c>
      <c r="E211" t="s">
        <v>38</v>
      </c>
      <c r="F21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11">
        <f>ScenarioStat1[[#This Row],[team-1-win]]+ScenarioStat1[[#This Row],[team-2-win]]</f>
        <v>1</v>
      </c>
    </row>
    <row r="212" spans="1:7" x14ac:dyDescent="0.25">
      <c r="A212" t="s">
        <v>43</v>
      </c>
      <c r="B212" t="s">
        <v>38</v>
      </c>
      <c r="C21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12" t="s">
        <v>45</v>
      </c>
      <c r="E212" t="s">
        <v>63</v>
      </c>
      <c r="F21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12">
        <f>ScenarioStat1[[#This Row],[team-1-win]]+ScenarioStat1[[#This Row],[team-2-win]]</f>
        <v>1</v>
      </c>
    </row>
  </sheetData>
  <mergeCells count="2">
    <mergeCell ref="A1:G1"/>
    <mergeCell ref="I1:M1"/>
  </mergeCells>
  <phoneticPr fontId="3" type="noConversion"/>
  <conditionalFormatting sqref="M1:M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7BCEE-4374-424B-9A20-6789D68B828E}">
  <dimension ref="A1:T57"/>
  <sheetViews>
    <sheetView workbookViewId="0">
      <selection activeCell="V14" sqref="V14"/>
    </sheetView>
  </sheetViews>
  <sheetFormatPr defaultRowHeight="15" x14ac:dyDescent="0.25"/>
  <cols>
    <col min="1" max="1" width="37.7109375" bestFit="1" customWidth="1"/>
    <col min="2" max="2" width="8.28515625" bestFit="1" customWidth="1"/>
    <col min="3" max="3" width="11.42578125" bestFit="1" customWidth="1"/>
    <col min="4" max="4" width="14" hidden="1" customWidth="1"/>
    <col min="5" max="5" width="13.7109375" hidden="1" customWidth="1"/>
    <col min="6" max="6" width="13.28515625" hidden="1" customWidth="1"/>
    <col min="7" max="7" width="24" hidden="1" customWidth="1"/>
    <col min="8" max="8" width="19.140625" hidden="1" customWidth="1"/>
    <col min="9" max="9" width="20.7109375" hidden="1" customWidth="1"/>
    <col min="10" max="10" width="19.85546875" hidden="1" customWidth="1"/>
    <col min="11" max="11" width="11.42578125" bestFit="1" customWidth="1"/>
    <col min="12" max="12" width="12.140625" hidden="1" customWidth="1"/>
    <col min="13" max="13" width="11.85546875" hidden="1" customWidth="1"/>
    <col min="14" max="14" width="11.42578125" hidden="1" customWidth="1"/>
    <col min="15" max="15" width="24" hidden="1" customWidth="1"/>
    <col min="16" max="16" width="18.7109375" hidden="1" customWidth="1"/>
    <col min="17" max="17" width="20.7109375" hidden="1" customWidth="1"/>
    <col min="18" max="18" width="19.85546875" hidden="1" customWidth="1"/>
    <col min="19" max="19" width="9.85546875" bestFit="1" customWidth="1"/>
    <col min="20" max="20" width="7.85546875" bestFit="1" customWidth="1"/>
  </cols>
  <sheetData>
    <row r="1" spans="1:20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64</v>
      </c>
      <c r="T1" t="s">
        <v>32</v>
      </c>
    </row>
    <row r="2" spans="1:20" x14ac:dyDescent="0.25">
      <c r="A2" t="s">
        <v>427</v>
      </c>
      <c r="B2">
        <v>0</v>
      </c>
      <c r="C2" t="s">
        <v>56</v>
      </c>
      <c r="D2">
        <v>3</v>
      </c>
      <c r="F2">
        <v>2</v>
      </c>
      <c r="G2" t="s">
        <v>120</v>
      </c>
      <c r="H2" t="s">
        <v>121</v>
      </c>
      <c r="I2" t="s">
        <v>123</v>
      </c>
      <c r="J2" t="s">
        <v>124</v>
      </c>
      <c r="K2" t="s">
        <v>53</v>
      </c>
      <c r="L2">
        <v>2</v>
      </c>
      <c r="M2">
        <v>3</v>
      </c>
      <c r="N2">
        <v>1</v>
      </c>
      <c r="O2" t="s">
        <v>112</v>
      </c>
      <c r="P2" t="s">
        <v>55</v>
      </c>
      <c r="Q2" t="s">
        <v>97</v>
      </c>
      <c r="R2" t="s">
        <v>115</v>
      </c>
      <c r="S2">
        <v>0</v>
      </c>
      <c r="T2">
        <v>14</v>
      </c>
    </row>
    <row r="3" spans="1:20" x14ac:dyDescent="0.25">
      <c r="A3" t="s">
        <v>428</v>
      </c>
      <c r="B3">
        <v>1</v>
      </c>
      <c r="C3" t="s">
        <v>53</v>
      </c>
      <c r="D3">
        <v>3</v>
      </c>
      <c r="E3">
        <v>3</v>
      </c>
      <c r="F3">
        <v>3</v>
      </c>
      <c r="G3" t="s">
        <v>112</v>
      </c>
      <c r="H3" t="s">
        <v>55</v>
      </c>
      <c r="I3" t="s">
        <v>114</v>
      </c>
      <c r="J3" t="s">
        <v>115</v>
      </c>
      <c r="K3" t="s">
        <v>48</v>
      </c>
      <c r="L3">
        <v>3</v>
      </c>
      <c r="N3">
        <v>3</v>
      </c>
      <c r="O3" t="s">
        <v>49</v>
      </c>
      <c r="P3" t="s">
        <v>71</v>
      </c>
      <c r="Q3" t="s">
        <v>127</v>
      </c>
      <c r="R3" t="s">
        <v>52</v>
      </c>
      <c r="S3">
        <v>0</v>
      </c>
      <c r="T3">
        <v>23</v>
      </c>
    </row>
    <row r="4" spans="1:20" x14ac:dyDescent="0.25">
      <c r="A4" t="s">
        <v>429</v>
      </c>
      <c r="B4">
        <v>2</v>
      </c>
      <c r="C4" t="s">
        <v>53</v>
      </c>
      <c r="D4">
        <v>3</v>
      </c>
      <c r="E4">
        <v>1</v>
      </c>
      <c r="F4">
        <v>1</v>
      </c>
      <c r="G4" t="s">
        <v>111</v>
      </c>
      <c r="H4" t="s">
        <v>55</v>
      </c>
      <c r="K4" t="s">
        <v>33</v>
      </c>
      <c r="L4">
        <v>2</v>
      </c>
      <c r="N4">
        <v>3</v>
      </c>
      <c r="O4" t="s">
        <v>34</v>
      </c>
      <c r="S4">
        <v>0</v>
      </c>
      <c r="T4">
        <v>8</v>
      </c>
    </row>
    <row r="5" spans="1:20" x14ac:dyDescent="0.25">
      <c r="A5" t="s">
        <v>430</v>
      </c>
      <c r="B5">
        <v>3</v>
      </c>
      <c r="C5" t="s">
        <v>53</v>
      </c>
      <c r="D5">
        <v>2</v>
      </c>
      <c r="E5">
        <v>2</v>
      </c>
      <c r="F5">
        <v>3</v>
      </c>
      <c r="G5" t="s">
        <v>112</v>
      </c>
      <c r="H5" t="s">
        <v>55</v>
      </c>
      <c r="I5" t="s">
        <v>105</v>
      </c>
      <c r="J5" t="s">
        <v>115</v>
      </c>
      <c r="K5" t="s">
        <v>43</v>
      </c>
      <c r="L5">
        <v>3</v>
      </c>
      <c r="N5">
        <v>2</v>
      </c>
      <c r="O5" t="s">
        <v>135</v>
      </c>
      <c r="P5" t="s">
        <v>136</v>
      </c>
      <c r="Q5" t="s">
        <v>137</v>
      </c>
      <c r="R5" t="s">
        <v>138</v>
      </c>
      <c r="S5">
        <v>0</v>
      </c>
      <c r="T5">
        <v>16</v>
      </c>
    </row>
    <row r="6" spans="1:20" x14ac:dyDescent="0.25">
      <c r="A6" t="s">
        <v>431</v>
      </c>
      <c r="B6">
        <v>4</v>
      </c>
      <c r="C6" t="s">
        <v>53</v>
      </c>
      <c r="D6">
        <v>2</v>
      </c>
      <c r="E6">
        <v>3</v>
      </c>
      <c r="F6">
        <v>3</v>
      </c>
      <c r="G6" t="s">
        <v>112</v>
      </c>
      <c r="H6" t="s">
        <v>55</v>
      </c>
      <c r="I6" t="s">
        <v>97</v>
      </c>
      <c r="J6" t="s">
        <v>98</v>
      </c>
      <c r="K6" t="s">
        <v>45</v>
      </c>
      <c r="L6">
        <v>3</v>
      </c>
      <c r="N6">
        <v>3</v>
      </c>
      <c r="O6" t="s">
        <v>86</v>
      </c>
      <c r="P6" t="s">
        <v>76</v>
      </c>
      <c r="Q6" t="s">
        <v>93</v>
      </c>
      <c r="R6" t="s">
        <v>143</v>
      </c>
      <c r="S6">
        <v>0</v>
      </c>
      <c r="T6">
        <v>18</v>
      </c>
    </row>
    <row r="7" spans="1:20" x14ac:dyDescent="0.25">
      <c r="A7" t="s">
        <v>432</v>
      </c>
      <c r="B7">
        <v>5</v>
      </c>
      <c r="C7" t="s">
        <v>63</v>
      </c>
      <c r="D7">
        <v>2</v>
      </c>
      <c r="F7">
        <v>1</v>
      </c>
      <c r="G7" t="s">
        <v>103</v>
      </c>
      <c r="H7" t="s">
        <v>95</v>
      </c>
      <c r="I7" t="s">
        <v>104</v>
      </c>
      <c r="J7" t="s">
        <v>149</v>
      </c>
      <c r="K7" t="s">
        <v>53</v>
      </c>
      <c r="L7">
        <v>1</v>
      </c>
      <c r="M7">
        <v>3</v>
      </c>
      <c r="N7">
        <v>1</v>
      </c>
      <c r="O7" t="s">
        <v>111</v>
      </c>
      <c r="P7" t="s">
        <v>83</v>
      </c>
      <c r="Q7" t="s">
        <v>105</v>
      </c>
      <c r="S7">
        <v>0</v>
      </c>
      <c r="T7">
        <v>10</v>
      </c>
    </row>
    <row r="8" spans="1:20" x14ac:dyDescent="0.25">
      <c r="A8" t="s">
        <v>433</v>
      </c>
      <c r="B8">
        <v>6</v>
      </c>
      <c r="C8" t="s">
        <v>38</v>
      </c>
      <c r="D8">
        <v>3</v>
      </c>
      <c r="E8">
        <v>3</v>
      </c>
      <c r="F8">
        <v>2</v>
      </c>
      <c r="G8" t="s">
        <v>152</v>
      </c>
      <c r="H8" t="s">
        <v>40</v>
      </c>
      <c r="I8" t="s">
        <v>41</v>
      </c>
      <c r="J8" t="s">
        <v>156</v>
      </c>
      <c r="K8" t="s">
        <v>53</v>
      </c>
      <c r="L8">
        <v>3</v>
      </c>
      <c r="M8">
        <v>3</v>
      </c>
      <c r="N8">
        <v>1</v>
      </c>
      <c r="O8" t="s">
        <v>112</v>
      </c>
      <c r="P8" t="s">
        <v>83</v>
      </c>
      <c r="Q8" t="s">
        <v>114</v>
      </c>
      <c r="R8" t="s">
        <v>115</v>
      </c>
      <c r="S8">
        <v>0</v>
      </c>
      <c r="T8">
        <v>17</v>
      </c>
    </row>
    <row r="9" spans="1:20" x14ac:dyDescent="0.25">
      <c r="A9" t="s">
        <v>434</v>
      </c>
      <c r="B9">
        <v>7</v>
      </c>
      <c r="C9" t="s">
        <v>56</v>
      </c>
      <c r="D9">
        <v>3</v>
      </c>
      <c r="F9">
        <v>1</v>
      </c>
      <c r="G9" t="s">
        <v>120</v>
      </c>
      <c r="K9" t="s">
        <v>48</v>
      </c>
      <c r="L9">
        <v>1</v>
      </c>
      <c r="N9">
        <v>1</v>
      </c>
      <c r="O9" t="s">
        <v>89</v>
      </c>
      <c r="P9" t="s">
        <v>50</v>
      </c>
      <c r="Q9" t="s">
        <v>51</v>
      </c>
      <c r="S9">
        <v>0</v>
      </c>
      <c r="T9">
        <v>6</v>
      </c>
    </row>
    <row r="10" spans="1:20" x14ac:dyDescent="0.25">
      <c r="A10" t="s">
        <v>435</v>
      </c>
      <c r="B10">
        <v>8</v>
      </c>
      <c r="C10" t="s">
        <v>33</v>
      </c>
      <c r="D10">
        <v>2</v>
      </c>
      <c r="F10">
        <v>2</v>
      </c>
      <c r="G10" t="s">
        <v>46</v>
      </c>
      <c r="H10" t="s">
        <v>130</v>
      </c>
      <c r="I10" t="s">
        <v>131</v>
      </c>
      <c r="J10" t="s">
        <v>134</v>
      </c>
      <c r="K10" t="s">
        <v>56</v>
      </c>
      <c r="L10">
        <v>3</v>
      </c>
      <c r="N10">
        <v>1</v>
      </c>
      <c r="O10" t="s">
        <v>120</v>
      </c>
      <c r="P10" t="s">
        <v>122</v>
      </c>
      <c r="Q10" t="s">
        <v>87</v>
      </c>
      <c r="S10">
        <v>0</v>
      </c>
      <c r="T10">
        <v>11</v>
      </c>
    </row>
    <row r="11" spans="1:20" x14ac:dyDescent="0.25">
      <c r="A11" t="s">
        <v>436</v>
      </c>
      <c r="B11">
        <v>9</v>
      </c>
      <c r="C11" t="s">
        <v>43</v>
      </c>
      <c r="D11">
        <v>2</v>
      </c>
      <c r="F11">
        <v>1</v>
      </c>
      <c r="G11" t="s">
        <v>135</v>
      </c>
      <c r="H11" t="s">
        <v>74</v>
      </c>
      <c r="I11" t="s">
        <v>137</v>
      </c>
      <c r="K11" t="s">
        <v>56</v>
      </c>
      <c r="L11">
        <v>1</v>
      </c>
      <c r="N11">
        <v>1</v>
      </c>
      <c r="O11" t="s">
        <v>120</v>
      </c>
      <c r="P11" t="s">
        <v>122</v>
      </c>
      <c r="Q11" t="s">
        <v>87</v>
      </c>
      <c r="S11">
        <v>0</v>
      </c>
      <c r="T11">
        <v>9</v>
      </c>
    </row>
    <row r="12" spans="1:20" x14ac:dyDescent="0.25">
      <c r="A12" t="s">
        <v>437</v>
      </c>
      <c r="B12">
        <v>10</v>
      </c>
      <c r="C12" t="s">
        <v>45</v>
      </c>
      <c r="D12">
        <v>3</v>
      </c>
      <c r="F12">
        <v>1</v>
      </c>
      <c r="G12" t="s">
        <v>86</v>
      </c>
      <c r="K12" t="s">
        <v>56</v>
      </c>
      <c r="L12">
        <v>2</v>
      </c>
      <c r="N12">
        <v>1</v>
      </c>
      <c r="O12" t="s">
        <v>68</v>
      </c>
      <c r="P12" t="s">
        <v>121</v>
      </c>
      <c r="S12">
        <v>0</v>
      </c>
      <c r="T12">
        <v>7</v>
      </c>
    </row>
    <row r="13" spans="1:20" x14ac:dyDescent="0.25">
      <c r="A13" t="s">
        <v>438</v>
      </c>
      <c r="B13">
        <v>11</v>
      </c>
      <c r="C13" t="s">
        <v>63</v>
      </c>
      <c r="D13">
        <v>2</v>
      </c>
      <c r="F13">
        <v>1</v>
      </c>
      <c r="G13" t="s">
        <v>103</v>
      </c>
      <c r="H13" t="s">
        <v>146</v>
      </c>
      <c r="I13" t="s">
        <v>104</v>
      </c>
      <c r="J13" t="s">
        <v>151</v>
      </c>
      <c r="K13" t="s">
        <v>56</v>
      </c>
      <c r="L13">
        <v>2</v>
      </c>
      <c r="N13">
        <v>1</v>
      </c>
      <c r="O13" t="s">
        <v>57</v>
      </c>
      <c r="P13" t="s">
        <v>122</v>
      </c>
      <c r="Q13" t="s">
        <v>123</v>
      </c>
      <c r="R13" t="s">
        <v>124</v>
      </c>
      <c r="S13">
        <v>0</v>
      </c>
      <c r="T13">
        <v>10</v>
      </c>
    </row>
    <row r="14" spans="1:20" x14ac:dyDescent="0.25">
      <c r="A14" t="s">
        <v>439</v>
      </c>
      <c r="B14">
        <v>12</v>
      </c>
      <c r="C14" t="s">
        <v>56</v>
      </c>
      <c r="D14">
        <v>3</v>
      </c>
      <c r="F14">
        <v>3</v>
      </c>
      <c r="G14" t="s">
        <v>57</v>
      </c>
      <c r="H14" t="s">
        <v>122</v>
      </c>
      <c r="I14" t="s">
        <v>85</v>
      </c>
      <c r="J14" t="s">
        <v>125</v>
      </c>
      <c r="K14" t="s">
        <v>38</v>
      </c>
      <c r="L14">
        <v>2</v>
      </c>
      <c r="M14">
        <v>3</v>
      </c>
      <c r="N14">
        <v>3</v>
      </c>
      <c r="O14" t="s">
        <v>39</v>
      </c>
      <c r="P14" t="s">
        <v>96</v>
      </c>
      <c r="Q14" t="s">
        <v>153</v>
      </c>
      <c r="R14" t="s">
        <v>156</v>
      </c>
      <c r="S14">
        <v>0</v>
      </c>
      <c r="T14">
        <v>18</v>
      </c>
    </row>
    <row r="15" spans="1:20" x14ac:dyDescent="0.25">
      <c r="A15" t="s">
        <v>440</v>
      </c>
      <c r="B15">
        <v>13</v>
      </c>
      <c r="C15" t="s">
        <v>48</v>
      </c>
      <c r="D15">
        <v>2</v>
      </c>
      <c r="F15">
        <v>1</v>
      </c>
      <c r="G15" t="s">
        <v>89</v>
      </c>
      <c r="H15" t="s">
        <v>71</v>
      </c>
      <c r="K15" t="s">
        <v>33</v>
      </c>
      <c r="L15">
        <v>1</v>
      </c>
      <c r="N15">
        <v>3</v>
      </c>
      <c r="O15" t="s">
        <v>34</v>
      </c>
      <c r="S15">
        <v>0</v>
      </c>
      <c r="T15">
        <v>8</v>
      </c>
    </row>
    <row r="16" spans="1:20" x14ac:dyDescent="0.25">
      <c r="A16" t="s">
        <v>441</v>
      </c>
      <c r="B16">
        <v>14</v>
      </c>
      <c r="C16" t="s">
        <v>48</v>
      </c>
      <c r="D16">
        <v>2</v>
      </c>
      <c r="F16">
        <v>1</v>
      </c>
      <c r="G16" t="s">
        <v>89</v>
      </c>
      <c r="H16" t="s">
        <v>71</v>
      </c>
      <c r="K16" t="s">
        <v>43</v>
      </c>
      <c r="L16">
        <v>2</v>
      </c>
      <c r="N16">
        <v>1</v>
      </c>
      <c r="O16" t="s">
        <v>44</v>
      </c>
      <c r="P16" t="s">
        <v>136</v>
      </c>
      <c r="S16">
        <v>0</v>
      </c>
      <c r="T16">
        <v>8</v>
      </c>
    </row>
    <row r="17" spans="1:20" x14ac:dyDescent="0.25">
      <c r="A17" t="s">
        <v>442</v>
      </c>
      <c r="B17">
        <v>15</v>
      </c>
      <c r="C17" t="s">
        <v>48</v>
      </c>
      <c r="D17">
        <v>2</v>
      </c>
      <c r="F17">
        <v>3</v>
      </c>
      <c r="G17" t="s">
        <v>126</v>
      </c>
      <c r="H17" t="s">
        <v>71</v>
      </c>
      <c r="K17" t="s">
        <v>45</v>
      </c>
      <c r="L17">
        <v>3</v>
      </c>
      <c r="N17">
        <v>1</v>
      </c>
      <c r="O17" t="s">
        <v>86</v>
      </c>
      <c r="P17" t="s">
        <v>141</v>
      </c>
      <c r="Q17" t="s">
        <v>102</v>
      </c>
      <c r="S17">
        <v>0</v>
      </c>
      <c r="T17">
        <v>10</v>
      </c>
    </row>
    <row r="18" spans="1:20" x14ac:dyDescent="0.25">
      <c r="A18" t="s">
        <v>443</v>
      </c>
      <c r="B18">
        <v>16</v>
      </c>
      <c r="C18" t="s">
        <v>63</v>
      </c>
      <c r="D18">
        <v>2</v>
      </c>
      <c r="F18">
        <v>1</v>
      </c>
      <c r="G18" t="s">
        <v>72</v>
      </c>
      <c r="H18" t="s">
        <v>146</v>
      </c>
      <c r="I18" t="s">
        <v>104</v>
      </c>
      <c r="J18" t="s">
        <v>149</v>
      </c>
      <c r="K18" t="s">
        <v>48</v>
      </c>
      <c r="L18">
        <v>2</v>
      </c>
      <c r="N18">
        <v>1</v>
      </c>
      <c r="O18" t="s">
        <v>89</v>
      </c>
      <c r="P18" t="s">
        <v>50</v>
      </c>
      <c r="Q18" t="s">
        <v>51</v>
      </c>
      <c r="R18" t="s">
        <v>52</v>
      </c>
      <c r="S18">
        <v>0</v>
      </c>
      <c r="T18">
        <v>10</v>
      </c>
    </row>
    <row r="19" spans="1:20" x14ac:dyDescent="0.25">
      <c r="A19" t="s">
        <v>444</v>
      </c>
      <c r="B19">
        <v>17</v>
      </c>
      <c r="C19" t="s">
        <v>38</v>
      </c>
      <c r="D19">
        <v>1</v>
      </c>
      <c r="E19">
        <v>1</v>
      </c>
      <c r="F19">
        <v>1</v>
      </c>
      <c r="G19" t="s">
        <v>39</v>
      </c>
      <c r="H19" t="s">
        <v>96</v>
      </c>
      <c r="I19" t="s">
        <v>41</v>
      </c>
      <c r="J19" t="s">
        <v>155</v>
      </c>
      <c r="K19" t="s">
        <v>48</v>
      </c>
      <c r="L19">
        <v>1</v>
      </c>
      <c r="N19">
        <v>1</v>
      </c>
      <c r="O19" t="s">
        <v>89</v>
      </c>
      <c r="P19" t="s">
        <v>50</v>
      </c>
      <c r="Q19" t="s">
        <v>51</v>
      </c>
      <c r="S19">
        <v>0</v>
      </c>
      <c r="T19">
        <v>7</v>
      </c>
    </row>
    <row r="20" spans="1:20" x14ac:dyDescent="0.25">
      <c r="A20" t="s">
        <v>445</v>
      </c>
      <c r="B20">
        <v>18</v>
      </c>
      <c r="C20" t="s">
        <v>43</v>
      </c>
      <c r="D20">
        <v>3</v>
      </c>
      <c r="F20">
        <v>1</v>
      </c>
      <c r="G20" t="s">
        <v>135</v>
      </c>
      <c r="K20" t="s">
        <v>33</v>
      </c>
      <c r="L20">
        <v>2</v>
      </c>
      <c r="N20">
        <v>1</v>
      </c>
      <c r="O20" t="s">
        <v>65</v>
      </c>
      <c r="S20">
        <v>0</v>
      </c>
      <c r="T20">
        <v>5</v>
      </c>
    </row>
    <row r="21" spans="1:20" x14ac:dyDescent="0.25">
      <c r="A21" t="s">
        <v>446</v>
      </c>
      <c r="B21">
        <v>19</v>
      </c>
      <c r="C21" t="s">
        <v>45</v>
      </c>
      <c r="D21">
        <v>3</v>
      </c>
      <c r="F21">
        <v>1</v>
      </c>
      <c r="G21" t="s">
        <v>140</v>
      </c>
      <c r="K21" t="s">
        <v>33</v>
      </c>
      <c r="L21">
        <v>1</v>
      </c>
      <c r="N21">
        <v>1</v>
      </c>
      <c r="O21" t="s">
        <v>34</v>
      </c>
      <c r="P21" t="s">
        <v>66</v>
      </c>
      <c r="S21">
        <v>0</v>
      </c>
      <c r="T21">
        <v>5</v>
      </c>
    </row>
    <row r="22" spans="1:20" x14ac:dyDescent="0.25">
      <c r="A22" t="s">
        <v>447</v>
      </c>
      <c r="B22">
        <v>20</v>
      </c>
      <c r="C22" t="s">
        <v>33</v>
      </c>
      <c r="D22">
        <v>1</v>
      </c>
      <c r="F22">
        <v>2</v>
      </c>
      <c r="G22" t="s">
        <v>34</v>
      </c>
      <c r="H22" t="s">
        <v>66</v>
      </c>
      <c r="I22" t="s">
        <v>36</v>
      </c>
      <c r="K22" t="s">
        <v>63</v>
      </c>
      <c r="L22">
        <v>2</v>
      </c>
      <c r="N22">
        <v>1</v>
      </c>
      <c r="O22" t="s">
        <v>72</v>
      </c>
      <c r="P22" t="s">
        <v>95</v>
      </c>
      <c r="S22">
        <v>0</v>
      </c>
      <c r="T22">
        <v>7</v>
      </c>
    </row>
    <row r="23" spans="1:20" x14ac:dyDescent="0.25">
      <c r="A23" t="s">
        <v>448</v>
      </c>
      <c r="B23">
        <v>21</v>
      </c>
      <c r="C23" t="s">
        <v>33</v>
      </c>
      <c r="D23">
        <v>1</v>
      </c>
      <c r="F23">
        <v>2</v>
      </c>
      <c r="G23" t="s">
        <v>65</v>
      </c>
      <c r="H23" t="s">
        <v>35</v>
      </c>
      <c r="K23" t="s">
        <v>38</v>
      </c>
      <c r="L23">
        <v>1</v>
      </c>
      <c r="M23">
        <v>2</v>
      </c>
      <c r="N23">
        <v>2</v>
      </c>
      <c r="O23" t="s">
        <v>67</v>
      </c>
      <c r="S23">
        <v>0</v>
      </c>
      <c r="T23">
        <v>6</v>
      </c>
    </row>
    <row r="24" spans="1:20" x14ac:dyDescent="0.25">
      <c r="A24" t="s">
        <v>449</v>
      </c>
      <c r="B24">
        <v>22</v>
      </c>
      <c r="C24" t="s">
        <v>45</v>
      </c>
      <c r="D24">
        <v>3</v>
      </c>
      <c r="F24">
        <v>2</v>
      </c>
      <c r="G24" t="s">
        <v>140</v>
      </c>
      <c r="K24" t="s">
        <v>43</v>
      </c>
      <c r="L24">
        <v>1</v>
      </c>
      <c r="N24">
        <v>1</v>
      </c>
      <c r="O24" t="s">
        <v>135</v>
      </c>
      <c r="P24" t="s">
        <v>136</v>
      </c>
      <c r="Q24" t="s">
        <v>137</v>
      </c>
      <c r="S24">
        <v>0</v>
      </c>
      <c r="T24">
        <v>7</v>
      </c>
    </row>
    <row r="25" spans="1:20" x14ac:dyDescent="0.25">
      <c r="A25" t="s">
        <v>450</v>
      </c>
      <c r="B25">
        <v>23</v>
      </c>
      <c r="C25" t="s">
        <v>43</v>
      </c>
      <c r="D25">
        <v>3</v>
      </c>
      <c r="F25">
        <v>1</v>
      </c>
      <c r="G25" t="s">
        <v>44</v>
      </c>
      <c r="H25" t="s">
        <v>99</v>
      </c>
      <c r="I25" t="s">
        <v>75</v>
      </c>
      <c r="J25" t="s">
        <v>139</v>
      </c>
      <c r="K25" t="s">
        <v>63</v>
      </c>
      <c r="L25">
        <v>2</v>
      </c>
      <c r="N25">
        <v>2</v>
      </c>
      <c r="O25" t="s">
        <v>72</v>
      </c>
      <c r="P25" t="s">
        <v>146</v>
      </c>
      <c r="Q25" t="s">
        <v>148</v>
      </c>
      <c r="R25" t="s">
        <v>151</v>
      </c>
      <c r="S25">
        <v>0</v>
      </c>
      <c r="T25">
        <v>13</v>
      </c>
    </row>
    <row r="26" spans="1:20" x14ac:dyDescent="0.25">
      <c r="A26" t="s">
        <v>451</v>
      </c>
      <c r="B26">
        <v>24</v>
      </c>
      <c r="C26" t="s">
        <v>43</v>
      </c>
      <c r="D26">
        <v>2</v>
      </c>
      <c r="F26">
        <v>1</v>
      </c>
      <c r="G26" t="s">
        <v>135</v>
      </c>
      <c r="H26" t="s">
        <v>99</v>
      </c>
      <c r="I26" t="s">
        <v>75</v>
      </c>
      <c r="K26" t="s">
        <v>38</v>
      </c>
      <c r="L26">
        <v>3</v>
      </c>
      <c r="M26">
        <v>1</v>
      </c>
      <c r="N26">
        <v>2</v>
      </c>
      <c r="O26" t="s">
        <v>39</v>
      </c>
      <c r="S26">
        <v>0</v>
      </c>
      <c r="T26">
        <v>8</v>
      </c>
    </row>
    <row r="27" spans="1:20" x14ac:dyDescent="0.25">
      <c r="A27" t="s">
        <v>452</v>
      </c>
      <c r="B27">
        <v>25</v>
      </c>
      <c r="C27" t="s">
        <v>63</v>
      </c>
      <c r="D27">
        <v>2</v>
      </c>
      <c r="F27">
        <v>1</v>
      </c>
      <c r="G27" t="s">
        <v>72</v>
      </c>
      <c r="H27" t="s">
        <v>146</v>
      </c>
      <c r="I27" t="s">
        <v>104</v>
      </c>
      <c r="J27" t="s">
        <v>149</v>
      </c>
      <c r="K27" t="s">
        <v>45</v>
      </c>
      <c r="L27">
        <v>3</v>
      </c>
      <c r="N27">
        <v>1</v>
      </c>
      <c r="O27" t="s">
        <v>86</v>
      </c>
      <c r="P27" t="s">
        <v>141</v>
      </c>
      <c r="S27">
        <v>0</v>
      </c>
      <c r="T27">
        <v>10</v>
      </c>
    </row>
    <row r="28" spans="1:20" x14ac:dyDescent="0.25">
      <c r="A28" t="s">
        <v>453</v>
      </c>
      <c r="B28">
        <v>26</v>
      </c>
      <c r="C28" t="s">
        <v>45</v>
      </c>
      <c r="D28">
        <v>3</v>
      </c>
      <c r="F28">
        <v>2</v>
      </c>
      <c r="G28" t="s">
        <v>140</v>
      </c>
      <c r="H28" t="s">
        <v>76</v>
      </c>
      <c r="I28" t="s">
        <v>102</v>
      </c>
      <c r="K28" t="s">
        <v>38</v>
      </c>
      <c r="L28">
        <v>2</v>
      </c>
      <c r="M28">
        <v>1</v>
      </c>
      <c r="N28">
        <v>2</v>
      </c>
      <c r="O28" t="s">
        <v>39</v>
      </c>
      <c r="P28" t="s">
        <v>96</v>
      </c>
      <c r="Q28" t="s">
        <v>153</v>
      </c>
      <c r="R28" t="s">
        <v>156</v>
      </c>
      <c r="S28">
        <v>0</v>
      </c>
      <c r="T28">
        <v>12</v>
      </c>
    </row>
    <row r="29" spans="1:20" x14ac:dyDescent="0.25">
      <c r="A29" t="s">
        <v>454</v>
      </c>
      <c r="B29">
        <v>27</v>
      </c>
      <c r="C29" t="s">
        <v>63</v>
      </c>
      <c r="D29">
        <v>2</v>
      </c>
      <c r="F29">
        <v>1</v>
      </c>
      <c r="G29" t="s">
        <v>72</v>
      </c>
      <c r="H29" t="s">
        <v>95</v>
      </c>
      <c r="I29" t="s">
        <v>147</v>
      </c>
      <c r="J29" t="s">
        <v>151</v>
      </c>
      <c r="K29" t="s">
        <v>38</v>
      </c>
      <c r="L29">
        <v>1</v>
      </c>
      <c r="M29">
        <v>2</v>
      </c>
      <c r="N29">
        <v>2</v>
      </c>
      <c r="O29" t="s">
        <v>39</v>
      </c>
      <c r="P29" t="s">
        <v>96</v>
      </c>
      <c r="Q29" t="s">
        <v>154</v>
      </c>
      <c r="R29" t="s">
        <v>155</v>
      </c>
      <c r="S29">
        <v>0</v>
      </c>
      <c r="T29">
        <v>12</v>
      </c>
    </row>
    <row r="30" spans="1:20" x14ac:dyDescent="0.25">
      <c r="A30" t="s">
        <v>455</v>
      </c>
      <c r="B30">
        <v>0</v>
      </c>
      <c r="C30" t="s">
        <v>56</v>
      </c>
      <c r="D30">
        <v>3</v>
      </c>
      <c r="F30">
        <v>1</v>
      </c>
      <c r="G30" t="s">
        <v>120</v>
      </c>
      <c r="H30" t="s">
        <v>121</v>
      </c>
      <c r="I30" t="s">
        <v>123</v>
      </c>
      <c r="J30" t="s">
        <v>124</v>
      </c>
      <c r="K30" t="s">
        <v>53</v>
      </c>
      <c r="L30">
        <v>3</v>
      </c>
      <c r="M30">
        <v>2</v>
      </c>
      <c r="N30">
        <v>1</v>
      </c>
      <c r="O30" t="s">
        <v>112</v>
      </c>
      <c r="P30" t="s">
        <v>55</v>
      </c>
      <c r="Q30" t="s">
        <v>97</v>
      </c>
      <c r="R30" t="s">
        <v>115</v>
      </c>
      <c r="S30">
        <v>0</v>
      </c>
      <c r="T30">
        <v>14</v>
      </c>
    </row>
    <row r="31" spans="1:20" x14ac:dyDescent="0.25">
      <c r="A31" t="s">
        <v>456</v>
      </c>
      <c r="B31">
        <v>1</v>
      </c>
      <c r="C31" t="s">
        <v>53</v>
      </c>
      <c r="D31">
        <v>2</v>
      </c>
      <c r="E31">
        <v>1</v>
      </c>
      <c r="F31">
        <v>2</v>
      </c>
      <c r="G31" t="s">
        <v>112</v>
      </c>
      <c r="H31" t="s">
        <v>55</v>
      </c>
      <c r="I31" t="s">
        <v>114</v>
      </c>
      <c r="J31" t="s">
        <v>98</v>
      </c>
      <c r="K31" t="s">
        <v>48</v>
      </c>
      <c r="L31">
        <v>2</v>
      </c>
      <c r="N31">
        <v>1</v>
      </c>
      <c r="O31" t="s">
        <v>49</v>
      </c>
      <c r="P31" t="s">
        <v>71</v>
      </c>
      <c r="Q31" t="s">
        <v>127</v>
      </c>
      <c r="R31" t="s">
        <v>52</v>
      </c>
      <c r="S31">
        <v>0</v>
      </c>
      <c r="T31">
        <v>11</v>
      </c>
    </row>
    <row r="32" spans="1:20" x14ac:dyDescent="0.25">
      <c r="A32" t="s">
        <v>457</v>
      </c>
      <c r="B32">
        <v>2</v>
      </c>
      <c r="C32" t="s">
        <v>53</v>
      </c>
      <c r="D32">
        <v>3</v>
      </c>
      <c r="E32">
        <v>1</v>
      </c>
      <c r="F32">
        <v>1</v>
      </c>
      <c r="G32" t="s">
        <v>111</v>
      </c>
      <c r="H32" t="s">
        <v>55</v>
      </c>
      <c r="K32" t="s">
        <v>33</v>
      </c>
      <c r="L32">
        <v>1</v>
      </c>
      <c r="N32">
        <v>3</v>
      </c>
      <c r="O32" t="s">
        <v>34</v>
      </c>
      <c r="P32" t="s">
        <v>35</v>
      </c>
      <c r="S32">
        <v>0</v>
      </c>
      <c r="T32">
        <v>8</v>
      </c>
    </row>
    <row r="33" spans="1:20" x14ac:dyDescent="0.25">
      <c r="A33" t="s">
        <v>458</v>
      </c>
      <c r="B33">
        <v>3</v>
      </c>
      <c r="C33" t="s">
        <v>53</v>
      </c>
      <c r="D33">
        <v>3</v>
      </c>
      <c r="E33">
        <v>3</v>
      </c>
      <c r="F33">
        <v>3</v>
      </c>
      <c r="G33" t="s">
        <v>112</v>
      </c>
      <c r="H33" t="s">
        <v>55</v>
      </c>
      <c r="I33" t="s">
        <v>97</v>
      </c>
      <c r="J33" t="s">
        <v>115</v>
      </c>
      <c r="K33" t="s">
        <v>43</v>
      </c>
      <c r="L33">
        <v>3</v>
      </c>
      <c r="N33">
        <v>3</v>
      </c>
      <c r="O33" t="s">
        <v>135</v>
      </c>
      <c r="P33" t="s">
        <v>74</v>
      </c>
      <c r="Q33" t="s">
        <v>137</v>
      </c>
      <c r="R33" t="s">
        <v>139</v>
      </c>
      <c r="S33">
        <v>0</v>
      </c>
      <c r="T33">
        <v>28</v>
      </c>
    </row>
    <row r="34" spans="1:20" x14ac:dyDescent="0.25">
      <c r="A34" t="s">
        <v>459</v>
      </c>
      <c r="B34">
        <v>4</v>
      </c>
      <c r="C34" t="s">
        <v>53</v>
      </c>
      <c r="D34">
        <v>3</v>
      </c>
      <c r="E34">
        <v>3</v>
      </c>
      <c r="F34">
        <v>3</v>
      </c>
      <c r="G34" t="s">
        <v>112</v>
      </c>
      <c r="H34" t="s">
        <v>55</v>
      </c>
      <c r="I34" t="s">
        <v>114</v>
      </c>
      <c r="J34" t="s">
        <v>98</v>
      </c>
      <c r="K34" t="s">
        <v>45</v>
      </c>
      <c r="L34">
        <v>3</v>
      </c>
      <c r="N34">
        <v>3</v>
      </c>
      <c r="O34" t="s">
        <v>86</v>
      </c>
      <c r="P34" t="s">
        <v>76</v>
      </c>
      <c r="Q34" t="s">
        <v>93</v>
      </c>
      <c r="R34" t="s">
        <v>143</v>
      </c>
      <c r="S34">
        <v>0</v>
      </c>
      <c r="T34">
        <v>22</v>
      </c>
    </row>
    <row r="35" spans="1:20" x14ac:dyDescent="0.25">
      <c r="A35" t="s">
        <v>460</v>
      </c>
      <c r="B35">
        <v>5</v>
      </c>
      <c r="C35" t="s">
        <v>63</v>
      </c>
      <c r="D35">
        <v>2</v>
      </c>
      <c r="F35">
        <v>1</v>
      </c>
      <c r="G35" t="s">
        <v>103</v>
      </c>
      <c r="H35" t="s">
        <v>95</v>
      </c>
      <c r="I35" t="s">
        <v>147</v>
      </c>
      <c r="K35" t="s">
        <v>53</v>
      </c>
      <c r="L35">
        <v>1</v>
      </c>
      <c r="M35">
        <v>1</v>
      </c>
      <c r="N35">
        <v>2</v>
      </c>
      <c r="O35" t="s">
        <v>111</v>
      </c>
      <c r="P35" t="s">
        <v>83</v>
      </c>
      <c r="Q35" t="s">
        <v>97</v>
      </c>
      <c r="R35" t="s">
        <v>98</v>
      </c>
      <c r="S35">
        <v>0</v>
      </c>
      <c r="T35">
        <v>10</v>
      </c>
    </row>
    <row r="36" spans="1:20" x14ac:dyDescent="0.25">
      <c r="A36" t="s">
        <v>461</v>
      </c>
      <c r="B36">
        <v>6</v>
      </c>
      <c r="C36" t="s">
        <v>53</v>
      </c>
      <c r="D36">
        <v>3</v>
      </c>
      <c r="E36">
        <v>3</v>
      </c>
      <c r="F36">
        <v>1</v>
      </c>
      <c r="G36" t="s">
        <v>112</v>
      </c>
      <c r="H36" t="s">
        <v>83</v>
      </c>
      <c r="I36" t="s">
        <v>114</v>
      </c>
      <c r="J36" t="s">
        <v>98</v>
      </c>
      <c r="K36" t="s">
        <v>38</v>
      </c>
      <c r="L36">
        <v>3</v>
      </c>
      <c r="M36">
        <v>2</v>
      </c>
      <c r="N36">
        <v>3</v>
      </c>
      <c r="O36" t="s">
        <v>152</v>
      </c>
      <c r="P36" t="s">
        <v>40</v>
      </c>
      <c r="Q36" t="s">
        <v>41</v>
      </c>
      <c r="R36" t="s">
        <v>156</v>
      </c>
      <c r="S36">
        <v>0</v>
      </c>
      <c r="T36">
        <v>18</v>
      </c>
    </row>
    <row r="37" spans="1:20" x14ac:dyDescent="0.25">
      <c r="A37" t="s">
        <v>462</v>
      </c>
      <c r="B37">
        <v>7</v>
      </c>
      <c r="C37" t="s">
        <v>56</v>
      </c>
      <c r="D37">
        <v>3</v>
      </c>
      <c r="F37">
        <v>1</v>
      </c>
      <c r="G37" t="s">
        <v>120</v>
      </c>
      <c r="H37" t="s">
        <v>121</v>
      </c>
      <c r="I37" t="s">
        <v>87</v>
      </c>
      <c r="K37" t="s">
        <v>48</v>
      </c>
      <c r="L37">
        <v>2</v>
      </c>
      <c r="N37">
        <v>1</v>
      </c>
      <c r="O37" t="s">
        <v>89</v>
      </c>
      <c r="P37" t="s">
        <v>50</v>
      </c>
      <c r="Q37" t="s">
        <v>51</v>
      </c>
      <c r="R37" t="s">
        <v>129</v>
      </c>
      <c r="S37">
        <v>0</v>
      </c>
      <c r="T37">
        <v>10</v>
      </c>
    </row>
    <row r="38" spans="1:20" x14ac:dyDescent="0.25">
      <c r="A38" t="s">
        <v>463</v>
      </c>
      <c r="B38">
        <v>8</v>
      </c>
      <c r="C38" t="s">
        <v>56</v>
      </c>
      <c r="D38">
        <v>3</v>
      </c>
      <c r="F38">
        <v>1</v>
      </c>
      <c r="G38" t="s">
        <v>120</v>
      </c>
      <c r="K38" t="s">
        <v>33</v>
      </c>
      <c r="L38">
        <v>1</v>
      </c>
      <c r="N38">
        <v>1</v>
      </c>
      <c r="O38" t="s">
        <v>46</v>
      </c>
      <c r="P38" t="s">
        <v>130</v>
      </c>
      <c r="Q38" t="s">
        <v>131</v>
      </c>
      <c r="S38">
        <v>0</v>
      </c>
      <c r="T38">
        <v>6</v>
      </c>
    </row>
    <row r="39" spans="1:20" x14ac:dyDescent="0.25">
      <c r="A39" t="s">
        <v>464</v>
      </c>
      <c r="B39">
        <v>9</v>
      </c>
      <c r="C39" t="s">
        <v>56</v>
      </c>
      <c r="D39">
        <v>2</v>
      </c>
      <c r="F39">
        <v>1</v>
      </c>
      <c r="G39" t="s">
        <v>120</v>
      </c>
      <c r="H39" t="s">
        <v>121</v>
      </c>
      <c r="I39" t="s">
        <v>87</v>
      </c>
      <c r="K39" t="s">
        <v>43</v>
      </c>
      <c r="L39">
        <v>3</v>
      </c>
      <c r="N39">
        <v>1</v>
      </c>
      <c r="O39" t="s">
        <v>135</v>
      </c>
      <c r="P39" t="s">
        <v>74</v>
      </c>
      <c r="S39">
        <v>0</v>
      </c>
      <c r="T39">
        <v>8</v>
      </c>
    </row>
    <row r="40" spans="1:20" x14ac:dyDescent="0.25">
      <c r="A40" t="s">
        <v>465</v>
      </c>
      <c r="B40">
        <v>10</v>
      </c>
      <c r="C40" t="s">
        <v>56</v>
      </c>
      <c r="D40">
        <v>1</v>
      </c>
      <c r="F40">
        <v>1</v>
      </c>
      <c r="G40" t="s">
        <v>68</v>
      </c>
      <c r="H40" t="s">
        <v>122</v>
      </c>
      <c r="I40" t="s">
        <v>87</v>
      </c>
      <c r="K40" t="s">
        <v>45</v>
      </c>
      <c r="L40">
        <v>3</v>
      </c>
      <c r="N40">
        <v>1</v>
      </c>
      <c r="O40" t="s">
        <v>86</v>
      </c>
      <c r="S40">
        <v>0</v>
      </c>
      <c r="T40">
        <v>6</v>
      </c>
    </row>
    <row r="41" spans="1:20" x14ac:dyDescent="0.25">
      <c r="A41" t="s">
        <v>466</v>
      </c>
      <c r="B41">
        <v>11</v>
      </c>
      <c r="C41" t="s">
        <v>63</v>
      </c>
      <c r="D41">
        <v>2</v>
      </c>
      <c r="F41">
        <v>2</v>
      </c>
      <c r="G41" t="s">
        <v>103</v>
      </c>
      <c r="H41" t="s">
        <v>146</v>
      </c>
      <c r="I41" t="s">
        <v>104</v>
      </c>
      <c r="J41" t="s">
        <v>149</v>
      </c>
      <c r="K41" t="s">
        <v>56</v>
      </c>
      <c r="L41">
        <v>3</v>
      </c>
      <c r="N41">
        <v>2</v>
      </c>
      <c r="O41" t="s">
        <v>57</v>
      </c>
      <c r="P41" t="s">
        <v>122</v>
      </c>
      <c r="S41">
        <v>0</v>
      </c>
      <c r="T41">
        <v>12</v>
      </c>
    </row>
    <row r="42" spans="1:20" x14ac:dyDescent="0.25">
      <c r="A42" t="s">
        <v>467</v>
      </c>
      <c r="B42">
        <v>12</v>
      </c>
      <c r="C42" t="s">
        <v>38</v>
      </c>
      <c r="D42">
        <v>2</v>
      </c>
      <c r="E42">
        <v>3</v>
      </c>
      <c r="F42">
        <v>2</v>
      </c>
      <c r="G42" t="s">
        <v>39</v>
      </c>
      <c r="H42" t="s">
        <v>96</v>
      </c>
      <c r="I42" t="s">
        <v>154</v>
      </c>
      <c r="J42" t="s">
        <v>156</v>
      </c>
      <c r="K42" t="s">
        <v>56</v>
      </c>
      <c r="L42">
        <v>3</v>
      </c>
      <c r="N42">
        <v>2</v>
      </c>
      <c r="O42" t="s">
        <v>57</v>
      </c>
      <c r="P42" t="s">
        <v>122</v>
      </c>
      <c r="Q42" t="s">
        <v>85</v>
      </c>
      <c r="R42" t="s">
        <v>125</v>
      </c>
      <c r="S42">
        <v>0</v>
      </c>
      <c r="T42">
        <v>15</v>
      </c>
    </row>
    <row r="43" spans="1:20" x14ac:dyDescent="0.25">
      <c r="A43" t="s">
        <v>468</v>
      </c>
      <c r="B43">
        <v>13</v>
      </c>
      <c r="C43" t="s">
        <v>48</v>
      </c>
      <c r="D43">
        <v>2</v>
      </c>
      <c r="F43">
        <v>1</v>
      </c>
      <c r="G43" t="s">
        <v>89</v>
      </c>
      <c r="H43" t="s">
        <v>71</v>
      </c>
      <c r="K43" t="s">
        <v>33</v>
      </c>
      <c r="L43">
        <v>1</v>
      </c>
      <c r="N43">
        <v>3</v>
      </c>
      <c r="O43" t="s">
        <v>34</v>
      </c>
      <c r="S43">
        <v>0</v>
      </c>
      <c r="T43">
        <v>8</v>
      </c>
    </row>
    <row r="44" spans="1:20" x14ac:dyDescent="0.25">
      <c r="A44" t="s">
        <v>469</v>
      </c>
      <c r="B44">
        <v>14</v>
      </c>
      <c r="C44" t="s">
        <v>48</v>
      </c>
      <c r="D44">
        <v>2</v>
      </c>
      <c r="F44">
        <v>1</v>
      </c>
      <c r="G44" t="s">
        <v>89</v>
      </c>
      <c r="H44" t="s">
        <v>71</v>
      </c>
      <c r="K44" t="s">
        <v>43</v>
      </c>
      <c r="L44">
        <v>3</v>
      </c>
      <c r="N44">
        <v>1</v>
      </c>
      <c r="O44" t="s">
        <v>44</v>
      </c>
      <c r="S44">
        <v>0</v>
      </c>
      <c r="T44">
        <v>6</v>
      </c>
    </row>
    <row r="45" spans="1:20" x14ac:dyDescent="0.25">
      <c r="A45" t="s">
        <v>470</v>
      </c>
      <c r="B45">
        <v>15</v>
      </c>
      <c r="C45" t="s">
        <v>48</v>
      </c>
      <c r="D45">
        <v>3</v>
      </c>
      <c r="F45">
        <v>3</v>
      </c>
      <c r="G45" t="s">
        <v>126</v>
      </c>
      <c r="H45" t="s">
        <v>71</v>
      </c>
      <c r="I45" t="s">
        <v>90</v>
      </c>
      <c r="J45" t="s">
        <v>128</v>
      </c>
      <c r="K45" t="s">
        <v>45</v>
      </c>
      <c r="L45">
        <v>3</v>
      </c>
      <c r="N45">
        <v>3</v>
      </c>
      <c r="O45" t="s">
        <v>86</v>
      </c>
      <c r="P45" t="s">
        <v>141</v>
      </c>
      <c r="Q45" t="s">
        <v>102</v>
      </c>
      <c r="R45" t="s">
        <v>144</v>
      </c>
      <c r="S45">
        <v>0</v>
      </c>
      <c r="T45">
        <v>16</v>
      </c>
    </row>
    <row r="46" spans="1:20" x14ac:dyDescent="0.25">
      <c r="A46" t="s">
        <v>471</v>
      </c>
      <c r="B46">
        <v>16</v>
      </c>
      <c r="C46" t="s">
        <v>63</v>
      </c>
      <c r="D46">
        <v>3</v>
      </c>
      <c r="F46">
        <v>3</v>
      </c>
      <c r="G46" t="s">
        <v>72</v>
      </c>
      <c r="H46" t="s">
        <v>146</v>
      </c>
      <c r="I46" t="s">
        <v>104</v>
      </c>
      <c r="J46" t="s">
        <v>151</v>
      </c>
      <c r="K46" t="s">
        <v>48</v>
      </c>
      <c r="L46">
        <v>3</v>
      </c>
      <c r="N46">
        <v>3</v>
      </c>
      <c r="O46" t="s">
        <v>89</v>
      </c>
      <c r="P46" t="s">
        <v>50</v>
      </c>
      <c r="Q46" t="s">
        <v>51</v>
      </c>
      <c r="R46" t="s">
        <v>52</v>
      </c>
      <c r="S46">
        <v>0</v>
      </c>
      <c r="T46">
        <v>18</v>
      </c>
    </row>
    <row r="47" spans="1:20" x14ac:dyDescent="0.25">
      <c r="A47" s="36" t="s">
        <v>472</v>
      </c>
      <c r="B47">
        <v>17</v>
      </c>
      <c r="C47" t="s">
        <v>48</v>
      </c>
      <c r="D47">
        <v>3</v>
      </c>
      <c r="F47">
        <v>1</v>
      </c>
      <c r="G47" t="s">
        <v>89</v>
      </c>
      <c r="H47" t="s">
        <v>50</v>
      </c>
      <c r="I47" t="s">
        <v>51</v>
      </c>
      <c r="J47" t="s">
        <v>128</v>
      </c>
      <c r="K47" t="s">
        <v>38</v>
      </c>
      <c r="L47">
        <v>3</v>
      </c>
      <c r="M47">
        <v>1</v>
      </c>
      <c r="N47">
        <v>2</v>
      </c>
      <c r="O47" t="s">
        <v>39</v>
      </c>
      <c r="P47" t="s">
        <v>96</v>
      </c>
      <c r="Q47" t="s">
        <v>41</v>
      </c>
      <c r="R47" t="s">
        <v>156</v>
      </c>
      <c r="S47">
        <v>0</v>
      </c>
      <c r="T47">
        <v>14</v>
      </c>
    </row>
    <row r="48" spans="1:20" x14ac:dyDescent="0.25">
      <c r="A48" t="s">
        <v>473</v>
      </c>
      <c r="B48">
        <v>18</v>
      </c>
      <c r="C48" t="s">
        <v>43</v>
      </c>
      <c r="D48">
        <v>3</v>
      </c>
      <c r="F48">
        <v>1</v>
      </c>
      <c r="G48" t="s">
        <v>135</v>
      </c>
      <c r="K48" t="s">
        <v>33</v>
      </c>
      <c r="L48">
        <v>2</v>
      </c>
      <c r="N48">
        <v>1</v>
      </c>
      <c r="O48" t="s">
        <v>65</v>
      </c>
      <c r="S48">
        <v>0</v>
      </c>
      <c r="T48">
        <v>5</v>
      </c>
    </row>
    <row r="49" spans="1:20" x14ac:dyDescent="0.25">
      <c r="A49" t="s">
        <v>474</v>
      </c>
      <c r="B49">
        <v>19</v>
      </c>
      <c r="C49" t="s">
        <v>45</v>
      </c>
      <c r="D49">
        <v>3</v>
      </c>
      <c r="F49">
        <v>1</v>
      </c>
      <c r="G49" t="s">
        <v>140</v>
      </c>
      <c r="K49" t="s">
        <v>33</v>
      </c>
      <c r="L49">
        <v>1</v>
      </c>
      <c r="N49">
        <v>2</v>
      </c>
      <c r="O49" t="s">
        <v>34</v>
      </c>
      <c r="S49">
        <v>0</v>
      </c>
      <c r="T49">
        <v>5</v>
      </c>
    </row>
    <row r="50" spans="1:20" x14ac:dyDescent="0.25">
      <c r="A50" t="s">
        <v>475</v>
      </c>
      <c r="B50">
        <v>20</v>
      </c>
      <c r="C50" t="s">
        <v>33</v>
      </c>
      <c r="D50">
        <v>1</v>
      </c>
      <c r="F50">
        <v>2</v>
      </c>
      <c r="G50" t="s">
        <v>34</v>
      </c>
      <c r="H50" t="s">
        <v>66</v>
      </c>
      <c r="I50" t="s">
        <v>36</v>
      </c>
      <c r="K50" t="s">
        <v>63</v>
      </c>
      <c r="L50">
        <v>1</v>
      </c>
      <c r="N50">
        <v>1</v>
      </c>
      <c r="O50" t="s">
        <v>72</v>
      </c>
      <c r="P50" t="s">
        <v>95</v>
      </c>
      <c r="Q50" t="s">
        <v>104</v>
      </c>
      <c r="S50">
        <v>0</v>
      </c>
      <c r="T50">
        <v>7</v>
      </c>
    </row>
    <row r="51" spans="1:20" x14ac:dyDescent="0.25">
      <c r="A51" t="s">
        <v>476</v>
      </c>
      <c r="B51">
        <v>21</v>
      </c>
      <c r="C51" t="s">
        <v>33</v>
      </c>
      <c r="D51">
        <v>1</v>
      </c>
      <c r="F51">
        <v>2</v>
      </c>
      <c r="G51" t="s">
        <v>65</v>
      </c>
      <c r="H51" t="s">
        <v>35</v>
      </c>
      <c r="K51" t="s">
        <v>38</v>
      </c>
      <c r="L51">
        <v>1</v>
      </c>
      <c r="M51">
        <v>2</v>
      </c>
      <c r="N51">
        <v>2</v>
      </c>
      <c r="O51" t="s">
        <v>67</v>
      </c>
      <c r="S51">
        <v>0</v>
      </c>
      <c r="T51">
        <v>6</v>
      </c>
    </row>
    <row r="52" spans="1:20" x14ac:dyDescent="0.25">
      <c r="A52" t="s">
        <v>477</v>
      </c>
      <c r="B52">
        <v>22</v>
      </c>
      <c r="C52" t="s">
        <v>45</v>
      </c>
      <c r="D52">
        <v>3</v>
      </c>
      <c r="F52">
        <v>1</v>
      </c>
      <c r="G52" t="s">
        <v>140</v>
      </c>
      <c r="H52" t="s">
        <v>141</v>
      </c>
      <c r="K52" t="s">
        <v>43</v>
      </c>
      <c r="L52">
        <v>1</v>
      </c>
      <c r="N52">
        <v>1</v>
      </c>
      <c r="O52" t="s">
        <v>135</v>
      </c>
      <c r="P52" t="s">
        <v>136</v>
      </c>
      <c r="Q52" t="s">
        <v>100</v>
      </c>
      <c r="S52">
        <v>0</v>
      </c>
      <c r="T52">
        <v>7</v>
      </c>
    </row>
    <row r="53" spans="1:20" x14ac:dyDescent="0.25">
      <c r="A53" t="s">
        <v>478</v>
      </c>
      <c r="B53">
        <v>23</v>
      </c>
      <c r="C53" t="s">
        <v>43</v>
      </c>
      <c r="D53">
        <v>3</v>
      </c>
      <c r="F53">
        <v>1</v>
      </c>
      <c r="G53" t="s">
        <v>44</v>
      </c>
      <c r="H53" t="s">
        <v>136</v>
      </c>
      <c r="K53" t="s">
        <v>63</v>
      </c>
      <c r="L53">
        <v>2</v>
      </c>
      <c r="N53">
        <v>1</v>
      </c>
      <c r="O53" t="s">
        <v>72</v>
      </c>
      <c r="P53" t="s">
        <v>146</v>
      </c>
      <c r="S53">
        <v>0</v>
      </c>
      <c r="T53">
        <v>7</v>
      </c>
    </row>
    <row r="54" spans="1:20" x14ac:dyDescent="0.25">
      <c r="A54" t="s">
        <v>479</v>
      </c>
      <c r="B54">
        <v>24</v>
      </c>
      <c r="C54" t="s">
        <v>38</v>
      </c>
      <c r="D54">
        <v>1</v>
      </c>
      <c r="E54">
        <v>1</v>
      </c>
      <c r="F54">
        <v>2</v>
      </c>
      <c r="G54" t="s">
        <v>39</v>
      </c>
      <c r="H54" t="s">
        <v>70</v>
      </c>
      <c r="I54" t="s">
        <v>41</v>
      </c>
      <c r="K54" t="s">
        <v>43</v>
      </c>
      <c r="L54">
        <v>2</v>
      </c>
      <c r="N54">
        <v>1</v>
      </c>
      <c r="O54" t="s">
        <v>135</v>
      </c>
      <c r="P54" t="s">
        <v>74</v>
      </c>
      <c r="S54">
        <v>0</v>
      </c>
      <c r="T54">
        <v>7</v>
      </c>
    </row>
    <row r="55" spans="1:20" x14ac:dyDescent="0.25">
      <c r="A55" t="s">
        <v>480</v>
      </c>
      <c r="B55">
        <v>25</v>
      </c>
      <c r="C55" t="s">
        <v>63</v>
      </c>
      <c r="D55">
        <v>2</v>
      </c>
      <c r="F55">
        <v>1</v>
      </c>
      <c r="G55" t="s">
        <v>72</v>
      </c>
      <c r="H55" t="s">
        <v>146</v>
      </c>
      <c r="I55" t="s">
        <v>104</v>
      </c>
      <c r="J55" t="s">
        <v>150</v>
      </c>
      <c r="K55" t="s">
        <v>45</v>
      </c>
      <c r="L55">
        <v>3</v>
      </c>
      <c r="N55">
        <v>1</v>
      </c>
      <c r="O55" t="s">
        <v>86</v>
      </c>
      <c r="P55" t="s">
        <v>141</v>
      </c>
      <c r="Q55" t="s">
        <v>102</v>
      </c>
      <c r="S55">
        <v>0</v>
      </c>
      <c r="T55">
        <v>10</v>
      </c>
    </row>
    <row r="56" spans="1:20" x14ac:dyDescent="0.25">
      <c r="A56" t="s">
        <v>481</v>
      </c>
      <c r="B56">
        <v>26</v>
      </c>
      <c r="C56" t="s">
        <v>38</v>
      </c>
      <c r="D56">
        <v>1</v>
      </c>
      <c r="E56">
        <v>1</v>
      </c>
      <c r="F56">
        <v>2</v>
      </c>
      <c r="G56" t="s">
        <v>39</v>
      </c>
      <c r="H56" t="s">
        <v>96</v>
      </c>
      <c r="I56" t="s">
        <v>41</v>
      </c>
      <c r="K56" t="s">
        <v>45</v>
      </c>
      <c r="L56">
        <v>3</v>
      </c>
      <c r="N56">
        <v>1</v>
      </c>
      <c r="O56" t="s">
        <v>140</v>
      </c>
      <c r="S56">
        <v>0</v>
      </c>
      <c r="T56">
        <v>7</v>
      </c>
    </row>
    <row r="57" spans="1:20" x14ac:dyDescent="0.25">
      <c r="A57" t="s">
        <v>482</v>
      </c>
      <c r="B57">
        <v>27</v>
      </c>
      <c r="C57" t="s">
        <v>63</v>
      </c>
      <c r="D57">
        <v>2</v>
      </c>
      <c r="F57">
        <v>1</v>
      </c>
      <c r="G57" t="s">
        <v>72</v>
      </c>
      <c r="H57" t="s">
        <v>95</v>
      </c>
      <c r="I57" t="s">
        <v>147</v>
      </c>
      <c r="J57" t="s">
        <v>151</v>
      </c>
      <c r="K57" t="s">
        <v>38</v>
      </c>
      <c r="L57">
        <v>2</v>
      </c>
      <c r="M57">
        <v>1</v>
      </c>
      <c r="N57">
        <v>1</v>
      </c>
      <c r="O57" t="s">
        <v>39</v>
      </c>
      <c r="P57" t="s">
        <v>40</v>
      </c>
      <c r="Q57" t="s">
        <v>154</v>
      </c>
      <c r="R57" t="s">
        <v>156</v>
      </c>
      <c r="S57">
        <v>0</v>
      </c>
      <c r="T57">
        <v>10</v>
      </c>
    </row>
  </sheetData>
  <phoneticPr fontId="3" type="noConversion"/>
  <conditionalFormatting sqref="B1:B1048576">
    <cfRule type="duplicateValues" dxfId="8" priority="2"/>
  </conditionalFormatting>
  <conditionalFormatting sqref="A2:B57">
    <cfRule type="duplicateValues" dxfId="7" priority="308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0A306-7E48-4B10-A381-3B183DC81E23}">
  <dimension ref="A1:M30"/>
  <sheetViews>
    <sheetView workbookViewId="0">
      <selection activeCell="H15" sqref="H15"/>
    </sheetView>
  </sheetViews>
  <sheetFormatPr defaultRowHeight="15" x14ac:dyDescent="0.25"/>
  <cols>
    <col min="1" max="1" width="11.42578125" bestFit="1" customWidth="1"/>
    <col min="2" max="2" width="13.5703125" bestFit="1" customWidth="1"/>
    <col min="3" max="3" width="11.42578125" bestFit="1" customWidth="1"/>
    <col min="4" max="4" width="13.5703125" bestFit="1" customWidth="1"/>
    <col min="5" max="5" width="9.42578125" bestFit="1" customWidth="1"/>
    <col min="7" max="7" width="11.42578125" bestFit="1" customWidth="1"/>
    <col min="8" max="8" width="9.42578125" bestFit="1" customWidth="1"/>
    <col min="9" max="9" width="7.42578125" bestFit="1" customWidth="1"/>
    <col min="10" max="10" width="10.85546875" bestFit="1" customWidth="1"/>
    <col min="12" max="12" width="25.140625" bestFit="1" customWidth="1"/>
    <col min="13" max="13" width="4.5703125" bestFit="1" customWidth="1"/>
    <col min="15" max="15" width="9.28515625" bestFit="1" customWidth="1"/>
  </cols>
  <sheetData>
    <row r="1" spans="1:13" ht="15.75" thickBot="1" x14ac:dyDescent="0.3">
      <c r="A1" s="37" t="s">
        <v>78</v>
      </c>
      <c r="B1" s="38"/>
      <c r="C1" s="38"/>
      <c r="D1" s="38"/>
      <c r="E1" s="39"/>
      <c r="G1" s="37" t="s">
        <v>82</v>
      </c>
      <c r="H1" s="38"/>
      <c r="I1" s="38"/>
      <c r="J1" s="39"/>
      <c r="L1" s="4" t="s">
        <v>157</v>
      </c>
      <c r="M1" s="30">
        <f>MIN(Scenario2[crystals])</f>
        <v>0</v>
      </c>
    </row>
    <row r="2" spans="1:13" ht="15.75" thickBot="1" x14ac:dyDescent="0.3">
      <c r="A2" t="s">
        <v>59</v>
      </c>
      <c r="B2" t="s">
        <v>81</v>
      </c>
      <c r="C2" t="s">
        <v>60</v>
      </c>
      <c r="D2" t="s">
        <v>77</v>
      </c>
      <c r="E2" t="s">
        <v>58</v>
      </c>
      <c r="G2" t="s">
        <v>106</v>
      </c>
      <c r="H2" t="s">
        <v>58</v>
      </c>
      <c r="I2" t="s">
        <v>79</v>
      </c>
      <c r="J2" t="s">
        <v>80</v>
      </c>
      <c r="L2" s="4" t="s">
        <v>107</v>
      </c>
      <c r="M2" s="30">
        <f>AVERAGE(Scenario2[crystals])</f>
        <v>0</v>
      </c>
    </row>
    <row r="3" spans="1:13" ht="15.75" thickBot="1" x14ac:dyDescent="0.3">
      <c r="A3" t="s">
        <v>53</v>
      </c>
      <c r="B3">
        <f>COUNTIFS(Scenario2[winner1],ScenarioStat2[[#This Row],[hero-1]],Scenario2[loser1],ScenarioStat2[[#This Row],[hero-2]])</f>
        <v>0</v>
      </c>
      <c r="C3" t="s">
        <v>56</v>
      </c>
      <c r="D3">
        <f>COUNTIFS(Scenario2[winner1],ScenarioStat2[[#This Row],[hero-2]],Scenario2[loser1],ScenarioStat2[[#This Row],[hero-1]])</f>
        <v>2</v>
      </c>
      <c r="E3">
        <f>ScenarioStat2[[#This Row],[team-1-win]]+ScenarioStat2[[#This Row],[team-2-win]]</f>
        <v>2</v>
      </c>
      <c r="G3" t="s">
        <v>53</v>
      </c>
      <c r="H3">
        <f>SUMIFS(ScenarioStat2[battles],ScenarioStat2[hero-1],ScenarioTeams2[[#This Row],[hero]])+SUMIFS(ScenarioStat2[battles],ScenarioStat2[hero-2],ScenarioTeams2[[#This Row],[hero]])</f>
        <v>14</v>
      </c>
      <c r="I3">
        <f>SUMIFS(ScenarioStat2[team-1-win],ScenarioStat2[hero-1],ScenarioTeams2[[#This Row],[hero]])+SUMIFS(ScenarioStat2[team-2-win],ScenarioStat2[hero-2],ScenarioTeams2[[#This Row],[hero]])</f>
        <v>9</v>
      </c>
      <c r="J3" s="3">
        <f>IF(ScenarioTeams2[[#This Row],[battles]],ScenarioTeams2[[#This Row],[wins]]/ScenarioTeams2[[#This Row],[battles]],0)</f>
        <v>0.6428571428571429</v>
      </c>
      <c r="K3" s="3"/>
      <c r="L3" s="4" t="s">
        <v>159</v>
      </c>
      <c r="M3" s="30">
        <f>MAX(Scenario2[crystals])</f>
        <v>0</v>
      </c>
    </row>
    <row r="4" spans="1:13" ht="15.75" thickBot="1" x14ac:dyDescent="0.3">
      <c r="A4" t="s">
        <v>53</v>
      </c>
      <c r="B4">
        <f>COUNTIFS(Scenario2[winner1],ScenarioStat2[[#This Row],[hero-1]],Scenario2[loser1],ScenarioStat2[[#This Row],[hero-2]])</f>
        <v>2</v>
      </c>
      <c r="C4" t="s">
        <v>48</v>
      </c>
      <c r="D4">
        <f>COUNTIFS(Scenario2[winner1],ScenarioStat2[[#This Row],[hero-2]],Scenario2[loser1],ScenarioStat2[[#This Row],[hero-1]])</f>
        <v>0</v>
      </c>
      <c r="E4">
        <f>ScenarioStat2[[#This Row],[team-1-win]]+ScenarioStat2[[#This Row],[team-2-win]]</f>
        <v>2</v>
      </c>
      <c r="G4" t="s">
        <v>56</v>
      </c>
      <c r="H4">
        <f>SUMIFS(ScenarioStat2[battles],ScenarioStat2[hero-1],ScenarioTeams2[[#This Row],[hero]])+SUMIFS(ScenarioStat2[battles],ScenarioStat2[hero-2],ScenarioTeams2[[#This Row],[hero]])</f>
        <v>14</v>
      </c>
      <c r="I4">
        <f>SUMIFS(ScenarioStat2[team-1-win],ScenarioStat2[hero-1],ScenarioTeams2[[#This Row],[hero]])+SUMIFS(ScenarioStat2[team-2-win],ScenarioStat2[hero-2],ScenarioTeams2[[#This Row],[hero]])</f>
        <v>8</v>
      </c>
      <c r="J4" s="3">
        <f>IF(ScenarioTeams2[[#This Row],[battles]],ScenarioTeams2[[#This Row],[wins]]/ScenarioTeams2[[#This Row],[battles]],0)</f>
        <v>0.5714285714285714</v>
      </c>
      <c r="K4" s="3"/>
      <c r="M4" s="7"/>
    </row>
    <row r="5" spans="1:13" ht="15.75" thickBot="1" x14ac:dyDescent="0.3">
      <c r="A5" t="s">
        <v>53</v>
      </c>
      <c r="B5">
        <f>COUNTIFS(Scenario2[winner1],ScenarioStat2[[#This Row],[hero-1]],Scenario2[loser1],ScenarioStat2[[#This Row],[hero-2]])</f>
        <v>2</v>
      </c>
      <c r="C5" t="s">
        <v>33</v>
      </c>
      <c r="D5">
        <f>COUNTIFS(Scenario2[winner1],ScenarioStat2[[#This Row],[hero-2]],Scenario2[loser1],ScenarioStat2[[#This Row],[hero-1]])</f>
        <v>0</v>
      </c>
      <c r="E5">
        <f>ScenarioStat2[[#This Row],[team-1-win]]+ScenarioStat2[[#This Row],[team-2-win]]</f>
        <v>2</v>
      </c>
      <c r="G5" t="s">
        <v>48</v>
      </c>
      <c r="H5">
        <f>SUMIFS(ScenarioStat2[battles],ScenarioStat2[hero-1],ScenarioTeams2[[#This Row],[hero]])+SUMIFS(ScenarioStat2[battles],ScenarioStat2[hero-2],ScenarioTeams2[[#This Row],[hero]])</f>
        <v>14</v>
      </c>
      <c r="I5">
        <f>SUMIFS(ScenarioStat2[team-1-win],ScenarioStat2[hero-1],ScenarioTeams2[[#This Row],[hero]])+SUMIFS(ScenarioStat2[team-2-win],ScenarioStat2[hero-2],ScenarioTeams2[[#This Row],[hero]])</f>
        <v>7</v>
      </c>
      <c r="J5" s="3">
        <f>IF(ScenarioTeams2[[#This Row],[battles]],ScenarioTeams2[[#This Row],[wins]]/ScenarioTeams2[[#This Row],[battles]],0)</f>
        <v>0.5</v>
      </c>
      <c r="K5" s="3"/>
      <c r="L5" s="4" t="s">
        <v>158</v>
      </c>
      <c r="M5" s="30">
        <f>MIN(Scenario2[turns])</f>
        <v>5</v>
      </c>
    </row>
    <row r="6" spans="1:13" ht="15.75" thickBot="1" x14ac:dyDescent="0.3">
      <c r="A6" t="s">
        <v>53</v>
      </c>
      <c r="B6">
        <f>COUNTIFS(Scenario2[winner1],ScenarioStat2[[#This Row],[hero-1]],Scenario2[loser1],ScenarioStat2[[#This Row],[hero-2]])</f>
        <v>2</v>
      </c>
      <c r="C6" t="s">
        <v>43</v>
      </c>
      <c r="D6">
        <f>COUNTIFS(Scenario2[winner1],ScenarioStat2[[#This Row],[hero-2]],Scenario2[loser1],ScenarioStat2[[#This Row],[hero-1]])</f>
        <v>0</v>
      </c>
      <c r="E6">
        <f>ScenarioStat2[[#This Row],[team-1-win]]+ScenarioStat2[[#This Row],[team-2-win]]</f>
        <v>2</v>
      </c>
      <c r="G6" t="s">
        <v>33</v>
      </c>
      <c r="H6">
        <f>SUMIFS(ScenarioStat2[battles],ScenarioStat2[hero-1],ScenarioTeams2[[#This Row],[hero]])+SUMIFS(ScenarioStat2[battles],ScenarioStat2[hero-2],ScenarioTeams2[[#This Row],[hero]])</f>
        <v>14</v>
      </c>
      <c r="I6">
        <f>SUMIFS(ScenarioStat2[team-1-win],ScenarioStat2[hero-1],ScenarioTeams2[[#This Row],[hero]])+SUMIFS(ScenarioStat2[team-2-win],ScenarioStat2[hero-2],ScenarioTeams2[[#This Row],[hero]])</f>
        <v>5</v>
      </c>
      <c r="J6" s="3">
        <f>IF(ScenarioTeams2[[#This Row],[battles]],ScenarioTeams2[[#This Row],[wins]]/ScenarioTeams2[[#This Row],[battles]],0)</f>
        <v>0.35714285714285715</v>
      </c>
      <c r="K6" s="3"/>
      <c r="L6" s="5" t="s">
        <v>108</v>
      </c>
      <c r="M6" s="31">
        <f>AVERAGE(Scenario2[turns])</f>
        <v>10.642857142857142</v>
      </c>
    </row>
    <row r="7" spans="1:13" ht="15.75" thickBot="1" x14ac:dyDescent="0.3">
      <c r="A7" t="s">
        <v>53</v>
      </c>
      <c r="B7">
        <f>COUNTIFS(Scenario2[winner1],ScenarioStat2[[#This Row],[hero-1]],Scenario2[loser1],ScenarioStat2[[#This Row],[hero-2]])</f>
        <v>2</v>
      </c>
      <c r="C7" t="s">
        <v>45</v>
      </c>
      <c r="D7">
        <f>COUNTIFS(Scenario2[winner1],ScenarioStat2[[#This Row],[hero-2]],Scenario2[loser1],ScenarioStat2[[#This Row],[hero-1]])</f>
        <v>0</v>
      </c>
      <c r="E7">
        <f>ScenarioStat2[[#This Row],[team-1-win]]+ScenarioStat2[[#This Row],[team-2-win]]</f>
        <v>2</v>
      </c>
      <c r="G7" t="s">
        <v>43</v>
      </c>
      <c r="H7">
        <f>SUMIFS(ScenarioStat2[battles],ScenarioStat2[hero-1],ScenarioTeams2[[#This Row],[hero]])+SUMIFS(ScenarioStat2[battles],ScenarioStat2[hero-2],ScenarioTeams2[[#This Row],[hero]])</f>
        <v>14</v>
      </c>
      <c r="I7">
        <f>SUMIFS(ScenarioStat2[team-1-win],ScenarioStat2[hero-1],ScenarioTeams2[[#This Row],[hero]])+SUMIFS(ScenarioStat2[team-2-win],ScenarioStat2[hero-2],ScenarioTeams2[[#This Row],[hero]])</f>
        <v>6</v>
      </c>
      <c r="J7" s="3">
        <f>IF(ScenarioTeams2[[#This Row],[battles]],ScenarioTeams2[[#This Row],[wins]]/ScenarioTeams2[[#This Row],[battles]],0)</f>
        <v>0.42857142857142855</v>
      </c>
      <c r="K7" s="3"/>
      <c r="L7" s="5" t="s">
        <v>160</v>
      </c>
      <c r="M7" s="31">
        <f>MAX(Scenario2[turns])</f>
        <v>28</v>
      </c>
    </row>
    <row r="8" spans="1:13" ht="15.75" thickBot="1" x14ac:dyDescent="0.3">
      <c r="A8" t="s">
        <v>53</v>
      </c>
      <c r="B8">
        <f>COUNTIFS(Scenario2[winner1],ScenarioStat2[[#This Row],[hero-1]],Scenario2[loser1],ScenarioStat2[[#This Row],[hero-2]])</f>
        <v>0</v>
      </c>
      <c r="C8" t="s">
        <v>63</v>
      </c>
      <c r="D8">
        <f>COUNTIFS(Scenario2[winner1],ScenarioStat2[[#This Row],[hero-2]],Scenario2[loser1],ScenarioStat2[[#This Row],[hero-1]])</f>
        <v>2</v>
      </c>
      <c r="E8">
        <f>ScenarioStat2[[#This Row],[team-1-win]]+ScenarioStat2[[#This Row],[team-2-win]]</f>
        <v>2</v>
      </c>
      <c r="G8" t="s">
        <v>45</v>
      </c>
      <c r="H8">
        <f>SUMIFS(ScenarioStat2[battles],ScenarioStat2[hero-1],ScenarioTeams2[[#This Row],[hero]])+SUMIFS(ScenarioStat2[battles],ScenarioStat2[hero-2],ScenarioTeams2[[#This Row],[hero]])</f>
        <v>14</v>
      </c>
      <c r="I8">
        <f>SUMIFS(ScenarioStat2[team-1-win],ScenarioStat2[hero-1],ScenarioTeams2[[#This Row],[hero]])+SUMIFS(ScenarioStat2[team-2-win],ScenarioStat2[hero-2],ScenarioTeams2[[#This Row],[hero]])</f>
        <v>6</v>
      </c>
      <c r="J8" s="3">
        <f>IF(ScenarioTeams2[[#This Row],[battles]],ScenarioTeams2[[#This Row],[wins]]/ScenarioTeams2[[#This Row],[battles]],0)</f>
        <v>0.42857142857142855</v>
      </c>
      <c r="K8" s="3"/>
    </row>
    <row r="9" spans="1:13" ht="15.75" thickBot="1" x14ac:dyDescent="0.3">
      <c r="A9" t="s">
        <v>53</v>
      </c>
      <c r="B9">
        <f>COUNTIFS(Scenario2[winner1],ScenarioStat2[[#This Row],[hero-1]],Scenario2[loser1],ScenarioStat2[[#This Row],[hero-2]])</f>
        <v>1</v>
      </c>
      <c r="C9" t="s">
        <v>38</v>
      </c>
      <c r="D9">
        <f>COUNTIFS(Scenario2[winner1],ScenarioStat2[[#This Row],[hero-2]],Scenario2[loser1],ScenarioStat2[[#This Row],[hero-1]])</f>
        <v>1</v>
      </c>
      <c r="E9">
        <f>ScenarioStat2[[#This Row],[team-1-win]]+ScenarioStat2[[#This Row],[team-2-win]]</f>
        <v>2</v>
      </c>
      <c r="G9" t="s">
        <v>63</v>
      </c>
      <c r="H9">
        <f>SUMIFS(ScenarioStat2[battles],ScenarioStat2[hero-1],ScenarioTeams2[[#This Row],[hero]])+SUMIFS(ScenarioStat2[battles],ScenarioStat2[hero-2],ScenarioTeams2[[#This Row],[hero]])</f>
        <v>14</v>
      </c>
      <c r="I9">
        <f>SUMIFS(ScenarioStat2[team-1-win],ScenarioStat2[hero-1],ScenarioTeams2[[#This Row],[hero]])+SUMIFS(ScenarioStat2[team-2-win],ScenarioStat2[hero-2],ScenarioTeams2[[#This Row],[hero]])</f>
        <v>10</v>
      </c>
      <c r="J9" s="3">
        <f>IF(ScenarioTeams2[[#This Row],[battles]],ScenarioTeams2[[#This Row],[wins]]/ScenarioTeams2[[#This Row],[battles]],0)</f>
        <v>0.7142857142857143</v>
      </c>
      <c r="K9" s="3"/>
      <c r="L9" s="4" t="s">
        <v>185</v>
      </c>
      <c r="M9" s="30">
        <f>120000*$M$6/1000/60</f>
        <v>21.285714285714285</v>
      </c>
    </row>
    <row r="10" spans="1:13" ht="15.75" thickBot="1" x14ac:dyDescent="0.3">
      <c r="A10" t="s">
        <v>56</v>
      </c>
      <c r="B10">
        <f>COUNTIFS(Scenario2[winner1],ScenarioStat2[[#This Row],[hero-1]],Scenario2[loser1],ScenarioStat2[[#This Row],[hero-2]])</f>
        <v>2</v>
      </c>
      <c r="C10" t="s">
        <v>48</v>
      </c>
      <c r="D10">
        <f>COUNTIFS(Scenario2[winner1],ScenarioStat2[[#This Row],[hero-2]],Scenario2[loser1],ScenarioStat2[[#This Row],[hero-1]])</f>
        <v>0</v>
      </c>
      <c r="E10">
        <f>ScenarioStat2[[#This Row],[team-1-win]]+ScenarioStat2[[#This Row],[team-2-win]]</f>
        <v>2</v>
      </c>
      <c r="G10" t="s">
        <v>38</v>
      </c>
      <c r="H10">
        <f>SUMIFS(ScenarioStat2[battles],ScenarioStat2[hero-1],ScenarioTeams2[[#This Row],[hero]])+SUMIFS(ScenarioStat2[battles],ScenarioStat2[hero-2],ScenarioTeams2[[#This Row],[hero]])</f>
        <v>14</v>
      </c>
      <c r="I10">
        <f>SUMIFS(ScenarioStat2[team-1-win],ScenarioStat2[hero-1],ScenarioTeams2[[#This Row],[hero]])+SUMIFS(ScenarioStat2[team-2-win],ScenarioStat2[hero-2],ScenarioTeams2[[#This Row],[hero]])</f>
        <v>5</v>
      </c>
      <c r="J10" s="3">
        <f>IF(ScenarioTeams2[[#This Row],[battles]],ScenarioTeams2[[#This Row],[wins]]/ScenarioTeams2[[#This Row],[battles]],0)</f>
        <v>0.35714285714285715</v>
      </c>
      <c r="K10" s="3"/>
      <c r="L10" s="5" t="s">
        <v>186</v>
      </c>
      <c r="M10" s="6">
        <f>M9*COUNTA(ScenarioStat2[hero-1])/60/24*2</f>
        <v>0.82777777777777783</v>
      </c>
    </row>
    <row r="11" spans="1:13" x14ac:dyDescent="0.25">
      <c r="A11" t="s">
        <v>56</v>
      </c>
      <c r="B11">
        <f>COUNTIFS(Scenario2[winner1],ScenarioStat2[[#This Row],[hero-1]],Scenario2[loser1],ScenarioStat2[[#This Row],[hero-2]])</f>
        <v>1</v>
      </c>
      <c r="C11" t="s">
        <v>33</v>
      </c>
      <c r="D11">
        <f>COUNTIFS(Scenario2[winner1],ScenarioStat2[[#This Row],[hero-2]],Scenario2[loser1],ScenarioStat2[[#This Row],[hero-1]])</f>
        <v>1</v>
      </c>
      <c r="E11">
        <f>ScenarioStat2[[#This Row],[team-1-win]]+ScenarioStat2[[#This Row],[team-2-win]]</f>
        <v>2</v>
      </c>
    </row>
    <row r="12" spans="1:13" x14ac:dyDescent="0.25">
      <c r="A12" t="s">
        <v>56</v>
      </c>
      <c r="B12">
        <f>COUNTIFS(Scenario2[winner1],ScenarioStat2[[#This Row],[hero-1]],Scenario2[loser1],ScenarioStat2[[#This Row],[hero-2]])</f>
        <v>1</v>
      </c>
      <c r="C12" t="s">
        <v>43</v>
      </c>
      <c r="D12">
        <f>COUNTIFS(Scenario2[winner1],ScenarioStat2[[#This Row],[hero-2]],Scenario2[loser1],ScenarioStat2[[#This Row],[hero-1]])</f>
        <v>1</v>
      </c>
      <c r="E12">
        <f>ScenarioStat2[[#This Row],[team-1-win]]+ScenarioStat2[[#This Row],[team-2-win]]</f>
        <v>2</v>
      </c>
    </row>
    <row r="13" spans="1:13" x14ac:dyDescent="0.25">
      <c r="A13" t="s">
        <v>56</v>
      </c>
      <c r="B13">
        <f>COUNTIFS(Scenario2[winner1],ScenarioStat2[[#This Row],[hero-1]],Scenario2[loser1],ScenarioStat2[[#This Row],[hero-2]])</f>
        <v>1</v>
      </c>
      <c r="C13" t="s">
        <v>45</v>
      </c>
      <c r="D13">
        <f>COUNTIFS(Scenario2[winner1],ScenarioStat2[[#This Row],[hero-2]],Scenario2[loser1],ScenarioStat2[[#This Row],[hero-1]])</f>
        <v>1</v>
      </c>
      <c r="E13">
        <f>ScenarioStat2[[#This Row],[team-1-win]]+ScenarioStat2[[#This Row],[team-2-win]]</f>
        <v>2</v>
      </c>
    </row>
    <row r="14" spans="1:13" x14ac:dyDescent="0.25">
      <c r="A14" t="s">
        <v>56</v>
      </c>
      <c r="B14">
        <f>COUNTIFS(Scenario2[winner1],ScenarioStat2[[#This Row],[hero-1]],Scenario2[loser1],ScenarioStat2[[#This Row],[hero-2]])</f>
        <v>0</v>
      </c>
      <c r="C14" t="s">
        <v>63</v>
      </c>
      <c r="D14">
        <f>COUNTIFS(Scenario2[winner1],ScenarioStat2[[#This Row],[hero-2]],Scenario2[loser1],ScenarioStat2[[#This Row],[hero-1]])</f>
        <v>2</v>
      </c>
      <c r="E14">
        <f>ScenarioStat2[[#This Row],[team-1-win]]+ScenarioStat2[[#This Row],[team-2-win]]</f>
        <v>2</v>
      </c>
    </row>
    <row r="15" spans="1:13" x14ac:dyDescent="0.25">
      <c r="A15" t="s">
        <v>56</v>
      </c>
      <c r="B15">
        <f>COUNTIFS(Scenario2[winner1],ScenarioStat2[[#This Row],[hero-1]],Scenario2[loser1],ScenarioStat2[[#This Row],[hero-2]])</f>
        <v>1</v>
      </c>
      <c r="C15" t="s">
        <v>38</v>
      </c>
      <c r="D15">
        <f>COUNTIFS(Scenario2[winner1],ScenarioStat2[[#This Row],[hero-2]],Scenario2[loser1],ScenarioStat2[[#This Row],[hero-1]])</f>
        <v>1</v>
      </c>
      <c r="E15">
        <f>ScenarioStat2[[#This Row],[team-1-win]]+ScenarioStat2[[#This Row],[team-2-win]]</f>
        <v>2</v>
      </c>
    </row>
    <row r="16" spans="1:13" x14ac:dyDescent="0.25">
      <c r="A16" t="s">
        <v>48</v>
      </c>
      <c r="B16">
        <f>COUNTIFS(Scenario2[winner1],ScenarioStat2[[#This Row],[hero-1]],Scenario2[loser1],ScenarioStat2[[#This Row],[hero-2]])</f>
        <v>2</v>
      </c>
      <c r="C16" t="s">
        <v>33</v>
      </c>
      <c r="D16">
        <f>COUNTIFS(Scenario2[winner1],ScenarioStat2[[#This Row],[hero-2]],Scenario2[loser1],ScenarioStat2[[#This Row],[hero-1]])</f>
        <v>0</v>
      </c>
      <c r="E16">
        <f>ScenarioStat2[[#This Row],[team-1-win]]+ScenarioStat2[[#This Row],[team-2-win]]</f>
        <v>2</v>
      </c>
    </row>
    <row r="17" spans="1:5" x14ac:dyDescent="0.25">
      <c r="A17" t="s">
        <v>48</v>
      </c>
      <c r="B17">
        <f>COUNTIFS(Scenario2[winner1],ScenarioStat2[[#This Row],[hero-1]],Scenario2[loser1],ScenarioStat2[[#This Row],[hero-2]])</f>
        <v>2</v>
      </c>
      <c r="C17" t="s">
        <v>43</v>
      </c>
      <c r="D17">
        <f>COUNTIFS(Scenario2[winner1],ScenarioStat2[[#This Row],[hero-2]],Scenario2[loser1],ScenarioStat2[[#This Row],[hero-1]])</f>
        <v>0</v>
      </c>
      <c r="E17">
        <f>ScenarioStat2[[#This Row],[team-1-win]]+ScenarioStat2[[#This Row],[team-2-win]]</f>
        <v>2</v>
      </c>
    </row>
    <row r="18" spans="1:5" x14ac:dyDescent="0.25">
      <c r="A18" t="s">
        <v>48</v>
      </c>
      <c r="B18">
        <f>COUNTIFS(Scenario2[winner1],ScenarioStat2[[#This Row],[hero-1]],Scenario2[loser1],ScenarioStat2[[#This Row],[hero-2]])</f>
        <v>2</v>
      </c>
      <c r="C18" t="s">
        <v>45</v>
      </c>
      <c r="D18">
        <f>COUNTIFS(Scenario2[winner1],ScenarioStat2[[#This Row],[hero-2]],Scenario2[loser1],ScenarioStat2[[#This Row],[hero-1]])</f>
        <v>0</v>
      </c>
      <c r="E18">
        <f>ScenarioStat2[[#This Row],[team-1-win]]+ScenarioStat2[[#This Row],[team-2-win]]</f>
        <v>2</v>
      </c>
    </row>
    <row r="19" spans="1:5" x14ac:dyDescent="0.25">
      <c r="A19" t="s">
        <v>48</v>
      </c>
      <c r="B19">
        <f>COUNTIFS(Scenario2[winner1],ScenarioStat2[[#This Row],[hero-1]],Scenario2[loser1],ScenarioStat2[[#This Row],[hero-2]])</f>
        <v>0</v>
      </c>
      <c r="C19" t="s">
        <v>63</v>
      </c>
      <c r="D19">
        <f>COUNTIFS(Scenario2[winner1],ScenarioStat2[[#This Row],[hero-2]],Scenario2[loser1],ScenarioStat2[[#This Row],[hero-1]])</f>
        <v>2</v>
      </c>
      <c r="E19">
        <f>ScenarioStat2[[#This Row],[team-1-win]]+ScenarioStat2[[#This Row],[team-2-win]]</f>
        <v>2</v>
      </c>
    </row>
    <row r="20" spans="1:5" x14ac:dyDescent="0.25">
      <c r="A20" t="s">
        <v>48</v>
      </c>
      <c r="B20">
        <f>COUNTIFS(Scenario2[winner1],ScenarioStat2[[#This Row],[hero-1]],Scenario2[loser1],ScenarioStat2[[#This Row],[hero-2]])</f>
        <v>1</v>
      </c>
      <c r="C20" t="s">
        <v>38</v>
      </c>
      <c r="D20">
        <f>COUNTIFS(Scenario2[winner1],ScenarioStat2[[#This Row],[hero-2]],Scenario2[loser1],ScenarioStat2[[#This Row],[hero-1]])</f>
        <v>1</v>
      </c>
      <c r="E20">
        <f>ScenarioStat2[[#This Row],[team-1-win]]+ScenarioStat2[[#This Row],[team-2-win]]</f>
        <v>2</v>
      </c>
    </row>
    <row r="21" spans="1:5" x14ac:dyDescent="0.25">
      <c r="A21" t="s">
        <v>33</v>
      </c>
      <c r="B21">
        <f>COUNTIFS(Scenario2[winner1],ScenarioStat2[[#This Row],[hero-1]],Scenario2[loser1],ScenarioStat2[[#This Row],[hero-2]])</f>
        <v>0</v>
      </c>
      <c r="C21" t="s">
        <v>43</v>
      </c>
      <c r="D21">
        <f>COUNTIFS(Scenario2[winner1],ScenarioStat2[[#This Row],[hero-2]],Scenario2[loser1],ScenarioStat2[[#This Row],[hero-1]])</f>
        <v>2</v>
      </c>
      <c r="E21">
        <f>ScenarioStat2[[#This Row],[team-1-win]]+ScenarioStat2[[#This Row],[team-2-win]]</f>
        <v>2</v>
      </c>
    </row>
    <row r="22" spans="1:5" x14ac:dyDescent="0.25">
      <c r="A22" t="s">
        <v>33</v>
      </c>
      <c r="B22">
        <f>COUNTIFS(Scenario2[winner1],ScenarioStat2[[#This Row],[hero-1]],Scenario2[loser1],ScenarioStat2[[#This Row],[hero-2]])</f>
        <v>0</v>
      </c>
      <c r="C22" t="s">
        <v>45</v>
      </c>
      <c r="D22">
        <f>COUNTIFS(Scenario2[winner1],ScenarioStat2[[#This Row],[hero-2]],Scenario2[loser1],ScenarioStat2[[#This Row],[hero-1]])</f>
        <v>2</v>
      </c>
      <c r="E22">
        <f>ScenarioStat2[[#This Row],[team-1-win]]+ScenarioStat2[[#This Row],[team-2-win]]</f>
        <v>2</v>
      </c>
    </row>
    <row r="23" spans="1:5" x14ac:dyDescent="0.25">
      <c r="A23" t="s">
        <v>33</v>
      </c>
      <c r="B23">
        <f>COUNTIFS(Scenario2[winner1],ScenarioStat2[[#This Row],[hero-1]],Scenario2[loser1],ScenarioStat2[[#This Row],[hero-2]])</f>
        <v>2</v>
      </c>
      <c r="C23" t="s">
        <v>63</v>
      </c>
      <c r="D23">
        <f>COUNTIFS(Scenario2[winner1],ScenarioStat2[[#This Row],[hero-2]],Scenario2[loser1],ScenarioStat2[[#This Row],[hero-1]])</f>
        <v>0</v>
      </c>
      <c r="E23">
        <f>ScenarioStat2[[#This Row],[team-1-win]]+ScenarioStat2[[#This Row],[team-2-win]]</f>
        <v>2</v>
      </c>
    </row>
    <row r="24" spans="1:5" x14ac:dyDescent="0.25">
      <c r="A24" t="s">
        <v>33</v>
      </c>
      <c r="B24">
        <f>COUNTIFS(Scenario2[winner1],ScenarioStat2[[#This Row],[hero-1]],Scenario2[loser1],ScenarioStat2[[#This Row],[hero-2]])</f>
        <v>2</v>
      </c>
      <c r="C24" t="s">
        <v>38</v>
      </c>
      <c r="D24">
        <f>COUNTIFS(Scenario2[winner1],ScenarioStat2[[#This Row],[hero-2]],Scenario2[loser1],ScenarioStat2[[#This Row],[hero-1]])</f>
        <v>0</v>
      </c>
      <c r="E24">
        <f>ScenarioStat2[[#This Row],[team-1-win]]+ScenarioStat2[[#This Row],[team-2-win]]</f>
        <v>2</v>
      </c>
    </row>
    <row r="25" spans="1:5" x14ac:dyDescent="0.25">
      <c r="A25" t="s">
        <v>43</v>
      </c>
      <c r="B25">
        <f>COUNTIFS(Scenario2[winner1],ScenarioStat2[[#This Row],[hero-1]],Scenario2[loser1],ScenarioStat2[[#This Row],[hero-2]])</f>
        <v>0</v>
      </c>
      <c r="C25" t="s">
        <v>45</v>
      </c>
      <c r="D25">
        <f>COUNTIFS(Scenario2[winner1],ScenarioStat2[[#This Row],[hero-2]],Scenario2[loser1],ScenarioStat2[[#This Row],[hero-1]])</f>
        <v>2</v>
      </c>
      <c r="E25">
        <f>ScenarioStat2[[#This Row],[team-1-win]]+ScenarioStat2[[#This Row],[team-2-win]]</f>
        <v>2</v>
      </c>
    </row>
    <row r="26" spans="1:5" x14ac:dyDescent="0.25">
      <c r="A26" t="s">
        <v>43</v>
      </c>
      <c r="B26">
        <f>COUNTIFS(Scenario2[winner1],ScenarioStat2[[#This Row],[hero-1]],Scenario2[loser1],ScenarioStat2[[#This Row],[hero-2]])</f>
        <v>2</v>
      </c>
      <c r="C26" t="s">
        <v>63</v>
      </c>
      <c r="D26">
        <f>COUNTIFS(Scenario2[winner1],ScenarioStat2[[#This Row],[hero-2]],Scenario2[loser1],ScenarioStat2[[#This Row],[hero-1]])</f>
        <v>0</v>
      </c>
      <c r="E26">
        <f>ScenarioStat2[[#This Row],[team-1-win]]+ScenarioStat2[[#This Row],[team-2-win]]</f>
        <v>2</v>
      </c>
    </row>
    <row r="27" spans="1:5" x14ac:dyDescent="0.25">
      <c r="A27" t="s">
        <v>43</v>
      </c>
      <c r="B27">
        <f>COUNTIFS(Scenario2[winner1],ScenarioStat2[[#This Row],[hero-1]],Scenario2[loser1],ScenarioStat2[[#This Row],[hero-2]])</f>
        <v>1</v>
      </c>
      <c r="C27" t="s">
        <v>38</v>
      </c>
      <c r="D27">
        <f>COUNTIFS(Scenario2[winner1],ScenarioStat2[[#This Row],[hero-2]],Scenario2[loser1],ScenarioStat2[[#This Row],[hero-1]])</f>
        <v>1</v>
      </c>
      <c r="E27">
        <f>ScenarioStat2[[#This Row],[team-1-win]]+ScenarioStat2[[#This Row],[team-2-win]]</f>
        <v>2</v>
      </c>
    </row>
    <row r="28" spans="1:5" x14ac:dyDescent="0.25">
      <c r="A28" t="s">
        <v>45</v>
      </c>
      <c r="B28">
        <f>COUNTIFS(Scenario2[winner1],ScenarioStat2[[#This Row],[hero-1]],Scenario2[loser1],ScenarioStat2[[#This Row],[hero-2]])</f>
        <v>0</v>
      </c>
      <c r="C28" t="s">
        <v>63</v>
      </c>
      <c r="D28">
        <f>COUNTIFS(Scenario2[winner1],ScenarioStat2[[#This Row],[hero-2]],Scenario2[loser1],ScenarioStat2[[#This Row],[hero-1]])</f>
        <v>2</v>
      </c>
      <c r="E28">
        <f>ScenarioStat2[[#This Row],[team-1-win]]+ScenarioStat2[[#This Row],[team-2-win]]</f>
        <v>2</v>
      </c>
    </row>
    <row r="29" spans="1:5" x14ac:dyDescent="0.25">
      <c r="A29" t="s">
        <v>45</v>
      </c>
      <c r="B29">
        <f>COUNTIFS(Scenario2[winner1],ScenarioStat2[[#This Row],[hero-1]],Scenario2[loser1],ScenarioStat2[[#This Row],[hero-2]])</f>
        <v>1</v>
      </c>
      <c r="C29" t="s">
        <v>38</v>
      </c>
      <c r="D29">
        <f>COUNTIFS(Scenario2[winner1],ScenarioStat2[[#This Row],[hero-2]],Scenario2[loser1],ScenarioStat2[[#This Row],[hero-1]])</f>
        <v>1</v>
      </c>
      <c r="E29">
        <f>ScenarioStat2[[#This Row],[team-1-win]]+ScenarioStat2[[#This Row],[team-2-win]]</f>
        <v>2</v>
      </c>
    </row>
    <row r="30" spans="1:5" x14ac:dyDescent="0.25">
      <c r="A30" t="s">
        <v>63</v>
      </c>
      <c r="B30">
        <f>COUNTIFS(Scenario2[winner1],ScenarioStat2[[#This Row],[hero-1]],Scenario2[loser1],ScenarioStat2[[#This Row],[hero-2]])</f>
        <v>2</v>
      </c>
      <c r="C30" t="s">
        <v>38</v>
      </c>
      <c r="D30">
        <f>COUNTIFS(Scenario2[winner1],ScenarioStat2[[#This Row],[hero-2]],Scenario2[loser1],ScenarioStat2[[#This Row],[hero-1]])</f>
        <v>0</v>
      </c>
      <c r="E30">
        <f>ScenarioStat2[[#This Row],[team-1-win]]+ScenarioStat2[[#This Row],[team-2-win]]</f>
        <v>2</v>
      </c>
    </row>
  </sheetData>
  <mergeCells count="2">
    <mergeCell ref="A1:E1"/>
    <mergeCell ref="G1:J1"/>
  </mergeCells>
  <conditionalFormatting sqref="J3:J10">
    <cfRule type="colorScale" priority="59">
      <colorScale>
        <cfvo type="min"/>
        <cfvo type="max"/>
        <color rgb="FFFFEF9C"/>
        <color rgb="FF63BE7B"/>
      </colorScale>
    </cfRule>
  </conditionalFormatting>
  <conditionalFormatting sqref="K3:K1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9CF00-6C84-47E3-B6DC-2D8EBC0E813F}">
  <dimension ref="A1:AB57"/>
  <sheetViews>
    <sheetView workbookViewId="0">
      <selection activeCell="AE52" sqref="AE52"/>
    </sheetView>
  </sheetViews>
  <sheetFormatPr defaultRowHeight="15" x14ac:dyDescent="0.25"/>
  <cols>
    <col min="1" max="1" width="37.7109375" bestFit="1" customWidth="1"/>
    <col min="2" max="2" width="8.28515625" bestFit="1" customWidth="1"/>
    <col min="3" max="3" width="11.42578125" bestFit="1" customWidth="1"/>
    <col min="4" max="4" width="13" hidden="1" customWidth="1"/>
    <col min="5" max="5" width="12.7109375" hidden="1" customWidth="1"/>
    <col min="6" max="6" width="12.42578125" hidden="1" customWidth="1"/>
    <col min="7" max="7" width="21.140625" hidden="1" customWidth="1"/>
    <col min="8" max="8" width="19.140625" hidden="1" customWidth="1"/>
    <col min="9" max="10" width="18" hidden="1" customWidth="1"/>
    <col min="11" max="11" width="11.42578125" bestFit="1" customWidth="1"/>
    <col min="12" max="12" width="12.140625" hidden="1" customWidth="1"/>
    <col min="13" max="13" width="11.85546875" hidden="1" customWidth="1"/>
    <col min="14" max="14" width="11.42578125" hidden="1" customWidth="1"/>
    <col min="15" max="15" width="18.42578125" hidden="1" customWidth="1"/>
    <col min="16" max="16" width="18.7109375" hidden="1" customWidth="1"/>
    <col min="17" max="17" width="20.7109375" hidden="1" customWidth="1"/>
    <col min="18" max="18" width="17.28515625" hidden="1" customWidth="1"/>
    <col min="19" max="19" width="11.42578125" bestFit="1" customWidth="1"/>
    <col min="20" max="26" width="17.28515625" hidden="1" customWidth="1"/>
    <col min="27" max="27" width="9.85546875" bestFit="1" customWidth="1"/>
    <col min="28" max="28" width="7.85546875" bestFit="1" customWidth="1"/>
  </cols>
  <sheetData>
    <row r="1" spans="1:28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s="32" t="s">
        <v>25</v>
      </c>
      <c r="T1" s="32" t="s">
        <v>26</v>
      </c>
      <c r="U1" s="32" t="s">
        <v>27</v>
      </c>
      <c r="V1" s="32" t="s">
        <v>28</v>
      </c>
      <c r="W1" s="32" t="s">
        <v>29</v>
      </c>
      <c r="X1" s="32" t="s">
        <v>119</v>
      </c>
      <c r="Y1" s="32" t="s">
        <v>30</v>
      </c>
      <c r="Z1" s="32" t="s">
        <v>31</v>
      </c>
      <c r="AA1" t="s">
        <v>64</v>
      </c>
      <c r="AB1" t="s">
        <v>32</v>
      </c>
    </row>
    <row r="2" spans="1:28" x14ac:dyDescent="0.25">
      <c r="A2" t="s">
        <v>483</v>
      </c>
      <c r="B2">
        <v>0</v>
      </c>
      <c r="C2" t="s">
        <v>56</v>
      </c>
      <c r="D2">
        <v>3</v>
      </c>
      <c r="F2">
        <v>3</v>
      </c>
      <c r="G2" t="s">
        <v>120</v>
      </c>
      <c r="H2" t="s">
        <v>121</v>
      </c>
      <c r="I2" t="s">
        <v>123</v>
      </c>
      <c r="J2" t="s">
        <v>124</v>
      </c>
      <c r="K2" t="s">
        <v>53</v>
      </c>
      <c r="L2">
        <v>1</v>
      </c>
      <c r="M2">
        <v>3</v>
      </c>
      <c r="N2">
        <v>3</v>
      </c>
      <c r="O2" t="s">
        <v>112</v>
      </c>
      <c r="P2" t="s">
        <v>55</v>
      </c>
      <c r="Q2" t="s">
        <v>105</v>
      </c>
      <c r="R2" t="s">
        <v>115</v>
      </c>
      <c r="S2" t="s">
        <v>48</v>
      </c>
      <c r="T2">
        <v>1</v>
      </c>
      <c r="V2">
        <v>3</v>
      </c>
      <c r="W2" t="s">
        <v>49</v>
      </c>
      <c r="X2" t="s">
        <v>84</v>
      </c>
      <c r="Y2" t="s">
        <v>90</v>
      </c>
      <c r="AA2">
        <v>0</v>
      </c>
      <c r="AB2">
        <v>22</v>
      </c>
    </row>
    <row r="3" spans="1:28" x14ac:dyDescent="0.25">
      <c r="A3" t="s">
        <v>484</v>
      </c>
      <c r="B3">
        <v>1</v>
      </c>
      <c r="C3" t="s">
        <v>33</v>
      </c>
      <c r="D3">
        <v>3</v>
      </c>
      <c r="F3">
        <v>3</v>
      </c>
      <c r="G3" t="s">
        <v>34</v>
      </c>
      <c r="H3" t="s">
        <v>130</v>
      </c>
      <c r="I3" t="s">
        <v>132</v>
      </c>
      <c r="J3" t="s">
        <v>133</v>
      </c>
      <c r="K3" t="s">
        <v>53</v>
      </c>
      <c r="L3">
        <v>1</v>
      </c>
      <c r="M3">
        <v>3</v>
      </c>
      <c r="N3">
        <v>3</v>
      </c>
      <c r="O3" t="s">
        <v>112</v>
      </c>
      <c r="P3" t="s">
        <v>83</v>
      </c>
      <c r="Q3" t="s">
        <v>114</v>
      </c>
      <c r="S3" t="s">
        <v>56</v>
      </c>
      <c r="T3">
        <v>3</v>
      </c>
      <c r="V3">
        <v>3</v>
      </c>
      <c r="W3" t="s">
        <v>120</v>
      </c>
      <c r="X3" t="s">
        <v>69</v>
      </c>
      <c r="Y3" t="s">
        <v>87</v>
      </c>
      <c r="Z3" t="s">
        <v>125</v>
      </c>
      <c r="AA3">
        <v>0</v>
      </c>
      <c r="AB3">
        <v>24</v>
      </c>
    </row>
    <row r="4" spans="1:28" x14ac:dyDescent="0.25">
      <c r="A4" t="s">
        <v>485</v>
      </c>
      <c r="B4">
        <v>2</v>
      </c>
      <c r="C4" t="s">
        <v>56</v>
      </c>
      <c r="D4">
        <v>3</v>
      </c>
      <c r="F4">
        <v>3</v>
      </c>
      <c r="G4" t="s">
        <v>120</v>
      </c>
      <c r="H4" t="s">
        <v>121</v>
      </c>
      <c r="I4" t="s">
        <v>123</v>
      </c>
      <c r="J4" t="s">
        <v>124</v>
      </c>
      <c r="K4" t="s">
        <v>53</v>
      </c>
      <c r="L4">
        <v>1</v>
      </c>
      <c r="M4">
        <v>3</v>
      </c>
      <c r="N4">
        <v>3</v>
      </c>
      <c r="O4" t="s">
        <v>112</v>
      </c>
      <c r="P4" t="s">
        <v>55</v>
      </c>
      <c r="Q4" t="s">
        <v>97</v>
      </c>
      <c r="R4" t="s">
        <v>116</v>
      </c>
      <c r="S4" t="s">
        <v>43</v>
      </c>
      <c r="T4">
        <v>3</v>
      </c>
      <c r="V4">
        <v>3</v>
      </c>
      <c r="W4" t="s">
        <v>44</v>
      </c>
      <c r="X4" t="s">
        <v>99</v>
      </c>
      <c r="Y4" t="s">
        <v>75</v>
      </c>
      <c r="Z4" t="s">
        <v>138</v>
      </c>
      <c r="AA4">
        <v>0</v>
      </c>
      <c r="AB4">
        <v>28</v>
      </c>
    </row>
    <row r="5" spans="1:28" x14ac:dyDescent="0.25">
      <c r="A5" t="s">
        <v>486</v>
      </c>
      <c r="B5">
        <v>3</v>
      </c>
      <c r="C5" t="s">
        <v>56</v>
      </c>
      <c r="D5">
        <v>3</v>
      </c>
      <c r="F5">
        <v>3</v>
      </c>
      <c r="G5" t="s">
        <v>57</v>
      </c>
      <c r="H5" t="s">
        <v>69</v>
      </c>
      <c r="I5" t="s">
        <v>85</v>
      </c>
      <c r="J5" t="s">
        <v>124</v>
      </c>
      <c r="K5" t="s">
        <v>53</v>
      </c>
      <c r="L5">
        <v>3</v>
      </c>
      <c r="M5">
        <v>3</v>
      </c>
      <c r="N5">
        <v>3</v>
      </c>
      <c r="O5" t="s">
        <v>112</v>
      </c>
      <c r="P5" t="s">
        <v>55</v>
      </c>
      <c r="Q5" t="s">
        <v>97</v>
      </c>
      <c r="R5" t="s">
        <v>115</v>
      </c>
      <c r="S5" t="s">
        <v>45</v>
      </c>
      <c r="T5">
        <v>3</v>
      </c>
      <c r="V5">
        <v>3</v>
      </c>
      <c r="W5" t="s">
        <v>86</v>
      </c>
      <c r="X5" t="s">
        <v>141</v>
      </c>
      <c r="Y5" t="s">
        <v>93</v>
      </c>
      <c r="Z5" t="s">
        <v>94</v>
      </c>
      <c r="AA5">
        <v>0</v>
      </c>
      <c r="AB5">
        <v>38</v>
      </c>
    </row>
    <row r="6" spans="1:28" x14ac:dyDescent="0.25">
      <c r="A6" t="s">
        <v>487</v>
      </c>
      <c r="B6">
        <v>4</v>
      </c>
      <c r="C6" t="s">
        <v>56</v>
      </c>
      <c r="D6">
        <v>3</v>
      </c>
      <c r="F6">
        <v>1</v>
      </c>
      <c r="G6" t="s">
        <v>57</v>
      </c>
      <c r="H6" t="s">
        <v>69</v>
      </c>
      <c r="I6" t="s">
        <v>85</v>
      </c>
      <c r="J6" t="s">
        <v>125</v>
      </c>
      <c r="K6" t="s">
        <v>53</v>
      </c>
      <c r="L6">
        <v>1</v>
      </c>
      <c r="M6">
        <v>1</v>
      </c>
      <c r="N6">
        <v>3</v>
      </c>
      <c r="O6" t="s">
        <v>112</v>
      </c>
      <c r="P6" t="s">
        <v>83</v>
      </c>
      <c r="Q6" t="s">
        <v>97</v>
      </c>
      <c r="R6" t="s">
        <v>98</v>
      </c>
      <c r="S6" t="s">
        <v>63</v>
      </c>
      <c r="T6">
        <v>3</v>
      </c>
      <c r="V6">
        <v>1</v>
      </c>
      <c r="W6" t="s">
        <v>103</v>
      </c>
      <c r="X6" t="s">
        <v>95</v>
      </c>
      <c r="Y6" t="s">
        <v>147</v>
      </c>
      <c r="Z6" t="s">
        <v>149</v>
      </c>
      <c r="AA6">
        <v>0</v>
      </c>
      <c r="AB6">
        <v>19</v>
      </c>
    </row>
    <row r="7" spans="1:28" x14ac:dyDescent="0.25">
      <c r="A7" t="s">
        <v>488</v>
      </c>
      <c r="B7">
        <v>5</v>
      </c>
      <c r="C7" t="s">
        <v>53</v>
      </c>
      <c r="D7">
        <v>3</v>
      </c>
      <c r="E7">
        <v>3</v>
      </c>
      <c r="F7">
        <v>3</v>
      </c>
      <c r="G7" t="s">
        <v>112</v>
      </c>
      <c r="H7" t="s">
        <v>83</v>
      </c>
      <c r="I7" t="s">
        <v>105</v>
      </c>
      <c r="J7" t="s">
        <v>98</v>
      </c>
      <c r="K7" t="s">
        <v>56</v>
      </c>
      <c r="L7">
        <v>3</v>
      </c>
      <c r="N7">
        <v>3</v>
      </c>
      <c r="O7" t="s">
        <v>120</v>
      </c>
      <c r="P7" t="s">
        <v>69</v>
      </c>
      <c r="Q7" t="s">
        <v>87</v>
      </c>
      <c r="R7" t="s">
        <v>124</v>
      </c>
      <c r="S7" t="s">
        <v>38</v>
      </c>
      <c r="T7">
        <v>2</v>
      </c>
      <c r="U7">
        <v>1</v>
      </c>
      <c r="V7">
        <v>1</v>
      </c>
      <c r="W7" t="s">
        <v>39</v>
      </c>
      <c r="X7" t="s">
        <v>40</v>
      </c>
      <c r="Y7" t="s">
        <v>153</v>
      </c>
      <c r="Z7" t="s">
        <v>156</v>
      </c>
      <c r="AA7">
        <v>0</v>
      </c>
      <c r="AB7">
        <v>23</v>
      </c>
    </row>
    <row r="8" spans="1:28" x14ac:dyDescent="0.25">
      <c r="A8" t="s">
        <v>489</v>
      </c>
      <c r="B8">
        <v>6</v>
      </c>
      <c r="C8" t="s">
        <v>53</v>
      </c>
      <c r="D8">
        <v>3</v>
      </c>
      <c r="E8">
        <v>3</v>
      </c>
      <c r="F8">
        <v>3</v>
      </c>
      <c r="G8" t="s">
        <v>112</v>
      </c>
      <c r="H8" t="s">
        <v>83</v>
      </c>
      <c r="I8" t="s">
        <v>105</v>
      </c>
      <c r="J8" t="s">
        <v>98</v>
      </c>
      <c r="K8" t="s">
        <v>48</v>
      </c>
      <c r="L8">
        <v>3</v>
      </c>
      <c r="N8">
        <v>3</v>
      </c>
      <c r="O8" t="s">
        <v>89</v>
      </c>
      <c r="P8" t="s">
        <v>50</v>
      </c>
      <c r="Q8" t="s">
        <v>127</v>
      </c>
      <c r="R8" t="s">
        <v>129</v>
      </c>
      <c r="S8" t="s">
        <v>33</v>
      </c>
      <c r="T8">
        <v>3</v>
      </c>
      <c r="V8">
        <v>3</v>
      </c>
      <c r="W8" t="s">
        <v>34</v>
      </c>
      <c r="X8" t="s">
        <v>130</v>
      </c>
      <c r="Y8" t="s">
        <v>36</v>
      </c>
      <c r="Z8" t="s">
        <v>133</v>
      </c>
      <c r="AA8">
        <v>0</v>
      </c>
      <c r="AB8">
        <v>40</v>
      </c>
    </row>
    <row r="9" spans="1:28" x14ac:dyDescent="0.25">
      <c r="A9" t="s">
        <v>490</v>
      </c>
      <c r="B9">
        <v>7</v>
      </c>
      <c r="C9" t="s">
        <v>48</v>
      </c>
      <c r="D9">
        <v>3</v>
      </c>
      <c r="F9">
        <v>3</v>
      </c>
      <c r="G9" t="s">
        <v>126</v>
      </c>
      <c r="H9" t="s">
        <v>71</v>
      </c>
      <c r="I9" t="s">
        <v>51</v>
      </c>
      <c r="J9" t="s">
        <v>52</v>
      </c>
      <c r="K9" t="s">
        <v>53</v>
      </c>
      <c r="L9">
        <v>1</v>
      </c>
      <c r="M9">
        <v>3</v>
      </c>
      <c r="N9">
        <v>2</v>
      </c>
      <c r="O9" t="s">
        <v>112</v>
      </c>
      <c r="P9" t="s">
        <v>55</v>
      </c>
      <c r="Q9" t="s">
        <v>105</v>
      </c>
      <c r="R9" t="s">
        <v>115</v>
      </c>
      <c r="S9" t="s">
        <v>43</v>
      </c>
      <c r="T9">
        <v>3</v>
      </c>
      <c r="V9">
        <v>3</v>
      </c>
      <c r="W9" t="s">
        <v>44</v>
      </c>
      <c r="X9" t="s">
        <v>136</v>
      </c>
      <c r="Y9" t="s">
        <v>137</v>
      </c>
      <c r="Z9" t="s">
        <v>138</v>
      </c>
      <c r="AA9">
        <v>0</v>
      </c>
      <c r="AB9">
        <v>27</v>
      </c>
    </row>
    <row r="10" spans="1:28" x14ac:dyDescent="0.25">
      <c r="A10" t="s">
        <v>491</v>
      </c>
      <c r="B10">
        <v>8</v>
      </c>
      <c r="C10" t="s">
        <v>53</v>
      </c>
      <c r="D10">
        <v>3</v>
      </c>
      <c r="E10">
        <v>3</v>
      </c>
      <c r="F10">
        <v>3</v>
      </c>
      <c r="G10" t="s">
        <v>112</v>
      </c>
      <c r="H10" t="s">
        <v>83</v>
      </c>
      <c r="I10" t="s">
        <v>105</v>
      </c>
      <c r="J10" t="s">
        <v>115</v>
      </c>
      <c r="K10" t="s">
        <v>48</v>
      </c>
      <c r="L10">
        <v>3</v>
      </c>
      <c r="N10">
        <v>1</v>
      </c>
      <c r="O10" t="s">
        <v>126</v>
      </c>
      <c r="P10" t="s">
        <v>71</v>
      </c>
      <c r="Q10" t="s">
        <v>51</v>
      </c>
      <c r="R10" t="s">
        <v>52</v>
      </c>
      <c r="S10" t="s">
        <v>45</v>
      </c>
      <c r="T10">
        <v>3</v>
      </c>
      <c r="V10">
        <v>3</v>
      </c>
      <c r="W10" t="s">
        <v>86</v>
      </c>
      <c r="X10" t="s">
        <v>141</v>
      </c>
      <c r="Y10" t="s">
        <v>102</v>
      </c>
      <c r="Z10" t="s">
        <v>143</v>
      </c>
      <c r="AA10">
        <v>0</v>
      </c>
      <c r="AB10">
        <v>28</v>
      </c>
    </row>
    <row r="11" spans="1:28" x14ac:dyDescent="0.25">
      <c r="A11" t="s">
        <v>492</v>
      </c>
      <c r="B11">
        <v>9</v>
      </c>
      <c r="C11" t="s">
        <v>53</v>
      </c>
      <c r="D11">
        <v>2</v>
      </c>
      <c r="E11">
        <v>3</v>
      </c>
      <c r="F11">
        <v>2</v>
      </c>
      <c r="G11" t="s">
        <v>112</v>
      </c>
      <c r="H11" t="s">
        <v>83</v>
      </c>
      <c r="I11" t="s">
        <v>105</v>
      </c>
      <c r="J11" t="s">
        <v>115</v>
      </c>
      <c r="K11" t="s">
        <v>48</v>
      </c>
      <c r="L11">
        <v>1</v>
      </c>
      <c r="N11">
        <v>1</v>
      </c>
      <c r="O11" t="s">
        <v>126</v>
      </c>
      <c r="P11" t="s">
        <v>71</v>
      </c>
      <c r="Q11" t="s">
        <v>51</v>
      </c>
      <c r="R11" t="s">
        <v>52</v>
      </c>
      <c r="S11" t="s">
        <v>63</v>
      </c>
      <c r="T11">
        <v>3</v>
      </c>
      <c r="V11">
        <v>2</v>
      </c>
      <c r="W11" t="s">
        <v>72</v>
      </c>
      <c r="X11" t="s">
        <v>95</v>
      </c>
      <c r="Y11" t="s">
        <v>147</v>
      </c>
      <c r="Z11" t="s">
        <v>150</v>
      </c>
      <c r="AA11">
        <v>0</v>
      </c>
      <c r="AB11">
        <v>19</v>
      </c>
    </row>
    <row r="12" spans="1:28" x14ac:dyDescent="0.25">
      <c r="A12" t="s">
        <v>493</v>
      </c>
      <c r="B12">
        <v>10</v>
      </c>
      <c r="C12" t="s">
        <v>53</v>
      </c>
      <c r="D12">
        <v>3</v>
      </c>
      <c r="E12">
        <v>3</v>
      </c>
      <c r="F12">
        <v>3</v>
      </c>
      <c r="G12" t="s">
        <v>112</v>
      </c>
      <c r="H12" t="s">
        <v>83</v>
      </c>
      <c r="I12" t="s">
        <v>114</v>
      </c>
      <c r="J12" t="s">
        <v>116</v>
      </c>
      <c r="K12" t="s">
        <v>48</v>
      </c>
      <c r="L12">
        <v>3</v>
      </c>
      <c r="N12">
        <v>3</v>
      </c>
      <c r="O12" t="s">
        <v>49</v>
      </c>
      <c r="P12" t="s">
        <v>71</v>
      </c>
      <c r="Q12" t="s">
        <v>90</v>
      </c>
      <c r="R12" t="s">
        <v>52</v>
      </c>
      <c r="S12" t="s">
        <v>38</v>
      </c>
      <c r="T12">
        <v>3</v>
      </c>
      <c r="U12">
        <v>2</v>
      </c>
      <c r="V12">
        <v>3</v>
      </c>
      <c r="W12" t="s">
        <v>39</v>
      </c>
      <c r="X12" t="s">
        <v>40</v>
      </c>
      <c r="Y12" t="s">
        <v>41</v>
      </c>
      <c r="Z12" t="s">
        <v>156</v>
      </c>
      <c r="AA12">
        <v>0</v>
      </c>
      <c r="AB12">
        <v>44</v>
      </c>
    </row>
    <row r="13" spans="1:28" x14ac:dyDescent="0.25">
      <c r="A13" t="s">
        <v>494</v>
      </c>
      <c r="B13">
        <v>11</v>
      </c>
      <c r="C13" t="s">
        <v>43</v>
      </c>
      <c r="D13">
        <v>3</v>
      </c>
      <c r="F13">
        <v>3</v>
      </c>
      <c r="G13" t="s">
        <v>44</v>
      </c>
      <c r="H13" t="s">
        <v>136</v>
      </c>
      <c r="I13" t="s">
        <v>75</v>
      </c>
      <c r="J13" t="s">
        <v>138</v>
      </c>
      <c r="K13" t="s">
        <v>53</v>
      </c>
      <c r="L13">
        <v>2</v>
      </c>
      <c r="M13">
        <v>3</v>
      </c>
      <c r="N13">
        <v>3</v>
      </c>
      <c r="O13" t="s">
        <v>112</v>
      </c>
      <c r="P13" t="s">
        <v>83</v>
      </c>
      <c r="Q13" t="s">
        <v>105</v>
      </c>
      <c r="R13" t="s">
        <v>115</v>
      </c>
      <c r="S13" t="s">
        <v>33</v>
      </c>
      <c r="T13">
        <v>2</v>
      </c>
      <c r="V13">
        <v>2</v>
      </c>
      <c r="W13" t="s">
        <v>34</v>
      </c>
      <c r="X13" t="s">
        <v>130</v>
      </c>
      <c r="Y13" t="s">
        <v>131</v>
      </c>
      <c r="Z13" t="s">
        <v>134</v>
      </c>
      <c r="AA13">
        <v>0</v>
      </c>
      <c r="AB13">
        <v>25</v>
      </c>
    </row>
    <row r="14" spans="1:28" x14ac:dyDescent="0.25">
      <c r="A14" s="36" t="s">
        <v>495</v>
      </c>
      <c r="B14">
        <v>12</v>
      </c>
      <c r="C14" t="s">
        <v>33</v>
      </c>
      <c r="D14">
        <v>3</v>
      </c>
      <c r="F14">
        <v>3</v>
      </c>
      <c r="G14" t="s">
        <v>34</v>
      </c>
      <c r="H14" t="s">
        <v>130</v>
      </c>
      <c r="I14" t="s">
        <v>36</v>
      </c>
      <c r="J14" t="s">
        <v>133</v>
      </c>
      <c r="K14" t="s">
        <v>53</v>
      </c>
      <c r="L14">
        <v>1</v>
      </c>
      <c r="M14">
        <v>3</v>
      </c>
      <c r="N14">
        <v>2</v>
      </c>
      <c r="O14" t="s">
        <v>112</v>
      </c>
      <c r="P14" t="s">
        <v>83</v>
      </c>
      <c r="Q14" t="s">
        <v>97</v>
      </c>
      <c r="R14" t="s">
        <v>115</v>
      </c>
      <c r="S14" t="s">
        <v>45</v>
      </c>
      <c r="T14">
        <v>3</v>
      </c>
      <c r="V14">
        <v>1</v>
      </c>
      <c r="W14" t="s">
        <v>86</v>
      </c>
      <c r="X14" t="s">
        <v>141</v>
      </c>
      <c r="Y14" t="s">
        <v>142</v>
      </c>
      <c r="AA14">
        <v>0</v>
      </c>
      <c r="AB14">
        <v>20</v>
      </c>
    </row>
    <row r="15" spans="1:28" x14ac:dyDescent="0.25">
      <c r="A15" t="s">
        <v>496</v>
      </c>
      <c r="B15">
        <v>13</v>
      </c>
      <c r="C15" t="s">
        <v>33</v>
      </c>
      <c r="D15">
        <v>3</v>
      </c>
      <c r="F15">
        <v>3</v>
      </c>
      <c r="G15" t="s">
        <v>34</v>
      </c>
      <c r="H15" t="s">
        <v>66</v>
      </c>
      <c r="I15" t="s">
        <v>36</v>
      </c>
      <c r="J15" t="s">
        <v>134</v>
      </c>
      <c r="K15" t="s">
        <v>53</v>
      </c>
      <c r="L15">
        <v>3</v>
      </c>
      <c r="M15">
        <v>1</v>
      </c>
      <c r="N15">
        <v>2</v>
      </c>
      <c r="O15" t="s">
        <v>111</v>
      </c>
      <c r="P15" t="s">
        <v>83</v>
      </c>
      <c r="S15" t="s">
        <v>63</v>
      </c>
      <c r="T15">
        <v>3</v>
      </c>
      <c r="V15">
        <v>3</v>
      </c>
      <c r="W15" t="s">
        <v>72</v>
      </c>
      <c r="X15" t="s">
        <v>146</v>
      </c>
      <c r="Y15" t="s">
        <v>104</v>
      </c>
      <c r="AA15">
        <v>0</v>
      </c>
      <c r="AB15">
        <v>20</v>
      </c>
    </row>
    <row r="16" spans="1:28" x14ac:dyDescent="0.25">
      <c r="A16" t="s">
        <v>497</v>
      </c>
      <c r="B16">
        <v>14</v>
      </c>
      <c r="C16" t="s">
        <v>33</v>
      </c>
      <c r="D16">
        <v>3</v>
      </c>
      <c r="F16">
        <v>2</v>
      </c>
      <c r="G16" t="s">
        <v>65</v>
      </c>
      <c r="H16" t="s">
        <v>130</v>
      </c>
      <c r="I16" t="s">
        <v>36</v>
      </c>
      <c r="J16" t="s">
        <v>134</v>
      </c>
      <c r="K16" t="s">
        <v>53</v>
      </c>
      <c r="L16">
        <v>1</v>
      </c>
      <c r="M16">
        <v>3</v>
      </c>
      <c r="N16">
        <v>2</v>
      </c>
      <c r="O16" t="s">
        <v>112</v>
      </c>
      <c r="P16" t="s">
        <v>83</v>
      </c>
      <c r="Q16" t="s">
        <v>97</v>
      </c>
      <c r="R16" t="s">
        <v>98</v>
      </c>
      <c r="S16" t="s">
        <v>38</v>
      </c>
      <c r="T16">
        <v>1</v>
      </c>
      <c r="U16">
        <v>2</v>
      </c>
      <c r="V16">
        <v>2</v>
      </c>
      <c r="W16" t="s">
        <v>39</v>
      </c>
      <c r="X16" t="s">
        <v>40</v>
      </c>
      <c r="Y16" t="s">
        <v>153</v>
      </c>
      <c r="AA16">
        <v>0</v>
      </c>
      <c r="AB16">
        <v>20</v>
      </c>
    </row>
    <row r="17" spans="1:28" x14ac:dyDescent="0.25">
      <c r="A17" t="s">
        <v>498</v>
      </c>
      <c r="B17">
        <v>15</v>
      </c>
      <c r="C17" t="s">
        <v>53</v>
      </c>
      <c r="D17">
        <v>2</v>
      </c>
      <c r="E17">
        <v>1</v>
      </c>
      <c r="F17">
        <v>3</v>
      </c>
      <c r="G17" t="s">
        <v>112</v>
      </c>
      <c r="H17" t="s">
        <v>55</v>
      </c>
      <c r="K17" t="s">
        <v>43</v>
      </c>
      <c r="L17">
        <v>2</v>
      </c>
      <c r="N17">
        <v>1</v>
      </c>
      <c r="O17" t="s">
        <v>44</v>
      </c>
      <c r="P17" t="s">
        <v>136</v>
      </c>
      <c r="Q17" t="s">
        <v>75</v>
      </c>
      <c r="R17" t="s">
        <v>138</v>
      </c>
      <c r="S17" t="s">
        <v>45</v>
      </c>
      <c r="T17">
        <v>3</v>
      </c>
      <c r="V17">
        <v>2</v>
      </c>
      <c r="W17" t="s">
        <v>86</v>
      </c>
      <c r="X17" t="s">
        <v>76</v>
      </c>
      <c r="AA17">
        <v>0</v>
      </c>
      <c r="AB17">
        <v>15</v>
      </c>
    </row>
    <row r="18" spans="1:28" x14ac:dyDescent="0.25">
      <c r="A18" t="s">
        <v>499</v>
      </c>
      <c r="B18">
        <v>16</v>
      </c>
      <c r="C18" t="s">
        <v>43</v>
      </c>
      <c r="D18">
        <v>3</v>
      </c>
      <c r="F18">
        <v>3</v>
      </c>
      <c r="G18" t="s">
        <v>44</v>
      </c>
      <c r="H18" t="s">
        <v>74</v>
      </c>
      <c r="I18" t="s">
        <v>75</v>
      </c>
      <c r="J18" t="s">
        <v>139</v>
      </c>
      <c r="K18" t="s">
        <v>53</v>
      </c>
      <c r="L18">
        <v>1</v>
      </c>
      <c r="M18">
        <v>3</v>
      </c>
      <c r="N18">
        <v>2</v>
      </c>
      <c r="O18" t="s">
        <v>112</v>
      </c>
      <c r="P18" t="s">
        <v>55</v>
      </c>
      <c r="Q18" t="s">
        <v>97</v>
      </c>
      <c r="S18" t="s">
        <v>63</v>
      </c>
      <c r="T18">
        <v>3</v>
      </c>
      <c r="V18">
        <v>3</v>
      </c>
      <c r="W18" t="s">
        <v>72</v>
      </c>
      <c r="X18" t="s">
        <v>146</v>
      </c>
      <c r="Y18" t="s">
        <v>148</v>
      </c>
      <c r="Z18" t="s">
        <v>150</v>
      </c>
      <c r="AA18">
        <v>0</v>
      </c>
      <c r="AB18">
        <v>29</v>
      </c>
    </row>
    <row r="19" spans="1:28" x14ac:dyDescent="0.25">
      <c r="A19" t="s">
        <v>500</v>
      </c>
      <c r="B19">
        <v>17</v>
      </c>
      <c r="C19" t="s">
        <v>38</v>
      </c>
      <c r="D19">
        <v>3</v>
      </c>
      <c r="E19">
        <v>3</v>
      </c>
      <c r="F19">
        <v>3</v>
      </c>
      <c r="G19" t="s">
        <v>39</v>
      </c>
      <c r="H19" t="s">
        <v>40</v>
      </c>
      <c r="I19" t="s">
        <v>153</v>
      </c>
      <c r="J19" t="s">
        <v>156</v>
      </c>
      <c r="K19" t="s">
        <v>53</v>
      </c>
      <c r="L19">
        <v>1</v>
      </c>
      <c r="M19">
        <v>3</v>
      </c>
      <c r="N19">
        <v>3</v>
      </c>
      <c r="O19" t="s">
        <v>112</v>
      </c>
      <c r="P19" t="s">
        <v>83</v>
      </c>
      <c r="Q19" t="s">
        <v>97</v>
      </c>
      <c r="R19" t="s">
        <v>115</v>
      </c>
      <c r="S19" t="s">
        <v>43</v>
      </c>
      <c r="T19">
        <v>3</v>
      </c>
      <c r="V19">
        <v>3</v>
      </c>
      <c r="W19" t="s">
        <v>44</v>
      </c>
      <c r="X19" t="s">
        <v>99</v>
      </c>
      <c r="Y19" t="s">
        <v>75</v>
      </c>
      <c r="Z19" t="s">
        <v>139</v>
      </c>
      <c r="AA19">
        <v>0</v>
      </c>
      <c r="AB19">
        <v>29</v>
      </c>
    </row>
    <row r="20" spans="1:28" x14ac:dyDescent="0.25">
      <c r="A20" t="s">
        <v>501</v>
      </c>
      <c r="B20">
        <v>18</v>
      </c>
      <c r="C20" t="s">
        <v>63</v>
      </c>
      <c r="D20">
        <v>3</v>
      </c>
      <c r="F20">
        <v>3</v>
      </c>
      <c r="G20" t="s">
        <v>103</v>
      </c>
      <c r="H20" t="s">
        <v>95</v>
      </c>
      <c r="I20" t="s">
        <v>147</v>
      </c>
      <c r="J20" t="s">
        <v>151</v>
      </c>
      <c r="K20" t="s">
        <v>53</v>
      </c>
      <c r="L20">
        <v>2</v>
      </c>
      <c r="M20">
        <v>3</v>
      </c>
      <c r="N20">
        <v>3</v>
      </c>
      <c r="O20" t="s">
        <v>112</v>
      </c>
      <c r="P20" t="s">
        <v>83</v>
      </c>
      <c r="Q20" t="s">
        <v>97</v>
      </c>
      <c r="R20" t="s">
        <v>98</v>
      </c>
      <c r="S20" t="s">
        <v>45</v>
      </c>
      <c r="T20">
        <v>3</v>
      </c>
      <c r="V20">
        <v>3</v>
      </c>
      <c r="W20" t="s">
        <v>86</v>
      </c>
      <c r="X20" t="s">
        <v>76</v>
      </c>
      <c r="Y20" t="s">
        <v>93</v>
      </c>
      <c r="Z20" t="s">
        <v>94</v>
      </c>
      <c r="AA20">
        <v>0</v>
      </c>
      <c r="AB20">
        <v>32</v>
      </c>
    </row>
    <row r="21" spans="1:28" x14ac:dyDescent="0.25">
      <c r="A21" t="s">
        <v>502</v>
      </c>
      <c r="B21">
        <v>19</v>
      </c>
      <c r="C21" t="s">
        <v>38</v>
      </c>
      <c r="D21">
        <v>3</v>
      </c>
      <c r="E21">
        <v>3</v>
      </c>
      <c r="F21">
        <v>1</v>
      </c>
      <c r="G21" t="s">
        <v>39</v>
      </c>
      <c r="H21" t="s">
        <v>40</v>
      </c>
      <c r="I21" t="s">
        <v>41</v>
      </c>
      <c r="J21" t="s">
        <v>156</v>
      </c>
      <c r="K21" t="s">
        <v>53</v>
      </c>
      <c r="L21">
        <v>3</v>
      </c>
      <c r="M21">
        <v>3</v>
      </c>
      <c r="N21">
        <v>1</v>
      </c>
      <c r="O21" t="s">
        <v>112</v>
      </c>
      <c r="P21" t="s">
        <v>83</v>
      </c>
      <c r="Q21" t="s">
        <v>114</v>
      </c>
      <c r="R21" t="s">
        <v>98</v>
      </c>
      <c r="S21" t="s">
        <v>45</v>
      </c>
      <c r="T21">
        <v>3</v>
      </c>
      <c r="V21">
        <v>1</v>
      </c>
      <c r="W21" t="s">
        <v>86</v>
      </c>
      <c r="X21" t="s">
        <v>141</v>
      </c>
      <c r="Y21" t="s">
        <v>102</v>
      </c>
      <c r="Z21" t="s">
        <v>94</v>
      </c>
      <c r="AA21">
        <v>0</v>
      </c>
      <c r="AB21">
        <v>23</v>
      </c>
    </row>
    <row r="22" spans="1:28" x14ac:dyDescent="0.25">
      <c r="A22" t="s">
        <v>503</v>
      </c>
      <c r="B22">
        <v>20</v>
      </c>
      <c r="C22" t="s">
        <v>63</v>
      </c>
      <c r="D22">
        <v>3</v>
      </c>
      <c r="F22">
        <v>1</v>
      </c>
      <c r="G22" t="s">
        <v>103</v>
      </c>
      <c r="H22" t="s">
        <v>95</v>
      </c>
      <c r="I22" t="s">
        <v>147</v>
      </c>
      <c r="J22" t="s">
        <v>151</v>
      </c>
      <c r="K22" t="s">
        <v>53</v>
      </c>
      <c r="L22">
        <v>1</v>
      </c>
      <c r="M22">
        <v>3</v>
      </c>
      <c r="N22">
        <v>1</v>
      </c>
      <c r="O22" t="s">
        <v>111</v>
      </c>
      <c r="P22" t="s">
        <v>83</v>
      </c>
      <c r="Q22" t="s">
        <v>97</v>
      </c>
      <c r="S22" t="s">
        <v>38</v>
      </c>
      <c r="T22">
        <v>3</v>
      </c>
      <c r="U22">
        <v>1</v>
      </c>
      <c r="V22">
        <v>2</v>
      </c>
      <c r="W22" t="s">
        <v>39</v>
      </c>
      <c r="X22" t="s">
        <v>40</v>
      </c>
      <c r="Y22" t="s">
        <v>154</v>
      </c>
      <c r="AA22">
        <v>0</v>
      </c>
      <c r="AB22">
        <v>17</v>
      </c>
    </row>
    <row r="23" spans="1:28" x14ac:dyDescent="0.25">
      <c r="A23" t="s">
        <v>504</v>
      </c>
      <c r="B23">
        <v>21</v>
      </c>
      <c r="C23" t="s">
        <v>56</v>
      </c>
      <c r="D23">
        <v>3</v>
      </c>
      <c r="F23">
        <v>1</v>
      </c>
      <c r="G23" t="s">
        <v>120</v>
      </c>
      <c r="H23" t="s">
        <v>121</v>
      </c>
      <c r="I23" t="s">
        <v>87</v>
      </c>
      <c r="J23" t="s">
        <v>88</v>
      </c>
      <c r="K23" t="s">
        <v>48</v>
      </c>
      <c r="L23">
        <v>2</v>
      </c>
      <c r="N23">
        <v>1</v>
      </c>
      <c r="O23" t="s">
        <v>126</v>
      </c>
      <c r="P23" t="s">
        <v>50</v>
      </c>
      <c r="Q23" t="s">
        <v>51</v>
      </c>
      <c r="R23" t="s">
        <v>129</v>
      </c>
      <c r="S23" t="s">
        <v>33</v>
      </c>
      <c r="T23">
        <v>2</v>
      </c>
      <c r="V23">
        <v>2</v>
      </c>
      <c r="W23" t="s">
        <v>34</v>
      </c>
      <c r="X23" t="s">
        <v>130</v>
      </c>
      <c r="Y23" t="s">
        <v>132</v>
      </c>
      <c r="Z23" t="s">
        <v>133</v>
      </c>
      <c r="AA23">
        <v>0</v>
      </c>
      <c r="AB23">
        <v>17</v>
      </c>
    </row>
    <row r="24" spans="1:28" x14ac:dyDescent="0.25">
      <c r="A24" t="s">
        <v>505</v>
      </c>
      <c r="B24">
        <v>22</v>
      </c>
      <c r="C24" t="s">
        <v>56</v>
      </c>
      <c r="D24">
        <v>2</v>
      </c>
      <c r="F24">
        <v>3</v>
      </c>
      <c r="G24" t="s">
        <v>120</v>
      </c>
      <c r="H24" t="s">
        <v>121</v>
      </c>
      <c r="I24" t="s">
        <v>123</v>
      </c>
      <c r="J24" t="s">
        <v>124</v>
      </c>
      <c r="K24" t="s">
        <v>48</v>
      </c>
      <c r="L24">
        <v>3</v>
      </c>
      <c r="N24">
        <v>1</v>
      </c>
      <c r="O24" t="s">
        <v>126</v>
      </c>
      <c r="P24" t="s">
        <v>71</v>
      </c>
      <c r="Q24" t="s">
        <v>90</v>
      </c>
      <c r="R24" t="s">
        <v>128</v>
      </c>
      <c r="S24" t="s">
        <v>43</v>
      </c>
      <c r="T24">
        <v>3</v>
      </c>
      <c r="V24">
        <v>1</v>
      </c>
      <c r="W24" t="s">
        <v>44</v>
      </c>
      <c r="X24" t="s">
        <v>136</v>
      </c>
      <c r="Y24" t="s">
        <v>137</v>
      </c>
      <c r="Z24" t="s">
        <v>138</v>
      </c>
      <c r="AA24">
        <v>0</v>
      </c>
      <c r="AB24">
        <v>21</v>
      </c>
    </row>
    <row r="25" spans="1:28" x14ac:dyDescent="0.25">
      <c r="A25" t="s">
        <v>506</v>
      </c>
      <c r="B25">
        <v>23</v>
      </c>
      <c r="C25" t="s">
        <v>56</v>
      </c>
      <c r="D25">
        <v>3</v>
      </c>
      <c r="F25">
        <v>3</v>
      </c>
      <c r="G25" t="s">
        <v>120</v>
      </c>
      <c r="H25" t="s">
        <v>121</v>
      </c>
      <c r="I25" t="s">
        <v>87</v>
      </c>
      <c r="J25" t="s">
        <v>88</v>
      </c>
      <c r="K25" t="s">
        <v>48</v>
      </c>
      <c r="L25">
        <v>2</v>
      </c>
      <c r="N25">
        <v>3</v>
      </c>
      <c r="O25" t="s">
        <v>126</v>
      </c>
      <c r="P25" t="s">
        <v>84</v>
      </c>
      <c r="Q25" t="s">
        <v>51</v>
      </c>
      <c r="R25" t="s">
        <v>128</v>
      </c>
      <c r="S25" t="s">
        <v>45</v>
      </c>
      <c r="T25">
        <v>3</v>
      </c>
      <c r="V25">
        <v>3</v>
      </c>
      <c r="W25" t="s">
        <v>86</v>
      </c>
      <c r="X25" t="s">
        <v>141</v>
      </c>
      <c r="Y25" t="s">
        <v>142</v>
      </c>
      <c r="Z25" t="s">
        <v>144</v>
      </c>
      <c r="AA25">
        <v>0</v>
      </c>
      <c r="AB25">
        <v>27</v>
      </c>
    </row>
    <row r="26" spans="1:28" x14ac:dyDescent="0.25">
      <c r="A26" t="s">
        <v>507</v>
      </c>
      <c r="B26">
        <v>24</v>
      </c>
      <c r="C26" t="s">
        <v>56</v>
      </c>
      <c r="D26">
        <v>3</v>
      </c>
      <c r="F26">
        <v>3</v>
      </c>
      <c r="G26" t="s">
        <v>120</v>
      </c>
      <c r="H26" t="s">
        <v>69</v>
      </c>
      <c r="I26" t="s">
        <v>87</v>
      </c>
      <c r="J26" t="s">
        <v>88</v>
      </c>
      <c r="K26" t="s">
        <v>48</v>
      </c>
      <c r="L26">
        <v>3</v>
      </c>
      <c r="N26">
        <v>3</v>
      </c>
      <c r="O26" t="s">
        <v>89</v>
      </c>
      <c r="P26" t="s">
        <v>50</v>
      </c>
      <c r="Q26" t="s">
        <v>127</v>
      </c>
      <c r="R26" t="s">
        <v>52</v>
      </c>
      <c r="S26" t="s">
        <v>63</v>
      </c>
      <c r="T26">
        <v>3</v>
      </c>
      <c r="V26">
        <v>3</v>
      </c>
      <c r="W26" t="s">
        <v>72</v>
      </c>
      <c r="X26" t="s">
        <v>146</v>
      </c>
      <c r="Y26" t="s">
        <v>104</v>
      </c>
      <c r="Z26" t="s">
        <v>151</v>
      </c>
      <c r="AA26">
        <v>0</v>
      </c>
      <c r="AB26">
        <v>34</v>
      </c>
    </row>
    <row r="27" spans="1:28" x14ac:dyDescent="0.25">
      <c r="A27" t="s">
        <v>508</v>
      </c>
      <c r="B27">
        <v>25</v>
      </c>
      <c r="C27" t="s">
        <v>56</v>
      </c>
      <c r="D27">
        <v>1</v>
      </c>
      <c r="F27">
        <v>1</v>
      </c>
      <c r="G27" t="s">
        <v>120</v>
      </c>
      <c r="H27" t="s">
        <v>121</v>
      </c>
      <c r="I27" t="s">
        <v>123</v>
      </c>
      <c r="J27" t="s">
        <v>125</v>
      </c>
      <c r="K27" t="s">
        <v>48</v>
      </c>
      <c r="L27">
        <v>1</v>
      </c>
      <c r="N27">
        <v>1</v>
      </c>
      <c r="O27" t="s">
        <v>126</v>
      </c>
      <c r="P27" t="s">
        <v>84</v>
      </c>
      <c r="Q27" t="s">
        <v>51</v>
      </c>
      <c r="R27" t="s">
        <v>128</v>
      </c>
      <c r="S27" t="s">
        <v>38</v>
      </c>
      <c r="T27">
        <v>1</v>
      </c>
      <c r="U27">
        <v>1</v>
      </c>
      <c r="V27">
        <v>1</v>
      </c>
      <c r="W27" t="s">
        <v>39</v>
      </c>
      <c r="X27" t="s">
        <v>40</v>
      </c>
      <c r="Y27" t="s">
        <v>41</v>
      </c>
      <c r="Z27" t="s">
        <v>156</v>
      </c>
      <c r="AA27">
        <v>0</v>
      </c>
      <c r="AB27">
        <v>12</v>
      </c>
    </row>
    <row r="28" spans="1:28" x14ac:dyDescent="0.25">
      <c r="A28" t="s">
        <v>509</v>
      </c>
      <c r="B28">
        <v>26</v>
      </c>
      <c r="C28" t="s">
        <v>56</v>
      </c>
      <c r="D28">
        <v>2</v>
      </c>
      <c r="F28">
        <v>2</v>
      </c>
      <c r="G28" t="s">
        <v>120</v>
      </c>
      <c r="H28" t="s">
        <v>121</v>
      </c>
      <c r="K28" t="s">
        <v>33</v>
      </c>
      <c r="L28">
        <v>1</v>
      </c>
      <c r="N28">
        <v>2</v>
      </c>
      <c r="O28" t="s">
        <v>46</v>
      </c>
      <c r="S28" t="s">
        <v>43</v>
      </c>
      <c r="T28">
        <v>1</v>
      </c>
      <c r="V28">
        <v>1</v>
      </c>
      <c r="W28" t="s">
        <v>44</v>
      </c>
      <c r="X28" t="s">
        <v>136</v>
      </c>
      <c r="Y28" t="s">
        <v>75</v>
      </c>
      <c r="Z28" t="s">
        <v>138</v>
      </c>
      <c r="AA28">
        <v>0</v>
      </c>
      <c r="AB28">
        <v>10</v>
      </c>
    </row>
    <row r="29" spans="1:28" x14ac:dyDescent="0.25">
      <c r="A29" t="s">
        <v>510</v>
      </c>
      <c r="B29">
        <v>27</v>
      </c>
      <c r="C29" t="s">
        <v>45</v>
      </c>
      <c r="D29">
        <v>3</v>
      </c>
      <c r="F29">
        <v>2</v>
      </c>
      <c r="G29" t="s">
        <v>140</v>
      </c>
      <c r="H29" t="s">
        <v>92</v>
      </c>
      <c r="I29" t="s">
        <v>142</v>
      </c>
      <c r="J29" t="s">
        <v>94</v>
      </c>
      <c r="K29" t="s">
        <v>56</v>
      </c>
      <c r="L29">
        <v>2</v>
      </c>
      <c r="N29">
        <v>3</v>
      </c>
      <c r="O29" t="s">
        <v>68</v>
      </c>
      <c r="P29" t="s">
        <v>121</v>
      </c>
      <c r="Q29" t="s">
        <v>87</v>
      </c>
      <c r="R29" t="s">
        <v>124</v>
      </c>
      <c r="S29" t="s">
        <v>33</v>
      </c>
      <c r="T29">
        <v>1</v>
      </c>
      <c r="V29">
        <v>2</v>
      </c>
      <c r="W29" t="s">
        <v>34</v>
      </c>
      <c r="X29" t="s">
        <v>66</v>
      </c>
      <c r="Y29" t="s">
        <v>131</v>
      </c>
      <c r="AA29">
        <v>0</v>
      </c>
      <c r="AB29">
        <v>19</v>
      </c>
    </row>
    <row r="30" spans="1:28" x14ac:dyDescent="0.25">
      <c r="A30" t="s">
        <v>511</v>
      </c>
      <c r="B30">
        <v>28</v>
      </c>
      <c r="C30" t="s">
        <v>63</v>
      </c>
      <c r="D30">
        <v>2</v>
      </c>
      <c r="F30">
        <v>1</v>
      </c>
      <c r="G30" t="s">
        <v>72</v>
      </c>
      <c r="H30" t="s">
        <v>146</v>
      </c>
      <c r="I30" t="s">
        <v>147</v>
      </c>
      <c r="J30" t="s">
        <v>150</v>
      </c>
      <c r="K30" t="s">
        <v>56</v>
      </c>
      <c r="L30">
        <v>3</v>
      </c>
      <c r="N30">
        <v>2</v>
      </c>
      <c r="O30" t="s">
        <v>68</v>
      </c>
      <c r="P30" t="s">
        <v>69</v>
      </c>
      <c r="S30" t="s">
        <v>33</v>
      </c>
      <c r="T30">
        <v>1</v>
      </c>
      <c r="V30">
        <v>2</v>
      </c>
      <c r="W30" t="s">
        <v>34</v>
      </c>
      <c r="X30" t="s">
        <v>66</v>
      </c>
      <c r="AA30">
        <v>0</v>
      </c>
      <c r="AB30">
        <v>13</v>
      </c>
    </row>
    <row r="31" spans="1:28" x14ac:dyDescent="0.25">
      <c r="A31" t="s">
        <v>512</v>
      </c>
      <c r="B31">
        <v>29</v>
      </c>
      <c r="C31" t="s">
        <v>38</v>
      </c>
      <c r="D31">
        <v>3</v>
      </c>
      <c r="E31">
        <v>2</v>
      </c>
      <c r="F31">
        <v>3</v>
      </c>
      <c r="G31" t="s">
        <v>39</v>
      </c>
      <c r="H31" t="s">
        <v>40</v>
      </c>
      <c r="I31" t="s">
        <v>154</v>
      </c>
      <c r="J31" t="s">
        <v>156</v>
      </c>
      <c r="K31" t="s">
        <v>56</v>
      </c>
      <c r="L31">
        <v>3</v>
      </c>
      <c r="N31">
        <v>3</v>
      </c>
      <c r="O31" t="s">
        <v>120</v>
      </c>
      <c r="P31" t="s">
        <v>69</v>
      </c>
      <c r="Q31" t="s">
        <v>87</v>
      </c>
      <c r="R31" t="s">
        <v>125</v>
      </c>
      <c r="S31" t="s">
        <v>33</v>
      </c>
      <c r="T31">
        <v>1</v>
      </c>
      <c r="V31">
        <v>3</v>
      </c>
      <c r="W31" t="s">
        <v>65</v>
      </c>
      <c r="X31" t="s">
        <v>66</v>
      </c>
      <c r="Y31" t="s">
        <v>131</v>
      </c>
      <c r="AA31">
        <v>0</v>
      </c>
      <c r="AB31">
        <v>24</v>
      </c>
    </row>
    <row r="32" spans="1:28" x14ac:dyDescent="0.25">
      <c r="A32" s="36" t="s">
        <v>513</v>
      </c>
      <c r="B32">
        <v>30</v>
      </c>
      <c r="C32" t="s">
        <v>56</v>
      </c>
      <c r="D32">
        <v>2</v>
      </c>
      <c r="F32">
        <v>2</v>
      </c>
      <c r="G32" t="s">
        <v>120</v>
      </c>
      <c r="H32" t="s">
        <v>121</v>
      </c>
      <c r="K32" t="s">
        <v>43</v>
      </c>
      <c r="L32">
        <v>1</v>
      </c>
      <c r="N32">
        <v>1</v>
      </c>
      <c r="O32" t="s">
        <v>73</v>
      </c>
      <c r="P32" t="s">
        <v>136</v>
      </c>
      <c r="Q32" t="s">
        <v>137</v>
      </c>
      <c r="R32" t="s">
        <v>101</v>
      </c>
      <c r="S32" t="s">
        <v>45</v>
      </c>
      <c r="T32">
        <v>3</v>
      </c>
      <c r="V32">
        <v>1</v>
      </c>
      <c r="W32" t="s">
        <v>140</v>
      </c>
      <c r="AA32">
        <v>0</v>
      </c>
      <c r="AB32">
        <v>11</v>
      </c>
    </row>
    <row r="33" spans="1:28" x14ac:dyDescent="0.25">
      <c r="A33" t="s">
        <v>514</v>
      </c>
      <c r="B33">
        <v>31</v>
      </c>
      <c r="C33" t="s">
        <v>43</v>
      </c>
      <c r="D33">
        <v>3</v>
      </c>
      <c r="F33">
        <v>3</v>
      </c>
      <c r="G33" t="s">
        <v>44</v>
      </c>
      <c r="H33" t="s">
        <v>136</v>
      </c>
      <c r="I33" t="s">
        <v>137</v>
      </c>
      <c r="J33" t="s">
        <v>138</v>
      </c>
      <c r="K33" t="s">
        <v>56</v>
      </c>
      <c r="L33">
        <v>3</v>
      </c>
      <c r="N33">
        <v>3</v>
      </c>
      <c r="O33" t="s">
        <v>120</v>
      </c>
      <c r="P33" t="s">
        <v>69</v>
      </c>
      <c r="Q33" t="s">
        <v>87</v>
      </c>
      <c r="R33" t="s">
        <v>88</v>
      </c>
      <c r="S33" t="s">
        <v>63</v>
      </c>
      <c r="T33">
        <v>3</v>
      </c>
      <c r="V33">
        <v>3</v>
      </c>
      <c r="W33" t="s">
        <v>103</v>
      </c>
      <c r="X33" t="s">
        <v>146</v>
      </c>
      <c r="Y33" t="s">
        <v>104</v>
      </c>
      <c r="Z33" t="s">
        <v>151</v>
      </c>
      <c r="AA33">
        <v>0</v>
      </c>
      <c r="AB33">
        <v>34</v>
      </c>
    </row>
    <row r="34" spans="1:28" x14ac:dyDescent="0.25">
      <c r="A34" t="s">
        <v>515</v>
      </c>
      <c r="B34">
        <v>32</v>
      </c>
      <c r="C34" t="s">
        <v>56</v>
      </c>
      <c r="D34">
        <v>3</v>
      </c>
      <c r="F34">
        <v>2</v>
      </c>
      <c r="G34" t="s">
        <v>120</v>
      </c>
      <c r="H34" t="s">
        <v>121</v>
      </c>
      <c r="I34" t="s">
        <v>123</v>
      </c>
      <c r="K34" t="s">
        <v>43</v>
      </c>
      <c r="L34">
        <v>1</v>
      </c>
      <c r="N34">
        <v>1</v>
      </c>
      <c r="O34" t="s">
        <v>44</v>
      </c>
      <c r="P34" t="s">
        <v>136</v>
      </c>
      <c r="Q34" t="s">
        <v>75</v>
      </c>
      <c r="R34" t="s">
        <v>138</v>
      </c>
      <c r="S34" t="s">
        <v>38</v>
      </c>
      <c r="T34">
        <v>1</v>
      </c>
      <c r="U34">
        <v>1</v>
      </c>
      <c r="V34">
        <v>3</v>
      </c>
      <c r="W34" t="s">
        <v>39</v>
      </c>
      <c r="X34" t="s">
        <v>40</v>
      </c>
      <c r="Y34" t="s">
        <v>154</v>
      </c>
      <c r="AA34">
        <v>0</v>
      </c>
      <c r="AB34">
        <v>15</v>
      </c>
    </row>
    <row r="35" spans="1:28" x14ac:dyDescent="0.25">
      <c r="A35" t="s">
        <v>516</v>
      </c>
      <c r="B35">
        <v>33</v>
      </c>
      <c r="C35" t="s">
        <v>56</v>
      </c>
      <c r="D35">
        <v>3</v>
      </c>
      <c r="F35">
        <v>2</v>
      </c>
      <c r="G35" t="s">
        <v>68</v>
      </c>
      <c r="H35" t="s">
        <v>122</v>
      </c>
      <c r="K35" t="s">
        <v>45</v>
      </c>
      <c r="L35">
        <v>3</v>
      </c>
      <c r="N35">
        <v>2</v>
      </c>
      <c r="O35" t="s">
        <v>86</v>
      </c>
      <c r="P35" t="s">
        <v>76</v>
      </c>
      <c r="S35" t="s">
        <v>63</v>
      </c>
      <c r="T35">
        <v>1</v>
      </c>
      <c r="V35">
        <v>2</v>
      </c>
      <c r="W35" t="s">
        <v>145</v>
      </c>
      <c r="X35" t="s">
        <v>146</v>
      </c>
      <c r="Y35" t="s">
        <v>104</v>
      </c>
      <c r="AA35">
        <v>0</v>
      </c>
      <c r="AB35">
        <v>14</v>
      </c>
    </row>
    <row r="36" spans="1:28" x14ac:dyDescent="0.25">
      <c r="A36" t="s">
        <v>517</v>
      </c>
      <c r="B36">
        <v>34</v>
      </c>
      <c r="C36" t="s">
        <v>45</v>
      </c>
      <c r="D36">
        <v>3</v>
      </c>
      <c r="F36">
        <v>3</v>
      </c>
      <c r="G36" t="s">
        <v>86</v>
      </c>
      <c r="H36" t="s">
        <v>76</v>
      </c>
      <c r="I36" t="s">
        <v>142</v>
      </c>
      <c r="J36" t="s">
        <v>144</v>
      </c>
      <c r="K36" t="s">
        <v>56</v>
      </c>
      <c r="L36">
        <v>3</v>
      </c>
      <c r="N36">
        <v>3</v>
      </c>
      <c r="O36" t="s">
        <v>57</v>
      </c>
      <c r="P36" t="s">
        <v>69</v>
      </c>
      <c r="Q36" t="s">
        <v>85</v>
      </c>
      <c r="R36" t="s">
        <v>125</v>
      </c>
      <c r="S36" t="s">
        <v>38</v>
      </c>
      <c r="T36">
        <v>3</v>
      </c>
      <c r="U36">
        <v>3</v>
      </c>
      <c r="V36">
        <v>3</v>
      </c>
      <c r="W36" t="s">
        <v>39</v>
      </c>
      <c r="X36" t="s">
        <v>96</v>
      </c>
      <c r="Y36" t="s">
        <v>153</v>
      </c>
      <c r="Z36" t="s">
        <v>156</v>
      </c>
      <c r="AA36">
        <v>0</v>
      </c>
      <c r="AB36">
        <v>33</v>
      </c>
    </row>
    <row r="37" spans="1:28" x14ac:dyDescent="0.25">
      <c r="A37" t="s">
        <v>518</v>
      </c>
      <c r="B37">
        <v>35</v>
      </c>
      <c r="C37" t="s">
        <v>38</v>
      </c>
      <c r="D37">
        <v>3</v>
      </c>
      <c r="E37">
        <v>3</v>
      </c>
      <c r="F37">
        <v>3</v>
      </c>
      <c r="G37" t="s">
        <v>39</v>
      </c>
      <c r="H37" t="s">
        <v>96</v>
      </c>
      <c r="I37" t="s">
        <v>41</v>
      </c>
      <c r="J37" t="s">
        <v>156</v>
      </c>
      <c r="K37" t="s">
        <v>56</v>
      </c>
      <c r="L37">
        <v>3</v>
      </c>
      <c r="N37">
        <v>3</v>
      </c>
      <c r="O37" t="s">
        <v>57</v>
      </c>
      <c r="P37" t="s">
        <v>69</v>
      </c>
      <c r="Q37" t="s">
        <v>87</v>
      </c>
      <c r="R37" t="s">
        <v>125</v>
      </c>
      <c r="S37" t="s">
        <v>63</v>
      </c>
      <c r="T37">
        <v>3</v>
      </c>
      <c r="V37">
        <v>3</v>
      </c>
      <c r="W37" t="s">
        <v>103</v>
      </c>
      <c r="X37" t="s">
        <v>146</v>
      </c>
      <c r="Y37" t="s">
        <v>147</v>
      </c>
      <c r="Z37" t="s">
        <v>151</v>
      </c>
      <c r="AA37">
        <v>0</v>
      </c>
      <c r="AB37">
        <v>36</v>
      </c>
    </row>
    <row r="38" spans="1:28" x14ac:dyDescent="0.25">
      <c r="A38" t="s">
        <v>519</v>
      </c>
      <c r="B38">
        <v>36</v>
      </c>
      <c r="C38" t="s">
        <v>48</v>
      </c>
      <c r="D38">
        <v>2</v>
      </c>
      <c r="F38">
        <v>1</v>
      </c>
      <c r="G38" t="s">
        <v>89</v>
      </c>
      <c r="H38" t="s">
        <v>71</v>
      </c>
      <c r="I38" t="s">
        <v>127</v>
      </c>
      <c r="K38" t="s">
        <v>33</v>
      </c>
      <c r="L38">
        <v>1</v>
      </c>
      <c r="N38">
        <v>2</v>
      </c>
      <c r="O38" t="s">
        <v>34</v>
      </c>
      <c r="S38" t="s">
        <v>43</v>
      </c>
      <c r="T38">
        <v>1</v>
      </c>
      <c r="V38">
        <v>2</v>
      </c>
      <c r="W38" t="s">
        <v>44</v>
      </c>
      <c r="X38" t="s">
        <v>136</v>
      </c>
      <c r="Y38" t="s">
        <v>137</v>
      </c>
      <c r="AA38">
        <v>0</v>
      </c>
      <c r="AB38">
        <v>12</v>
      </c>
    </row>
    <row r="39" spans="1:28" x14ac:dyDescent="0.25">
      <c r="A39" t="s">
        <v>520</v>
      </c>
      <c r="B39">
        <v>39</v>
      </c>
      <c r="C39" t="s">
        <v>33</v>
      </c>
      <c r="D39">
        <v>2</v>
      </c>
      <c r="F39">
        <v>3</v>
      </c>
      <c r="G39" t="s">
        <v>65</v>
      </c>
      <c r="H39" t="s">
        <v>130</v>
      </c>
      <c r="I39" t="s">
        <v>36</v>
      </c>
      <c r="J39" t="s">
        <v>134</v>
      </c>
      <c r="K39" t="s">
        <v>48</v>
      </c>
      <c r="L39">
        <v>3</v>
      </c>
      <c r="N39">
        <v>2</v>
      </c>
      <c r="O39" t="s">
        <v>126</v>
      </c>
      <c r="P39" t="s">
        <v>50</v>
      </c>
      <c r="Q39" t="s">
        <v>127</v>
      </c>
      <c r="R39" t="s">
        <v>129</v>
      </c>
      <c r="S39" t="s">
        <v>38</v>
      </c>
      <c r="T39">
        <v>2</v>
      </c>
      <c r="U39">
        <v>1</v>
      </c>
      <c r="V39">
        <v>3</v>
      </c>
      <c r="W39" t="s">
        <v>39</v>
      </c>
      <c r="X39" t="s">
        <v>40</v>
      </c>
      <c r="AA39">
        <v>0</v>
      </c>
      <c r="AB39">
        <v>20</v>
      </c>
    </row>
    <row r="40" spans="1:28" x14ac:dyDescent="0.25">
      <c r="A40" t="s">
        <v>521</v>
      </c>
      <c r="B40">
        <v>40</v>
      </c>
      <c r="C40" t="s">
        <v>48</v>
      </c>
      <c r="D40">
        <v>3</v>
      </c>
      <c r="F40">
        <v>1</v>
      </c>
      <c r="G40" t="s">
        <v>126</v>
      </c>
      <c r="H40" t="s">
        <v>71</v>
      </c>
      <c r="I40" t="s">
        <v>90</v>
      </c>
      <c r="J40" t="s">
        <v>128</v>
      </c>
      <c r="K40" t="s">
        <v>43</v>
      </c>
      <c r="L40">
        <v>1</v>
      </c>
      <c r="N40">
        <v>2</v>
      </c>
      <c r="O40" t="s">
        <v>44</v>
      </c>
      <c r="P40" t="s">
        <v>136</v>
      </c>
      <c r="S40" t="s">
        <v>45</v>
      </c>
      <c r="T40">
        <v>3</v>
      </c>
      <c r="V40">
        <v>1</v>
      </c>
      <c r="W40" t="s">
        <v>47</v>
      </c>
      <c r="X40" t="s">
        <v>76</v>
      </c>
      <c r="Y40" t="s">
        <v>102</v>
      </c>
      <c r="Z40" t="s">
        <v>143</v>
      </c>
      <c r="AA40">
        <v>0</v>
      </c>
      <c r="AB40">
        <v>15</v>
      </c>
    </row>
    <row r="41" spans="1:28" x14ac:dyDescent="0.25">
      <c r="A41" t="s">
        <v>522</v>
      </c>
      <c r="B41">
        <v>42</v>
      </c>
      <c r="C41" t="s">
        <v>48</v>
      </c>
      <c r="D41">
        <v>3</v>
      </c>
      <c r="F41">
        <v>2</v>
      </c>
      <c r="G41" t="s">
        <v>126</v>
      </c>
      <c r="H41" t="s">
        <v>71</v>
      </c>
      <c r="I41" t="s">
        <v>51</v>
      </c>
      <c r="J41" t="s">
        <v>52</v>
      </c>
      <c r="K41" t="s">
        <v>43</v>
      </c>
      <c r="L41">
        <v>3</v>
      </c>
      <c r="N41">
        <v>2</v>
      </c>
      <c r="O41" t="s">
        <v>44</v>
      </c>
      <c r="P41" t="s">
        <v>136</v>
      </c>
      <c r="Q41" t="s">
        <v>137</v>
      </c>
      <c r="R41" t="s">
        <v>138</v>
      </c>
      <c r="S41" t="s">
        <v>38</v>
      </c>
      <c r="T41">
        <v>1</v>
      </c>
      <c r="U41">
        <v>1</v>
      </c>
      <c r="V41">
        <v>2</v>
      </c>
      <c r="W41" t="s">
        <v>39</v>
      </c>
      <c r="X41" t="s">
        <v>40</v>
      </c>
      <c r="Y41" t="s">
        <v>41</v>
      </c>
      <c r="AA41">
        <v>0</v>
      </c>
      <c r="AB41">
        <v>18</v>
      </c>
    </row>
    <row r="42" spans="1:28" x14ac:dyDescent="0.25">
      <c r="A42" t="s">
        <v>523</v>
      </c>
      <c r="B42">
        <v>43</v>
      </c>
      <c r="C42" t="s">
        <v>45</v>
      </c>
      <c r="D42">
        <v>3</v>
      </c>
      <c r="F42">
        <v>3</v>
      </c>
      <c r="G42" t="s">
        <v>86</v>
      </c>
      <c r="H42" t="s">
        <v>141</v>
      </c>
      <c r="I42" t="s">
        <v>142</v>
      </c>
      <c r="J42" t="s">
        <v>144</v>
      </c>
      <c r="K42" t="s">
        <v>48</v>
      </c>
      <c r="L42">
        <v>3</v>
      </c>
      <c r="N42">
        <v>3</v>
      </c>
      <c r="O42" t="s">
        <v>126</v>
      </c>
      <c r="P42" t="s">
        <v>50</v>
      </c>
      <c r="Q42" t="s">
        <v>51</v>
      </c>
      <c r="R42" t="s">
        <v>129</v>
      </c>
      <c r="S42" t="s">
        <v>63</v>
      </c>
      <c r="T42">
        <v>3</v>
      </c>
      <c r="V42">
        <v>3</v>
      </c>
      <c r="W42" t="s">
        <v>72</v>
      </c>
      <c r="X42" t="s">
        <v>146</v>
      </c>
      <c r="Y42" t="s">
        <v>148</v>
      </c>
      <c r="Z42" t="s">
        <v>149</v>
      </c>
      <c r="AA42">
        <v>0</v>
      </c>
      <c r="AB42">
        <v>62</v>
      </c>
    </row>
    <row r="43" spans="1:28" x14ac:dyDescent="0.25">
      <c r="A43" t="s">
        <v>524</v>
      </c>
      <c r="B43">
        <v>46</v>
      </c>
      <c r="C43" t="s">
        <v>45</v>
      </c>
      <c r="D43">
        <v>3</v>
      </c>
      <c r="F43">
        <v>1</v>
      </c>
      <c r="G43" t="s">
        <v>86</v>
      </c>
      <c r="H43" t="s">
        <v>141</v>
      </c>
      <c r="I43" t="s">
        <v>93</v>
      </c>
      <c r="K43" t="s">
        <v>33</v>
      </c>
      <c r="L43">
        <v>2</v>
      </c>
      <c r="N43">
        <v>2</v>
      </c>
      <c r="O43" t="s">
        <v>34</v>
      </c>
      <c r="S43" t="s">
        <v>43</v>
      </c>
      <c r="T43">
        <v>1</v>
      </c>
      <c r="V43">
        <v>1</v>
      </c>
      <c r="W43" t="s">
        <v>135</v>
      </c>
      <c r="X43" t="s">
        <v>136</v>
      </c>
      <c r="Y43" t="s">
        <v>100</v>
      </c>
      <c r="Z43" t="s">
        <v>138</v>
      </c>
      <c r="AA43">
        <v>0</v>
      </c>
      <c r="AB43">
        <v>12</v>
      </c>
    </row>
    <row r="44" spans="1:28" x14ac:dyDescent="0.25">
      <c r="A44" t="s">
        <v>525</v>
      </c>
      <c r="B44">
        <v>48</v>
      </c>
      <c r="C44" t="s">
        <v>38</v>
      </c>
      <c r="D44">
        <v>2</v>
      </c>
      <c r="E44">
        <v>1</v>
      </c>
      <c r="F44">
        <v>3</v>
      </c>
      <c r="G44" t="s">
        <v>39</v>
      </c>
      <c r="H44" t="s">
        <v>40</v>
      </c>
      <c r="I44" t="s">
        <v>153</v>
      </c>
      <c r="J44" t="s">
        <v>156</v>
      </c>
      <c r="K44" t="s">
        <v>33</v>
      </c>
      <c r="L44">
        <v>3</v>
      </c>
      <c r="N44">
        <v>3</v>
      </c>
      <c r="O44" t="s">
        <v>65</v>
      </c>
      <c r="P44" t="s">
        <v>66</v>
      </c>
      <c r="S44" t="s">
        <v>43</v>
      </c>
      <c r="T44">
        <v>3</v>
      </c>
      <c r="V44">
        <v>3</v>
      </c>
      <c r="W44" t="s">
        <v>44</v>
      </c>
      <c r="X44" t="s">
        <v>136</v>
      </c>
      <c r="AA44">
        <v>0</v>
      </c>
      <c r="AB44">
        <v>21</v>
      </c>
    </row>
    <row r="45" spans="1:28" x14ac:dyDescent="0.25">
      <c r="A45" t="s">
        <v>526</v>
      </c>
      <c r="B45">
        <v>49</v>
      </c>
      <c r="C45" t="s">
        <v>45</v>
      </c>
      <c r="D45">
        <v>3</v>
      </c>
      <c r="F45">
        <v>2</v>
      </c>
      <c r="G45" t="s">
        <v>86</v>
      </c>
      <c r="H45" t="s">
        <v>141</v>
      </c>
      <c r="I45" t="s">
        <v>142</v>
      </c>
      <c r="J45" t="s">
        <v>144</v>
      </c>
      <c r="K45" t="s">
        <v>33</v>
      </c>
      <c r="L45">
        <v>3</v>
      </c>
      <c r="N45">
        <v>3</v>
      </c>
      <c r="O45" t="s">
        <v>34</v>
      </c>
      <c r="P45" t="s">
        <v>66</v>
      </c>
      <c r="Q45" t="s">
        <v>131</v>
      </c>
      <c r="S45" t="s">
        <v>63</v>
      </c>
      <c r="T45">
        <v>1</v>
      </c>
      <c r="V45">
        <v>3</v>
      </c>
      <c r="W45" t="s">
        <v>145</v>
      </c>
      <c r="X45" t="s">
        <v>146</v>
      </c>
      <c r="Y45" t="s">
        <v>104</v>
      </c>
      <c r="AA45">
        <v>0</v>
      </c>
      <c r="AB45">
        <v>20</v>
      </c>
    </row>
    <row r="46" spans="1:28" x14ac:dyDescent="0.25">
      <c r="A46" t="s">
        <v>527</v>
      </c>
      <c r="B46">
        <v>50</v>
      </c>
      <c r="C46" t="s">
        <v>45</v>
      </c>
      <c r="D46">
        <v>3</v>
      </c>
      <c r="F46">
        <v>1</v>
      </c>
      <c r="G46" t="s">
        <v>86</v>
      </c>
      <c r="H46" t="s">
        <v>76</v>
      </c>
      <c r="I46" t="s">
        <v>93</v>
      </c>
      <c r="K46" t="s">
        <v>33</v>
      </c>
      <c r="L46">
        <v>1</v>
      </c>
      <c r="N46">
        <v>2</v>
      </c>
      <c r="O46" t="s">
        <v>65</v>
      </c>
      <c r="P46" t="s">
        <v>35</v>
      </c>
      <c r="Q46" t="s">
        <v>131</v>
      </c>
      <c r="S46" t="s">
        <v>38</v>
      </c>
      <c r="T46">
        <v>1</v>
      </c>
      <c r="U46">
        <v>1</v>
      </c>
      <c r="V46">
        <v>3</v>
      </c>
      <c r="W46" t="s">
        <v>39</v>
      </c>
      <c r="X46" t="s">
        <v>96</v>
      </c>
      <c r="AA46">
        <v>0</v>
      </c>
      <c r="AB46">
        <v>13</v>
      </c>
    </row>
    <row r="47" spans="1:28" x14ac:dyDescent="0.25">
      <c r="A47" t="s">
        <v>528</v>
      </c>
      <c r="B47">
        <v>51</v>
      </c>
      <c r="C47" t="s">
        <v>38</v>
      </c>
      <c r="D47">
        <v>3</v>
      </c>
      <c r="E47">
        <v>3</v>
      </c>
      <c r="F47">
        <v>1</v>
      </c>
      <c r="G47" t="s">
        <v>39</v>
      </c>
      <c r="H47" t="s">
        <v>40</v>
      </c>
      <c r="I47" t="s">
        <v>153</v>
      </c>
      <c r="J47" t="s">
        <v>156</v>
      </c>
      <c r="K47" t="s">
        <v>33</v>
      </c>
      <c r="L47">
        <v>3</v>
      </c>
      <c r="N47">
        <v>3</v>
      </c>
      <c r="O47" t="s">
        <v>34</v>
      </c>
      <c r="P47" t="s">
        <v>66</v>
      </c>
      <c r="Q47" t="s">
        <v>131</v>
      </c>
      <c r="S47" t="s">
        <v>63</v>
      </c>
      <c r="T47">
        <v>2</v>
      </c>
      <c r="V47">
        <v>1</v>
      </c>
      <c r="W47" t="s">
        <v>72</v>
      </c>
      <c r="X47" t="s">
        <v>146</v>
      </c>
      <c r="Y47" t="s">
        <v>104</v>
      </c>
      <c r="Z47" t="s">
        <v>151</v>
      </c>
      <c r="AA47">
        <v>0</v>
      </c>
      <c r="AB47">
        <v>20</v>
      </c>
    </row>
    <row r="48" spans="1:28" x14ac:dyDescent="0.25">
      <c r="A48" t="s">
        <v>529</v>
      </c>
      <c r="B48">
        <v>52</v>
      </c>
      <c r="C48" t="s">
        <v>45</v>
      </c>
      <c r="D48">
        <v>3</v>
      </c>
      <c r="F48">
        <v>2</v>
      </c>
      <c r="G48" t="s">
        <v>86</v>
      </c>
      <c r="H48" t="s">
        <v>141</v>
      </c>
      <c r="I48" t="s">
        <v>102</v>
      </c>
      <c r="J48" t="s">
        <v>143</v>
      </c>
      <c r="K48" t="s">
        <v>43</v>
      </c>
      <c r="L48">
        <v>2</v>
      </c>
      <c r="N48">
        <v>3</v>
      </c>
      <c r="O48" t="s">
        <v>44</v>
      </c>
      <c r="P48" t="s">
        <v>136</v>
      </c>
      <c r="Q48" t="s">
        <v>100</v>
      </c>
      <c r="R48" t="s">
        <v>138</v>
      </c>
      <c r="S48" t="s">
        <v>63</v>
      </c>
      <c r="T48">
        <v>1</v>
      </c>
      <c r="V48">
        <v>2</v>
      </c>
      <c r="W48" t="s">
        <v>103</v>
      </c>
      <c r="X48" t="s">
        <v>146</v>
      </c>
      <c r="Y48" t="s">
        <v>104</v>
      </c>
      <c r="Z48" t="s">
        <v>150</v>
      </c>
      <c r="AA48">
        <v>0</v>
      </c>
      <c r="AB48">
        <v>20</v>
      </c>
    </row>
    <row r="49" spans="1:28" x14ac:dyDescent="0.25">
      <c r="A49" t="s">
        <v>530</v>
      </c>
      <c r="B49">
        <v>53</v>
      </c>
      <c r="C49" t="s">
        <v>45</v>
      </c>
      <c r="D49">
        <v>3</v>
      </c>
      <c r="F49">
        <v>1</v>
      </c>
      <c r="G49" t="s">
        <v>86</v>
      </c>
      <c r="H49" t="s">
        <v>92</v>
      </c>
      <c r="K49" t="s">
        <v>43</v>
      </c>
      <c r="L49">
        <v>1</v>
      </c>
      <c r="N49">
        <v>1</v>
      </c>
      <c r="O49" t="s">
        <v>44</v>
      </c>
      <c r="P49" t="s">
        <v>136</v>
      </c>
      <c r="Q49" t="s">
        <v>100</v>
      </c>
      <c r="R49" t="s">
        <v>138</v>
      </c>
      <c r="S49" t="s">
        <v>38</v>
      </c>
      <c r="T49">
        <v>2</v>
      </c>
      <c r="U49">
        <v>1</v>
      </c>
      <c r="V49">
        <v>2</v>
      </c>
      <c r="W49" t="s">
        <v>39</v>
      </c>
      <c r="AA49">
        <v>0</v>
      </c>
      <c r="AB49">
        <v>12</v>
      </c>
    </row>
    <row r="50" spans="1:28" x14ac:dyDescent="0.25">
      <c r="A50" t="s">
        <v>531</v>
      </c>
      <c r="B50">
        <v>54</v>
      </c>
      <c r="C50" t="s">
        <v>38</v>
      </c>
      <c r="D50">
        <v>3</v>
      </c>
      <c r="E50">
        <v>3</v>
      </c>
      <c r="F50">
        <v>3</v>
      </c>
      <c r="G50" t="s">
        <v>39</v>
      </c>
      <c r="H50" t="s">
        <v>40</v>
      </c>
      <c r="I50" t="s">
        <v>41</v>
      </c>
      <c r="J50" t="s">
        <v>156</v>
      </c>
      <c r="K50" t="s">
        <v>43</v>
      </c>
      <c r="L50">
        <v>2</v>
      </c>
      <c r="N50">
        <v>1</v>
      </c>
      <c r="O50" t="s">
        <v>44</v>
      </c>
      <c r="P50" t="s">
        <v>136</v>
      </c>
      <c r="Q50" t="s">
        <v>75</v>
      </c>
      <c r="R50" t="s">
        <v>138</v>
      </c>
      <c r="S50" t="s">
        <v>63</v>
      </c>
      <c r="T50">
        <v>3</v>
      </c>
      <c r="V50">
        <v>3</v>
      </c>
      <c r="W50" t="s">
        <v>72</v>
      </c>
      <c r="X50" t="s">
        <v>146</v>
      </c>
      <c r="Y50" t="s">
        <v>104</v>
      </c>
      <c r="Z50" t="s">
        <v>151</v>
      </c>
      <c r="AA50">
        <v>0</v>
      </c>
      <c r="AB50">
        <v>38</v>
      </c>
    </row>
    <row r="51" spans="1:28" x14ac:dyDescent="0.25">
      <c r="A51" t="s">
        <v>532</v>
      </c>
      <c r="B51">
        <v>55</v>
      </c>
      <c r="C51" t="s">
        <v>63</v>
      </c>
      <c r="D51">
        <v>2</v>
      </c>
      <c r="F51">
        <v>3</v>
      </c>
      <c r="G51" t="s">
        <v>103</v>
      </c>
      <c r="H51" t="s">
        <v>146</v>
      </c>
      <c r="I51" t="s">
        <v>104</v>
      </c>
      <c r="J51" t="s">
        <v>150</v>
      </c>
      <c r="K51" t="s">
        <v>45</v>
      </c>
      <c r="L51">
        <v>3</v>
      </c>
      <c r="N51">
        <v>2</v>
      </c>
      <c r="O51" t="s">
        <v>86</v>
      </c>
      <c r="P51" t="s">
        <v>141</v>
      </c>
      <c r="Q51" t="s">
        <v>93</v>
      </c>
      <c r="R51" t="s">
        <v>94</v>
      </c>
      <c r="S51" t="s">
        <v>38</v>
      </c>
      <c r="T51">
        <v>1</v>
      </c>
      <c r="U51">
        <v>1</v>
      </c>
      <c r="V51">
        <v>2</v>
      </c>
      <c r="W51" t="s">
        <v>39</v>
      </c>
      <c r="X51" t="s">
        <v>40</v>
      </c>
      <c r="Y51" t="s">
        <v>41</v>
      </c>
      <c r="AA51">
        <v>0</v>
      </c>
      <c r="AB51">
        <v>18</v>
      </c>
    </row>
    <row r="52" spans="1:28" x14ac:dyDescent="0.25">
      <c r="A52" s="36" t="s">
        <v>1033</v>
      </c>
      <c r="B52">
        <v>37</v>
      </c>
      <c r="C52" t="s">
        <v>33</v>
      </c>
      <c r="D52">
        <v>1</v>
      </c>
      <c r="F52">
        <v>1</v>
      </c>
      <c r="G52" t="s">
        <v>34</v>
      </c>
      <c r="H52" t="s">
        <v>130</v>
      </c>
      <c r="I52" t="s">
        <v>36</v>
      </c>
      <c r="J52" t="s">
        <v>134</v>
      </c>
      <c r="K52" t="s">
        <v>48</v>
      </c>
      <c r="L52">
        <v>3</v>
      </c>
      <c r="N52">
        <v>1</v>
      </c>
      <c r="O52" t="s">
        <v>126</v>
      </c>
      <c r="S52" t="s">
        <v>45</v>
      </c>
      <c r="T52">
        <v>3</v>
      </c>
      <c r="V52">
        <v>1</v>
      </c>
      <c r="W52" t="s">
        <v>86</v>
      </c>
      <c r="X52" t="s">
        <v>76</v>
      </c>
      <c r="AA52">
        <v>0</v>
      </c>
      <c r="AB52">
        <v>11</v>
      </c>
    </row>
    <row r="53" spans="1:28" x14ac:dyDescent="0.25">
      <c r="A53" s="36" t="s">
        <v>1034</v>
      </c>
      <c r="B53">
        <v>38</v>
      </c>
      <c r="C53" t="s">
        <v>33</v>
      </c>
      <c r="D53">
        <v>3</v>
      </c>
      <c r="F53">
        <v>3</v>
      </c>
      <c r="G53" t="s">
        <v>34</v>
      </c>
      <c r="H53" t="s">
        <v>66</v>
      </c>
      <c r="I53" t="s">
        <v>132</v>
      </c>
      <c r="J53" t="s">
        <v>134</v>
      </c>
      <c r="K53" t="s">
        <v>48</v>
      </c>
      <c r="L53">
        <v>3</v>
      </c>
      <c r="N53">
        <v>1</v>
      </c>
      <c r="O53" t="s">
        <v>89</v>
      </c>
      <c r="P53" t="s">
        <v>50</v>
      </c>
      <c r="Q53" t="s">
        <v>51</v>
      </c>
      <c r="R53" t="s">
        <v>129</v>
      </c>
      <c r="S53" t="s">
        <v>63</v>
      </c>
      <c r="T53">
        <v>3</v>
      </c>
      <c r="V53">
        <v>3</v>
      </c>
      <c r="W53" t="s">
        <v>72</v>
      </c>
      <c r="X53" t="s">
        <v>146</v>
      </c>
      <c r="Y53" t="s">
        <v>104</v>
      </c>
      <c r="Z53" t="s">
        <v>150</v>
      </c>
      <c r="AA53">
        <v>0</v>
      </c>
      <c r="AB53">
        <v>23</v>
      </c>
    </row>
    <row r="54" spans="1:28" x14ac:dyDescent="0.25">
      <c r="A54" s="36" t="s">
        <v>1035</v>
      </c>
      <c r="B54">
        <v>41</v>
      </c>
      <c r="C54" t="s">
        <v>48</v>
      </c>
      <c r="D54">
        <v>3</v>
      </c>
      <c r="F54">
        <v>3</v>
      </c>
      <c r="G54" t="s">
        <v>89</v>
      </c>
      <c r="H54" t="s">
        <v>71</v>
      </c>
      <c r="I54" t="s">
        <v>51</v>
      </c>
      <c r="J54" t="s">
        <v>128</v>
      </c>
      <c r="K54" t="s">
        <v>43</v>
      </c>
      <c r="L54">
        <v>3</v>
      </c>
      <c r="N54">
        <v>3</v>
      </c>
      <c r="O54" t="s">
        <v>44</v>
      </c>
      <c r="P54" t="s">
        <v>136</v>
      </c>
      <c r="Q54" t="s">
        <v>137</v>
      </c>
      <c r="R54" t="s">
        <v>139</v>
      </c>
      <c r="S54" t="s">
        <v>63</v>
      </c>
      <c r="T54">
        <v>3</v>
      </c>
      <c r="V54">
        <v>3</v>
      </c>
      <c r="W54" t="s">
        <v>72</v>
      </c>
      <c r="X54" t="s">
        <v>146</v>
      </c>
      <c r="Y54" t="s">
        <v>148</v>
      </c>
      <c r="Z54" t="s">
        <v>151</v>
      </c>
      <c r="AA54">
        <v>0</v>
      </c>
      <c r="AB54">
        <v>31</v>
      </c>
    </row>
    <row r="55" spans="1:28" x14ac:dyDescent="0.25">
      <c r="A55" s="36" t="s">
        <v>1036</v>
      </c>
      <c r="B55">
        <v>44</v>
      </c>
      <c r="C55" t="s">
        <v>38</v>
      </c>
      <c r="D55">
        <v>3</v>
      </c>
      <c r="E55">
        <v>2</v>
      </c>
      <c r="F55">
        <v>2</v>
      </c>
      <c r="G55" t="s">
        <v>39</v>
      </c>
      <c r="H55" t="s">
        <v>40</v>
      </c>
      <c r="I55" t="s">
        <v>41</v>
      </c>
      <c r="J55" t="s">
        <v>156</v>
      </c>
      <c r="K55" t="s">
        <v>48</v>
      </c>
      <c r="L55">
        <v>1</v>
      </c>
      <c r="N55">
        <v>3</v>
      </c>
      <c r="O55" t="s">
        <v>126</v>
      </c>
      <c r="P55" t="s">
        <v>71</v>
      </c>
      <c r="Q55" t="s">
        <v>51</v>
      </c>
      <c r="R55" t="s">
        <v>128</v>
      </c>
      <c r="S55" t="s">
        <v>45</v>
      </c>
      <c r="T55">
        <v>3</v>
      </c>
      <c r="V55">
        <v>3</v>
      </c>
      <c r="W55" t="s">
        <v>86</v>
      </c>
      <c r="X55" t="s">
        <v>141</v>
      </c>
      <c r="Y55" t="s">
        <v>102</v>
      </c>
      <c r="Z55" t="s">
        <v>144</v>
      </c>
      <c r="AA55">
        <v>0</v>
      </c>
      <c r="AB55">
        <v>23</v>
      </c>
    </row>
    <row r="56" spans="1:28" x14ac:dyDescent="0.25">
      <c r="A56" s="36" t="s">
        <v>1037</v>
      </c>
      <c r="B56">
        <v>45</v>
      </c>
      <c r="C56" t="s">
        <v>63</v>
      </c>
      <c r="D56">
        <v>2</v>
      </c>
      <c r="F56">
        <v>1</v>
      </c>
      <c r="G56" t="s">
        <v>72</v>
      </c>
      <c r="H56" t="s">
        <v>146</v>
      </c>
      <c r="I56" t="s">
        <v>104</v>
      </c>
      <c r="K56" t="s">
        <v>48</v>
      </c>
      <c r="L56">
        <v>3</v>
      </c>
      <c r="N56">
        <v>1</v>
      </c>
      <c r="O56" t="s">
        <v>89</v>
      </c>
      <c r="P56" t="s">
        <v>50</v>
      </c>
      <c r="Q56" t="s">
        <v>51</v>
      </c>
      <c r="R56" t="s">
        <v>52</v>
      </c>
      <c r="S56" t="s">
        <v>38</v>
      </c>
      <c r="T56">
        <v>1</v>
      </c>
      <c r="U56">
        <v>1</v>
      </c>
      <c r="V56">
        <v>1</v>
      </c>
      <c r="W56" t="s">
        <v>39</v>
      </c>
      <c r="X56" t="s">
        <v>96</v>
      </c>
      <c r="Y56" t="s">
        <v>41</v>
      </c>
      <c r="Z56" t="s">
        <v>156</v>
      </c>
      <c r="AA56">
        <v>0</v>
      </c>
      <c r="AB56">
        <v>15</v>
      </c>
    </row>
    <row r="57" spans="1:28" x14ac:dyDescent="0.25">
      <c r="A57" s="36" t="s">
        <v>1038</v>
      </c>
      <c r="B57">
        <v>47</v>
      </c>
      <c r="C57" t="s">
        <v>63</v>
      </c>
      <c r="D57">
        <v>3</v>
      </c>
      <c r="F57">
        <v>2</v>
      </c>
      <c r="G57" t="s">
        <v>145</v>
      </c>
      <c r="H57" t="s">
        <v>146</v>
      </c>
      <c r="I57" t="s">
        <v>104</v>
      </c>
      <c r="J57" t="s">
        <v>149</v>
      </c>
      <c r="K57" t="s">
        <v>33</v>
      </c>
      <c r="L57">
        <v>1</v>
      </c>
      <c r="N57">
        <v>1</v>
      </c>
      <c r="O57" t="s">
        <v>34</v>
      </c>
      <c r="S57" t="s">
        <v>43</v>
      </c>
      <c r="T57">
        <v>3</v>
      </c>
      <c r="V57">
        <v>1</v>
      </c>
      <c r="W57" t="s">
        <v>44</v>
      </c>
      <c r="X57" t="s">
        <v>136</v>
      </c>
      <c r="Y57" t="s">
        <v>137</v>
      </c>
      <c r="Z57" t="s">
        <v>138</v>
      </c>
      <c r="AA57">
        <v>0</v>
      </c>
      <c r="AB57">
        <v>17</v>
      </c>
    </row>
  </sheetData>
  <phoneticPr fontId="3" type="noConversion"/>
  <conditionalFormatting sqref="B1:B1048576">
    <cfRule type="duplicateValues" dxfId="6" priority="1"/>
  </conditionalFormatting>
  <conditionalFormatting sqref="A2:B57">
    <cfRule type="duplicateValues" dxfId="0" priority="620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34AB4-BED7-471D-B263-F65A15EB3258}">
  <dimension ref="A1:O58"/>
  <sheetViews>
    <sheetView workbookViewId="0">
      <selection activeCell="I25" sqref="I25"/>
    </sheetView>
  </sheetViews>
  <sheetFormatPr defaultRowHeight="15" x14ac:dyDescent="0.25"/>
  <cols>
    <col min="1" max="1" width="10.5703125" bestFit="1" customWidth="1"/>
    <col min="2" max="2" width="13.5703125" bestFit="1" customWidth="1"/>
    <col min="3" max="3" width="11.42578125" bestFit="1" customWidth="1"/>
    <col min="4" max="4" width="13.5703125" bestFit="1" customWidth="1"/>
    <col min="5" max="5" width="11.42578125" bestFit="1" customWidth="1"/>
    <col min="6" max="6" width="13.5703125" bestFit="1" customWidth="1"/>
    <col min="7" max="7" width="9.42578125" bestFit="1" customWidth="1"/>
    <col min="9" max="9" width="11.42578125" bestFit="1" customWidth="1"/>
    <col min="10" max="10" width="9.42578125" bestFit="1" customWidth="1"/>
    <col min="11" max="11" width="7.42578125" bestFit="1" customWidth="1"/>
    <col min="12" max="12" width="10.85546875" bestFit="1" customWidth="1"/>
    <col min="14" max="14" width="25.140625" bestFit="1" customWidth="1"/>
    <col min="15" max="15" width="4.5703125" bestFit="1" customWidth="1"/>
    <col min="17" max="17" width="9.28515625" bestFit="1" customWidth="1"/>
  </cols>
  <sheetData>
    <row r="1" spans="1:15" ht="15.75" thickBot="1" x14ac:dyDescent="0.3">
      <c r="A1" s="37" t="s">
        <v>78</v>
      </c>
      <c r="B1" s="38"/>
      <c r="C1" s="38"/>
      <c r="D1" s="38"/>
      <c r="E1" s="38"/>
      <c r="F1" s="38"/>
      <c r="G1" s="39"/>
      <c r="I1" s="37" t="s">
        <v>82</v>
      </c>
      <c r="J1" s="38"/>
      <c r="K1" s="38"/>
      <c r="L1" s="39"/>
      <c r="N1" s="4" t="s">
        <v>157</v>
      </c>
      <c r="O1" s="30">
        <f>MIN(Scenario3[crystals])</f>
        <v>0</v>
      </c>
    </row>
    <row r="2" spans="1:15" ht="15.75" thickBot="1" x14ac:dyDescent="0.3">
      <c r="A2" t="s">
        <v>59</v>
      </c>
      <c r="B2" t="s">
        <v>81</v>
      </c>
      <c r="C2" t="s">
        <v>60</v>
      </c>
      <c r="D2" t="s">
        <v>77</v>
      </c>
      <c r="E2" t="s">
        <v>61</v>
      </c>
      <c r="F2" t="s">
        <v>187</v>
      </c>
      <c r="G2" t="s">
        <v>58</v>
      </c>
      <c r="I2" t="s">
        <v>106</v>
      </c>
      <c r="J2" t="s">
        <v>58</v>
      </c>
      <c r="K2" t="s">
        <v>79</v>
      </c>
      <c r="L2" t="s">
        <v>80</v>
      </c>
      <c r="N2" s="4" t="s">
        <v>107</v>
      </c>
      <c r="O2" s="30">
        <f>AVERAGE(Scenario3[crystals])</f>
        <v>0</v>
      </c>
    </row>
    <row r="3" spans="1:15" ht="15.75" thickBot="1" x14ac:dyDescent="0.3">
      <c r="A3" t="s">
        <v>53</v>
      </c>
      <c r="B3">
        <f>COUNTIFS(Scenario3[winner1],ScenarioStat3[[#This Row],[hero-1]],Scenario3[loser1],ScenarioStat3[[#This Row],[hero-2]],Scenario3[loser2],ScenarioStat3[[#This Row],[hero-3]])</f>
        <v>0</v>
      </c>
      <c r="C3" t="s">
        <v>56</v>
      </c>
      <c r="D3">
        <f>COUNTIFS(Scenario3[winner1],ScenarioStat3[[#This Row],[hero-2]],Scenario3[loser1],ScenarioStat3[[#This Row],[hero-1]],Scenario3[loser2],ScenarioStat3[[#This Row],[hero-3]])</f>
        <v>1</v>
      </c>
      <c r="E3" t="s">
        <v>48</v>
      </c>
      <c r="F3">
        <f>COUNTIFS(Scenario3[winner1],ScenarioStat3[[#This Row],[hero-3]],Scenario3[loser1],ScenarioStat3[[#This Row],[hero-1]],Scenario3[loser2],ScenarioStat3[[#This Row],[hero-2]])</f>
        <v>0</v>
      </c>
      <c r="G3">
        <f>ScenarioStat3[[#This Row],[team-1-win]]+ScenarioStat3[[#This Row],[team-2-win]]+ScenarioStat3[[#This Row],[team-3-win]]</f>
        <v>1</v>
      </c>
      <c r="I3" t="s">
        <v>53</v>
      </c>
      <c r="J3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3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6</v>
      </c>
      <c r="L3" s="3">
        <f>IF(ScenarioTeams3[[#This Row],[battles]],ScenarioTeams3[[#This Row],[wins]]/ScenarioTeams3[[#This Row],[battles]],0)</f>
        <v>0.2857142857142857</v>
      </c>
      <c r="N3" s="4" t="s">
        <v>159</v>
      </c>
      <c r="O3" s="30">
        <f>MAX(Scenario3[crystals])</f>
        <v>0</v>
      </c>
    </row>
    <row r="4" spans="1:15" ht="15.75" thickBot="1" x14ac:dyDescent="0.3">
      <c r="A4" t="s">
        <v>53</v>
      </c>
      <c r="B4">
        <f>COUNTIFS(Scenario3[winner1],ScenarioStat3[[#This Row],[hero-1]],Scenario3[loser1],ScenarioStat3[[#This Row],[hero-2]],Scenario3[loser2],ScenarioStat3[[#This Row],[hero-3]])</f>
        <v>0</v>
      </c>
      <c r="C4" t="s">
        <v>56</v>
      </c>
      <c r="D4">
        <f>COUNTIFS(Scenario3[winner1],ScenarioStat3[[#This Row],[hero-2]],Scenario3[loser1],ScenarioStat3[[#This Row],[hero-1]],Scenario3[loser2],ScenarioStat3[[#This Row],[hero-3]])</f>
        <v>0</v>
      </c>
      <c r="E4" t="s">
        <v>33</v>
      </c>
      <c r="F4">
        <f>COUNTIFS(Scenario3[winner1],ScenarioStat3[[#This Row],[hero-3]],Scenario3[loser1],ScenarioStat3[[#This Row],[hero-1]],Scenario3[loser2],ScenarioStat3[[#This Row],[hero-2]])</f>
        <v>1</v>
      </c>
      <c r="G4">
        <f>ScenarioStat3[[#This Row],[team-1-win]]+ScenarioStat3[[#This Row],[team-2-win]]+ScenarioStat3[[#This Row],[team-3-win]]</f>
        <v>1</v>
      </c>
      <c r="I4" t="s">
        <v>56</v>
      </c>
      <c r="J4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4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13</v>
      </c>
      <c r="L4" s="3">
        <f>IF(ScenarioTeams3[[#This Row],[battles]],ScenarioTeams3[[#This Row],[wins]]/ScenarioTeams3[[#This Row],[battles]],0)</f>
        <v>0.61904761904761907</v>
      </c>
      <c r="O4" s="7"/>
    </row>
    <row r="5" spans="1:15" ht="15.75" thickBot="1" x14ac:dyDescent="0.3">
      <c r="A5" t="s">
        <v>53</v>
      </c>
      <c r="B5">
        <f>COUNTIFS(Scenario3[winner1],ScenarioStat3[[#This Row],[hero-1]],Scenario3[loser1],ScenarioStat3[[#This Row],[hero-2]],Scenario3[loser2],ScenarioStat3[[#This Row],[hero-3]])</f>
        <v>0</v>
      </c>
      <c r="C5" t="s">
        <v>56</v>
      </c>
      <c r="D5">
        <f>COUNTIFS(Scenario3[winner1],ScenarioStat3[[#This Row],[hero-2]],Scenario3[loser1],ScenarioStat3[[#This Row],[hero-1]],Scenario3[loser2],ScenarioStat3[[#This Row],[hero-3]])</f>
        <v>1</v>
      </c>
      <c r="E5" t="s">
        <v>43</v>
      </c>
      <c r="F5">
        <f>COUNTIFS(Scenario3[winner1],ScenarioStat3[[#This Row],[hero-3]],Scenario3[loser1],ScenarioStat3[[#This Row],[hero-1]],Scenario3[loser2],ScenarioStat3[[#This Row],[hero-2]])</f>
        <v>0</v>
      </c>
      <c r="G5">
        <f>ScenarioStat3[[#This Row],[team-1-win]]+ScenarioStat3[[#This Row],[team-2-win]]+ScenarioStat3[[#This Row],[team-3-win]]</f>
        <v>1</v>
      </c>
      <c r="I5" t="s">
        <v>48</v>
      </c>
      <c r="J5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5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5</v>
      </c>
      <c r="L5" s="3">
        <f>IF(ScenarioTeams3[[#This Row],[battles]],ScenarioTeams3[[#This Row],[wins]]/ScenarioTeams3[[#This Row],[battles]],0)</f>
        <v>0.23809523809523808</v>
      </c>
      <c r="N5" s="4" t="s">
        <v>158</v>
      </c>
      <c r="O5" s="30">
        <f>MIN(Scenario3[turns])</f>
        <v>10</v>
      </c>
    </row>
    <row r="6" spans="1:15" ht="15.75" thickBot="1" x14ac:dyDescent="0.3">
      <c r="A6" t="s">
        <v>53</v>
      </c>
      <c r="B6">
        <f>COUNTIFS(Scenario3[winner1],ScenarioStat3[[#This Row],[hero-1]],Scenario3[loser1],ScenarioStat3[[#This Row],[hero-2]],Scenario3[loser2],ScenarioStat3[[#This Row],[hero-3]])</f>
        <v>0</v>
      </c>
      <c r="C6" t="s">
        <v>56</v>
      </c>
      <c r="D6">
        <f>COUNTIFS(Scenario3[winner1],ScenarioStat3[[#This Row],[hero-2]],Scenario3[loser1],ScenarioStat3[[#This Row],[hero-1]],Scenario3[loser2],ScenarioStat3[[#This Row],[hero-3]])</f>
        <v>1</v>
      </c>
      <c r="E6" t="s">
        <v>45</v>
      </c>
      <c r="F6">
        <f>COUNTIFS(Scenario3[winner1],ScenarioStat3[[#This Row],[hero-3]],Scenario3[loser1],ScenarioStat3[[#This Row],[hero-1]],Scenario3[loser2],ScenarioStat3[[#This Row],[hero-2]])</f>
        <v>0</v>
      </c>
      <c r="G6">
        <f>ScenarioStat3[[#This Row],[team-1-win]]+ScenarioStat3[[#This Row],[team-2-win]]+ScenarioStat3[[#This Row],[team-3-win]]</f>
        <v>1</v>
      </c>
      <c r="I6" t="s">
        <v>33</v>
      </c>
      <c r="J6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6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7</v>
      </c>
      <c r="L6" s="3">
        <f>IF(ScenarioTeams3[[#This Row],[battles]],ScenarioTeams3[[#This Row],[wins]]/ScenarioTeams3[[#This Row],[battles]],0)</f>
        <v>0.33333333333333331</v>
      </c>
      <c r="N6" s="5" t="s">
        <v>108</v>
      </c>
      <c r="O6" s="31">
        <f>AVERAGE(Scenario3[turns])</f>
        <v>22.910714285714285</v>
      </c>
    </row>
    <row r="7" spans="1:15" ht="15.75" thickBot="1" x14ac:dyDescent="0.3">
      <c r="A7" t="s">
        <v>53</v>
      </c>
      <c r="B7">
        <f>COUNTIFS(Scenario3[winner1],ScenarioStat3[[#This Row],[hero-1]],Scenario3[loser1],ScenarioStat3[[#This Row],[hero-2]],Scenario3[loser2],ScenarioStat3[[#This Row],[hero-3]])</f>
        <v>0</v>
      </c>
      <c r="C7" t="s">
        <v>56</v>
      </c>
      <c r="D7">
        <f>COUNTIFS(Scenario3[winner1],ScenarioStat3[[#This Row],[hero-2]],Scenario3[loser1],ScenarioStat3[[#This Row],[hero-1]],Scenario3[loser2],ScenarioStat3[[#This Row],[hero-3]])</f>
        <v>1</v>
      </c>
      <c r="E7" t="s">
        <v>63</v>
      </c>
      <c r="F7">
        <f>COUNTIFS(Scenario3[winner1],ScenarioStat3[[#This Row],[hero-3]],Scenario3[loser1],ScenarioStat3[[#This Row],[hero-1]],Scenario3[loser2],ScenarioStat3[[#This Row],[hero-2]])</f>
        <v>0</v>
      </c>
      <c r="G7">
        <f>ScenarioStat3[[#This Row],[team-1-win]]+ScenarioStat3[[#This Row],[team-2-win]]+ScenarioStat3[[#This Row],[team-3-win]]</f>
        <v>1</v>
      </c>
      <c r="I7" t="s">
        <v>43</v>
      </c>
      <c r="J7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7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3</v>
      </c>
      <c r="L7" s="3">
        <f>IF(ScenarioTeams3[[#This Row],[battles]],ScenarioTeams3[[#This Row],[wins]]/ScenarioTeams3[[#This Row],[battles]],0)</f>
        <v>0.14285714285714285</v>
      </c>
      <c r="N7" s="5" t="s">
        <v>160</v>
      </c>
      <c r="O7" s="31">
        <f>MAX(Scenario3[turns])</f>
        <v>62</v>
      </c>
    </row>
    <row r="8" spans="1:15" ht="15.75" thickBot="1" x14ac:dyDescent="0.3">
      <c r="A8" t="s">
        <v>53</v>
      </c>
      <c r="B8">
        <f>COUNTIFS(Scenario3[winner1],ScenarioStat3[[#This Row],[hero-1]],Scenario3[loser1],ScenarioStat3[[#This Row],[hero-2]],Scenario3[loser2],ScenarioStat3[[#This Row],[hero-3]])</f>
        <v>1</v>
      </c>
      <c r="C8" t="s">
        <v>56</v>
      </c>
      <c r="D8">
        <f>COUNTIFS(Scenario3[winner1],ScenarioStat3[[#This Row],[hero-2]],Scenario3[loser1],ScenarioStat3[[#This Row],[hero-1]],Scenario3[loser2],ScenarioStat3[[#This Row],[hero-3]])</f>
        <v>0</v>
      </c>
      <c r="E8" t="s">
        <v>38</v>
      </c>
      <c r="F8">
        <f>COUNTIFS(Scenario3[winner1],ScenarioStat3[[#This Row],[hero-3]],Scenario3[loser1],ScenarioStat3[[#This Row],[hero-1]],Scenario3[loser2],ScenarioStat3[[#This Row],[hero-2]])</f>
        <v>0</v>
      </c>
      <c r="G8">
        <f>ScenarioStat3[[#This Row],[team-1-win]]+ScenarioStat3[[#This Row],[team-2-win]]+ScenarioStat3[[#This Row],[team-3-win]]</f>
        <v>1</v>
      </c>
      <c r="I8" t="s">
        <v>45</v>
      </c>
      <c r="J8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8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8</v>
      </c>
      <c r="L8" s="3">
        <f>IF(ScenarioTeams3[[#This Row],[battles]],ScenarioTeams3[[#This Row],[wins]]/ScenarioTeams3[[#This Row],[battles]],0)</f>
        <v>0.38095238095238093</v>
      </c>
    </row>
    <row r="9" spans="1:15" ht="15.75" thickBot="1" x14ac:dyDescent="0.3">
      <c r="A9" t="s">
        <v>53</v>
      </c>
      <c r="B9">
        <f>COUNTIFS(Scenario3[winner1],ScenarioStat3[[#This Row],[hero-1]],Scenario3[loser1],ScenarioStat3[[#This Row],[hero-2]],Scenario3[loser2],ScenarioStat3[[#This Row],[hero-3]])</f>
        <v>1</v>
      </c>
      <c r="C9" t="s">
        <v>48</v>
      </c>
      <c r="D9">
        <f>COUNTIFS(Scenario3[winner1],ScenarioStat3[[#This Row],[hero-2]],Scenario3[loser1],ScenarioStat3[[#This Row],[hero-1]],Scenario3[loser2],ScenarioStat3[[#This Row],[hero-3]])</f>
        <v>0</v>
      </c>
      <c r="E9" t="s">
        <v>33</v>
      </c>
      <c r="F9">
        <f>COUNTIFS(Scenario3[winner1],ScenarioStat3[[#This Row],[hero-3]],Scenario3[loser1],ScenarioStat3[[#This Row],[hero-1]],Scenario3[loser2],ScenarioStat3[[#This Row],[hero-2]])</f>
        <v>0</v>
      </c>
      <c r="G9">
        <f>ScenarioStat3[[#This Row],[team-1-win]]+ScenarioStat3[[#This Row],[team-2-win]]+ScenarioStat3[[#This Row],[team-3-win]]</f>
        <v>1</v>
      </c>
      <c r="I9" t="s">
        <v>63</v>
      </c>
      <c r="J9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9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6</v>
      </c>
      <c r="L9" s="3">
        <f>IF(ScenarioTeams3[[#This Row],[battles]],ScenarioTeams3[[#This Row],[wins]]/ScenarioTeams3[[#This Row],[battles]],0)</f>
        <v>0.2857142857142857</v>
      </c>
      <c r="N9" s="4" t="s">
        <v>185</v>
      </c>
      <c r="O9" s="30">
        <f>120000*$O$6/1000/60</f>
        <v>45.821428571428569</v>
      </c>
    </row>
    <row r="10" spans="1:15" ht="15.75" thickBot="1" x14ac:dyDescent="0.3">
      <c r="A10" t="s">
        <v>53</v>
      </c>
      <c r="B10">
        <f>COUNTIFS(Scenario3[winner1],ScenarioStat3[[#This Row],[hero-1]],Scenario3[loser1],ScenarioStat3[[#This Row],[hero-2]],Scenario3[loser2],ScenarioStat3[[#This Row],[hero-3]])</f>
        <v>0</v>
      </c>
      <c r="C10" t="s">
        <v>48</v>
      </c>
      <c r="D10">
        <f>COUNTIFS(Scenario3[winner1],ScenarioStat3[[#This Row],[hero-2]],Scenario3[loser1],ScenarioStat3[[#This Row],[hero-1]],Scenario3[loser2],ScenarioStat3[[#This Row],[hero-3]])</f>
        <v>1</v>
      </c>
      <c r="E10" t="s">
        <v>43</v>
      </c>
      <c r="F10">
        <f>COUNTIFS(Scenario3[winner1],ScenarioStat3[[#This Row],[hero-3]],Scenario3[loser1],ScenarioStat3[[#This Row],[hero-1]],Scenario3[loser2],ScenarioStat3[[#This Row],[hero-2]])</f>
        <v>0</v>
      </c>
      <c r="G10">
        <f>ScenarioStat3[[#This Row],[team-1-win]]+ScenarioStat3[[#This Row],[team-2-win]]+ScenarioStat3[[#This Row],[team-3-win]]</f>
        <v>1</v>
      </c>
      <c r="I10" t="s">
        <v>38</v>
      </c>
      <c r="J10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10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8</v>
      </c>
      <c r="L10" s="3">
        <f>IF(ScenarioTeams3[[#This Row],[battles]],ScenarioTeams3[[#This Row],[wins]]/ScenarioTeams3[[#This Row],[battles]],0)</f>
        <v>0.38095238095238093</v>
      </c>
      <c r="N10" s="5" t="s">
        <v>186</v>
      </c>
      <c r="O10" s="6">
        <f>O9*COUNTA(ScenarioStat3[hero-1])/60/24*2</f>
        <v>3.5638888888888887</v>
      </c>
    </row>
    <row r="11" spans="1:15" x14ac:dyDescent="0.25">
      <c r="A11" t="s">
        <v>53</v>
      </c>
      <c r="B11">
        <f>COUNTIFS(Scenario3[winner1],ScenarioStat3[[#This Row],[hero-1]],Scenario3[loser1],ScenarioStat3[[#This Row],[hero-2]],Scenario3[loser2],ScenarioStat3[[#This Row],[hero-3]])</f>
        <v>1</v>
      </c>
      <c r="C11" t="s">
        <v>48</v>
      </c>
      <c r="D11">
        <f>COUNTIFS(Scenario3[winner1],ScenarioStat3[[#This Row],[hero-2]],Scenario3[loser1],ScenarioStat3[[#This Row],[hero-1]],Scenario3[loser2],ScenarioStat3[[#This Row],[hero-3]])</f>
        <v>0</v>
      </c>
      <c r="E11" t="s">
        <v>45</v>
      </c>
      <c r="F11">
        <f>COUNTIFS(Scenario3[winner1],ScenarioStat3[[#This Row],[hero-3]],Scenario3[loser1],ScenarioStat3[[#This Row],[hero-1]],Scenario3[loser2],ScenarioStat3[[#This Row],[hero-2]])</f>
        <v>0</v>
      </c>
      <c r="G11">
        <f>ScenarioStat3[[#This Row],[team-1-win]]+ScenarioStat3[[#This Row],[team-2-win]]+ScenarioStat3[[#This Row],[team-3-win]]</f>
        <v>1</v>
      </c>
    </row>
    <row r="12" spans="1:15" x14ac:dyDescent="0.25">
      <c r="A12" t="s">
        <v>53</v>
      </c>
      <c r="B12">
        <f>COUNTIFS(Scenario3[winner1],ScenarioStat3[[#This Row],[hero-1]],Scenario3[loser1],ScenarioStat3[[#This Row],[hero-2]],Scenario3[loser2],ScenarioStat3[[#This Row],[hero-3]])</f>
        <v>1</v>
      </c>
      <c r="C12" t="s">
        <v>48</v>
      </c>
      <c r="D12">
        <f>COUNTIFS(Scenario3[winner1],ScenarioStat3[[#This Row],[hero-2]],Scenario3[loser1],ScenarioStat3[[#This Row],[hero-1]],Scenario3[loser2],ScenarioStat3[[#This Row],[hero-3]])</f>
        <v>0</v>
      </c>
      <c r="E12" t="s">
        <v>63</v>
      </c>
      <c r="F12">
        <f>COUNTIFS(Scenario3[winner1],ScenarioStat3[[#This Row],[hero-3]],Scenario3[loser1],ScenarioStat3[[#This Row],[hero-1]],Scenario3[loser2],ScenarioStat3[[#This Row],[hero-2]])</f>
        <v>0</v>
      </c>
      <c r="G12">
        <f>ScenarioStat3[[#This Row],[team-1-win]]+ScenarioStat3[[#This Row],[team-2-win]]+ScenarioStat3[[#This Row],[team-3-win]]</f>
        <v>1</v>
      </c>
    </row>
    <row r="13" spans="1:15" x14ac:dyDescent="0.25">
      <c r="A13" t="s">
        <v>53</v>
      </c>
      <c r="B13">
        <f>COUNTIFS(Scenario3[winner1],ScenarioStat3[[#This Row],[hero-1]],Scenario3[loser1],ScenarioStat3[[#This Row],[hero-2]],Scenario3[loser2],ScenarioStat3[[#This Row],[hero-3]])</f>
        <v>1</v>
      </c>
      <c r="C13" t="s">
        <v>48</v>
      </c>
      <c r="D13">
        <f>COUNTIFS(Scenario3[winner1],ScenarioStat3[[#This Row],[hero-2]],Scenario3[loser1],ScenarioStat3[[#This Row],[hero-1]],Scenario3[loser2],ScenarioStat3[[#This Row],[hero-3]])</f>
        <v>0</v>
      </c>
      <c r="E13" t="s">
        <v>38</v>
      </c>
      <c r="F13">
        <f>COUNTIFS(Scenario3[winner1],ScenarioStat3[[#This Row],[hero-3]],Scenario3[loser1],ScenarioStat3[[#This Row],[hero-1]],Scenario3[loser2],ScenarioStat3[[#This Row],[hero-2]])</f>
        <v>0</v>
      </c>
      <c r="G13">
        <f>ScenarioStat3[[#This Row],[team-1-win]]+ScenarioStat3[[#This Row],[team-2-win]]+ScenarioStat3[[#This Row],[team-3-win]]</f>
        <v>1</v>
      </c>
    </row>
    <row r="14" spans="1:15" x14ac:dyDescent="0.25">
      <c r="A14" t="s">
        <v>53</v>
      </c>
      <c r="B14">
        <f>COUNTIFS(Scenario3[winner1],ScenarioStat3[[#This Row],[hero-1]],Scenario3[loser1],ScenarioStat3[[#This Row],[hero-2]],Scenario3[loser2],ScenarioStat3[[#This Row],[hero-3]])</f>
        <v>0</v>
      </c>
      <c r="C14" t="s">
        <v>33</v>
      </c>
      <c r="D14">
        <f>COUNTIFS(Scenario3[winner1],ScenarioStat3[[#This Row],[hero-2]],Scenario3[loser1],ScenarioStat3[[#This Row],[hero-1]],Scenario3[loser2],ScenarioStat3[[#This Row],[hero-3]])</f>
        <v>0</v>
      </c>
      <c r="E14" t="s">
        <v>43</v>
      </c>
      <c r="F14">
        <f>COUNTIFS(Scenario3[winner1],ScenarioStat3[[#This Row],[hero-3]],Scenario3[loser1],ScenarioStat3[[#This Row],[hero-1]],Scenario3[loser2],ScenarioStat3[[#This Row],[hero-2]])</f>
        <v>1</v>
      </c>
      <c r="G14">
        <f>ScenarioStat3[[#This Row],[team-1-win]]+ScenarioStat3[[#This Row],[team-2-win]]+ScenarioStat3[[#This Row],[team-3-win]]</f>
        <v>1</v>
      </c>
    </row>
    <row r="15" spans="1:15" x14ac:dyDescent="0.25">
      <c r="A15" t="s">
        <v>53</v>
      </c>
      <c r="B15">
        <f>COUNTIFS(Scenario3[winner1],ScenarioStat3[[#This Row],[hero-1]],Scenario3[loser1],ScenarioStat3[[#This Row],[hero-2]],Scenario3[loser2],ScenarioStat3[[#This Row],[hero-3]])</f>
        <v>0</v>
      </c>
      <c r="C15" t="s">
        <v>33</v>
      </c>
      <c r="D15">
        <f>COUNTIFS(Scenario3[winner1],ScenarioStat3[[#This Row],[hero-2]],Scenario3[loser1],ScenarioStat3[[#This Row],[hero-1]],Scenario3[loser2],ScenarioStat3[[#This Row],[hero-3]])</f>
        <v>1</v>
      </c>
      <c r="E15" t="s">
        <v>45</v>
      </c>
      <c r="F15">
        <f>COUNTIFS(Scenario3[winner1],ScenarioStat3[[#This Row],[hero-3]],Scenario3[loser1],ScenarioStat3[[#This Row],[hero-1]],Scenario3[loser2],ScenarioStat3[[#This Row],[hero-2]])</f>
        <v>0</v>
      </c>
      <c r="G15">
        <f>ScenarioStat3[[#This Row],[team-1-win]]+ScenarioStat3[[#This Row],[team-2-win]]+ScenarioStat3[[#This Row],[team-3-win]]</f>
        <v>1</v>
      </c>
    </row>
    <row r="16" spans="1:15" x14ac:dyDescent="0.25">
      <c r="A16" t="s">
        <v>53</v>
      </c>
      <c r="B16">
        <f>COUNTIFS(Scenario3[winner1],ScenarioStat3[[#This Row],[hero-1]],Scenario3[loser1],ScenarioStat3[[#This Row],[hero-2]],Scenario3[loser2],ScenarioStat3[[#This Row],[hero-3]])</f>
        <v>0</v>
      </c>
      <c r="C16" t="s">
        <v>33</v>
      </c>
      <c r="D16">
        <f>COUNTIFS(Scenario3[winner1],ScenarioStat3[[#This Row],[hero-2]],Scenario3[loser1],ScenarioStat3[[#This Row],[hero-1]],Scenario3[loser2],ScenarioStat3[[#This Row],[hero-3]])</f>
        <v>1</v>
      </c>
      <c r="E16" t="s">
        <v>63</v>
      </c>
      <c r="F16">
        <f>COUNTIFS(Scenario3[winner1],ScenarioStat3[[#This Row],[hero-3]],Scenario3[loser1],ScenarioStat3[[#This Row],[hero-1]],Scenario3[loser2],ScenarioStat3[[#This Row],[hero-2]])</f>
        <v>0</v>
      </c>
      <c r="G16">
        <f>ScenarioStat3[[#This Row],[team-1-win]]+ScenarioStat3[[#This Row],[team-2-win]]+ScenarioStat3[[#This Row],[team-3-win]]</f>
        <v>1</v>
      </c>
    </row>
    <row r="17" spans="1:7" x14ac:dyDescent="0.25">
      <c r="A17" t="s">
        <v>53</v>
      </c>
      <c r="B17">
        <f>COUNTIFS(Scenario3[winner1],ScenarioStat3[[#This Row],[hero-1]],Scenario3[loser1],ScenarioStat3[[#This Row],[hero-2]],Scenario3[loser2],ScenarioStat3[[#This Row],[hero-3]])</f>
        <v>0</v>
      </c>
      <c r="C17" t="s">
        <v>33</v>
      </c>
      <c r="D17">
        <f>COUNTIFS(Scenario3[winner1],ScenarioStat3[[#This Row],[hero-2]],Scenario3[loser1],ScenarioStat3[[#This Row],[hero-1]],Scenario3[loser2],ScenarioStat3[[#This Row],[hero-3]])</f>
        <v>1</v>
      </c>
      <c r="E17" t="s">
        <v>38</v>
      </c>
      <c r="F17">
        <f>COUNTIFS(Scenario3[winner1],ScenarioStat3[[#This Row],[hero-3]],Scenario3[loser1],ScenarioStat3[[#This Row],[hero-1]],Scenario3[loser2],ScenarioStat3[[#This Row],[hero-2]])</f>
        <v>0</v>
      </c>
      <c r="G17">
        <f>ScenarioStat3[[#This Row],[team-1-win]]+ScenarioStat3[[#This Row],[team-2-win]]+ScenarioStat3[[#This Row],[team-3-win]]</f>
        <v>1</v>
      </c>
    </row>
    <row r="18" spans="1:7" x14ac:dyDescent="0.25">
      <c r="A18" t="s">
        <v>53</v>
      </c>
      <c r="B18">
        <f>COUNTIFS(Scenario3[winner1],ScenarioStat3[[#This Row],[hero-1]],Scenario3[loser1],ScenarioStat3[[#This Row],[hero-2]],Scenario3[loser2],ScenarioStat3[[#This Row],[hero-3]])</f>
        <v>1</v>
      </c>
      <c r="C18" t="s">
        <v>43</v>
      </c>
      <c r="D18">
        <f>COUNTIFS(Scenario3[winner1],ScenarioStat3[[#This Row],[hero-2]],Scenario3[loser1],ScenarioStat3[[#This Row],[hero-1]],Scenario3[loser2],ScenarioStat3[[#This Row],[hero-3]])</f>
        <v>0</v>
      </c>
      <c r="E18" t="s">
        <v>45</v>
      </c>
      <c r="F18">
        <f>COUNTIFS(Scenario3[winner1],ScenarioStat3[[#This Row],[hero-3]],Scenario3[loser1],ScenarioStat3[[#This Row],[hero-1]],Scenario3[loser2],ScenarioStat3[[#This Row],[hero-2]])</f>
        <v>0</v>
      </c>
      <c r="G18">
        <f>ScenarioStat3[[#This Row],[team-1-win]]+ScenarioStat3[[#This Row],[team-2-win]]+ScenarioStat3[[#This Row],[team-3-win]]</f>
        <v>1</v>
      </c>
    </row>
    <row r="19" spans="1:7" x14ac:dyDescent="0.25">
      <c r="A19" t="s">
        <v>53</v>
      </c>
      <c r="B19">
        <f>COUNTIFS(Scenario3[winner1],ScenarioStat3[[#This Row],[hero-1]],Scenario3[loser1],ScenarioStat3[[#This Row],[hero-2]],Scenario3[loser2],ScenarioStat3[[#This Row],[hero-3]])</f>
        <v>0</v>
      </c>
      <c r="C19" t="s">
        <v>43</v>
      </c>
      <c r="D19">
        <f>COUNTIFS(Scenario3[winner1],ScenarioStat3[[#This Row],[hero-2]],Scenario3[loser1],ScenarioStat3[[#This Row],[hero-1]],Scenario3[loser2],ScenarioStat3[[#This Row],[hero-3]])</f>
        <v>1</v>
      </c>
      <c r="E19" t="s">
        <v>63</v>
      </c>
      <c r="F19">
        <f>COUNTIFS(Scenario3[winner1],ScenarioStat3[[#This Row],[hero-3]],Scenario3[loser1],ScenarioStat3[[#This Row],[hero-1]],Scenario3[loser2],ScenarioStat3[[#This Row],[hero-2]])</f>
        <v>0</v>
      </c>
      <c r="G19">
        <f>ScenarioStat3[[#This Row],[team-1-win]]+ScenarioStat3[[#This Row],[team-2-win]]+ScenarioStat3[[#This Row],[team-3-win]]</f>
        <v>1</v>
      </c>
    </row>
    <row r="20" spans="1:7" x14ac:dyDescent="0.25">
      <c r="A20" t="s">
        <v>53</v>
      </c>
      <c r="B20">
        <f>COUNTIFS(Scenario3[winner1],ScenarioStat3[[#This Row],[hero-1]],Scenario3[loser1],ScenarioStat3[[#This Row],[hero-2]],Scenario3[loser2],ScenarioStat3[[#This Row],[hero-3]])</f>
        <v>0</v>
      </c>
      <c r="C20" t="s">
        <v>43</v>
      </c>
      <c r="D20">
        <f>COUNTIFS(Scenario3[winner1],ScenarioStat3[[#This Row],[hero-2]],Scenario3[loser1],ScenarioStat3[[#This Row],[hero-1]],Scenario3[loser2],ScenarioStat3[[#This Row],[hero-3]])</f>
        <v>0</v>
      </c>
      <c r="E20" t="s">
        <v>38</v>
      </c>
      <c r="F20">
        <f>COUNTIFS(Scenario3[winner1],ScenarioStat3[[#This Row],[hero-3]],Scenario3[loser1],ScenarioStat3[[#This Row],[hero-1]],Scenario3[loser2],ScenarioStat3[[#This Row],[hero-2]])</f>
        <v>1</v>
      </c>
      <c r="G20">
        <f>ScenarioStat3[[#This Row],[team-1-win]]+ScenarioStat3[[#This Row],[team-2-win]]+ScenarioStat3[[#This Row],[team-3-win]]</f>
        <v>1</v>
      </c>
    </row>
    <row r="21" spans="1:7" x14ac:dyDescent="0.25">
      <c r="A21" t="s">
        <v>53</v>
      </c>
      <c r="B21">
        <f>COUNTIFS(Scenario3[winner1],ScenarioStat3[[#This Row],[hero-1]],Scenario3[loser1],ScenarioStat3[[#This Row],[hero-2]],Scenario3[loser2],ScenarioStat3[[#This Row],[hero-3]])</f>
        <v>0</v>
      </c>
      <c r="C21" t="s">
        <v>45</v>
      </c>
      <c r="D21">
        <f>COUNTIFS(Scenario3[winner1],ScenarioStat3[[#This Row],[hero-2]],Scenario3[loser1],ScenarioStat3[[#This Row],[hero-1]],Scenario3[loser2],ScenarioStat3[[#This Row],[hero-3]])</f>
        <v>0</v>
      </c>
      <c r="E21" t="s">
        <v>63</v>
      </c>
      <c r="F21">
        <f>COUNTIFS(Scenario3[winner1],ScenarioStat3[[#This Row],[hero-3]],Scenario3[loser1],ScenarioStat3[[#This Row],[hero-1]],Scenario3[loser2],ScenarioStat3[[#This Row],[hero-2]])</f>
        <v>1</v>
      </c>
      <c r="G21">
        <f>ScenarioStat3[[#This Row],[team-1-win]]+ScenarioStat3[[#This Row],[team-2-win]]+ScenarioStat3[[#This Row],[team-3-win]]</f>
        <v>1</v>
      </c>
    </row>
    <row r="22" spans="1:7" x14ac:dyDescent="0.25">
      <c r="A22" t="s">
        <v>53</v>
      </c>
      <c r="B22">
        <f>COUNTIFS(Scenario3[winner1],ScenarioStat3[[#This Row],[hero-1]],Scenario3[loser1],ScenarioStat3[[#This Row],[hero-2]],Scenario3[loser2],ScenarioStat3[[#This Row],[hero-3]])</f>
        <v>0</v>
      </c>
      <c r="C22" t="s">
        <v>45</v>
      </c>
      <c r="D22">
        <f>COUNTIFS(Scenario3[winner1],ScenarioStat3[[#This Row],[hero-2]],Scenario3[loser1],ScenarioStat3[[#This Row],[hero-1]],Scenario3[loser2],ScenarioStat3[[#This Row],[hero-3]])</f>
        <v>0</v>
      </c>
      <c r="E22" t="s">
        <v>38</v>
      </c>
      <c r="F22">
        <f>COUNTIFS(Scenario3[winner1],ScenarioStat3[[#This Row],[hero-3]],Scenario3[loser1],ScenarioStat3[[#This Row],[hero-1]],Scenario3[loser2],ScenarioStat3[[#This Row],[hero-2]])</f>
        <v>1</v>
      </c>
      <c r="G22">
        <f>ScenarioStat3[[#This Row],[team-1-win]]+ScenarioStat3[[#This Row],[team-2-win]]+ScenarioStat3[[#This Row],[team-3-win]]</f>
        <v>1</v>
      </c>
    </row>
    <row r="23" spans="1:7" x14ac:dyDescent="0.25">
      <c r="A23" t="s">
        <v>53</v>
      </c>
      <c r="B23">
        <f>COUNTIFS(Scenario3[winner1],ScenarioStat3[[#This Row],[hero-1]],Scenario3[loser1],ScenarioStat3[[#This Row],[hero-2]],Scenario3[loser2],ScenarioStat3[[#This Row],[hero-3]])</f>
        <v>0</v>
      </c>
      <c r="C23" t="s">
        <v>63</v>
      </c>
      <c r="D23">
        <f>COUNTIFS(Scenario3[winner1],ScenarioStat3[[#This Row],[hero-2]],Scenario3[loser1],ScenarioStat3[[#This Row],[hero-1]],Scenario3[loser2],ScenarioStat3[[#This Row],[hero-3]])</f>
        <v>1</v>
      </c>
      <c r="E23" t="s">
        <v>38</v>
      </c>
      <c r="F23">
        <f>COUNTIFS(Scenario3[winner1],ScenarioStat3[[#This Row],[hero-3]],Scenario3[loser1],ScenarioStat3[[#This Row],[hero-1]],Scenario3[loser2],ScenarioStat3[[#This Row],[hero-2]])</f>
        <v>0</v>
      </c>
      <c r="G23">
        <f>ScenarioStat3[[#This Row],[team-1-win]]+ScenarioStat3[[#This Row],[team-2-win]]+ScenarioStat3[[#This Row],[team-3-win]]</f>
        <v>1</v>
      </c>
    </row>
    <row r="24" spans="1:7" x14ac:dyDescent="0.25">
      <c r="A24" t="s">
        <v>56</v>
      </c>
      <c r="B24">
        <f>COUNTIFS(Scenario3[winner1],ScenarioStat3[[#This Row],[hero-1]],Scenario3[loser1],ScenarioStat3[[#This Row],[hero-2]],Scenario3[loser2],ScenarioStat3[[#This Row],[hero-3]])</f>
        <v>1</v>
      </c>
      <c r="C24" t="s">
        <v>48</v>
      </c>
      <c r="D24">
        <f>COUNTIFS(Scenario3[winner1],ScenarioStat3[[#This Row],[hero-2]],Scenario3[loser1],ScenarioStat3[[#This Row],[hero-1]],Scenario3[loser2],ScenarioStat3[[#This Row],[hero-3]])</f>
        <v>0</v>
      </c>
      <c r="E24" t="s">
        <v>33</v>
      </c>
      <c r="F24">
        <f>COUNTIFS(Scenario3[winner1],ScenarioStat3[[#This Row],[hero-3]],Scenario3[loser1],ScenarioStat3[[#This Row],[hero-1]],Scenario3[loser2],ScenarioStat3[[#This Row],[hero-2]])</f>
        <v>0</v>
      </c>
      <c r="G24">
        <f>ScenarioStat3[[#This Row],[team-1-win]]+ScenarioStat3[[#This Row],[team-2-win]]+ScenarioStat3[[#This Row],[team-3-win]]</f>
        <v>1</v>
      </c>
    </row>
    <row r="25" spans="1:7" x14ac:dyDescent="0.25">
      <c r="A25" t="s">
        <v>56</v>
      </c>
      <c r="B25">
        <f>COUNTIFS(Scenario3[winner1],ScenarioStat3[[#This Row],[hero-1]],Scenario3[loser1],ScenarioStat3[[#This Row],[hero-2]],Scenario3[loser2],ScenarioStat3[[#This Row],[hero-3]])</f>
        <v>1</v>
      </c>
      <c r="C25" t="s">
        <v>48</v>
      </c>
      <c r="D25">
        <f>COUNTIFS(Scenario3[winner1],ScenarioStat3[[#This Row],[hero-2]],Scenario3[loser1],ScenarioStat3[[#This Row],[hero-1]],Scenario3[loser2],ScenarioStat3[[#This Row],[hero-3]])</f>
        <v>0</v>
      </c>
      <c r="E25" t="s">
        <v>43</v>
      </c>
      <c r="F25">
        <f>COUNTIFS(Scenario3[winner1],ScenarioStat3[[#This Row],[hero-3]],Scenario3[loser1],ScenarioStat3[[#This Row],[hero-1]],Scenario3[loser2],ScenarioStat3[[#This Row],[hero-2]])</f>
        <v>0</v>
      </c>
      <c r="G25">
        <f>ScenarioStat3[[#This Row],[team-1-win]]+ScenarioStat3[[#This Row],[team-2-win]]+ScenarioStat3[[#This Row],[team-3-win]]</f>
        <v>1</v>
      </c>
    </row>
    <row r="26" spans="1:7" x14ac:dyDescent="0.25">
      <c r="A26" t="s">
        <v>56</v>
      </c>
      <c r="B26">
        <f>COUNTIFS(Scenario3[winner1],ScenarioStat3[[#This Row],[hero-1]],Scenario3[loser1],ScenarioStat3[[#This Row],[hero-2]],Scenario3[loser2],ScenarioStat3[[#This Row],[hero-3]])</f>
        <v>1</v>
      </c>
      <c r="C26" t="s">
        <v>48</v>
      </c>
      <c r="D26">
        <f>COUNTIFS(Scenario3[winner1],ScenarioStat3[[#This Row],[hero-2]],Scenario3[loser1],ScenarioStat3[[#This Row],[hero-1]],Scenario3[loser2],ScenarioStat3[[#This Row],[hero-3]])</f>
        <v>0</v>
      </c>
      <c r="E26" t="s">
        <v>45</v>
      </c>
      <c r="F26">
        <f>COUNTIFS(Scenario3[winner1],ScenarioStat3[[#This Row],[hero-3]],Scenario3[loser1],ScenarioStat3[[#This Row],[hero-1]],Scenario3[loser2],ScenarioStat3[[#This Row],[hero-2]])</f>
        <v>0</v>
      </c>
      <c r="G26">
        <f>ScenarioStat3[[#This Row],[team-1-win]]+ScenarioStat3[[#This Row],[team-2-win]]+ScenarioStat3[[#This Row],[team-3-win]]</f>
        <v>1</v>
      </c>
    </row>
    <row r="27" spans="1:7" x14ac:dyDescent="0.25">
      <c r="A27" t="s">
        <v>56</v>
      </c>
      <c r="B27">
        <f>COUNTIFS(Scenario3[winner1],ScenarioStat3[[#This Row],[hero-1]],Scenario3[loser1],ScenarioStat3[[#This Row],[hero-2]],Scenario3[loser2],ScenarioStat3[[#This Row],[hero-3]])</f>
        <v>1</v>
      </c>
      <c r="C27" t="s">
        <v>48</v>
      </c>
      <c r="D27">
        <f>COUNTIFS(Scenario3[winner1],ScenarioStat3[[#This Row],[hero-2]],Scenario3[loser1],ScenarioStat3[[#This Row],[hero-1]],Scenario3[loser2],ScenarioStat3[[#This Row],[hero-3]])</f>
        <v>0</v>
      </c>
      <c r="E27" t="s">
        <v>63</v>
      </c>
      <c r="F27">
        <f>COUNTIFS(Scenario3[winner1],ScenarioStat3[[#This Row],[hero-3]],Scenario3[loser1],ScenarioStat3[[#This Row],[hero-1]],Scenario3[loser2],ScenarioStat3[[#This Row],[hero-2]])</f>
        <v>0</v>
      </c>
      <c r="G27">
        <f>ScenarioStat3[[#This Row],[team-1-win]]+ScenarioStat3[[#This Row],[team-2-win]]+ScenarioStat3[[#This Row],[team-3-win]]</f>
        <v>1</v>
      </c>
    </row>
    <row r="28" spans="1:7" x14ac:dyDescent="0.25">
      <c r="A28" t="s">
        <v>56</v>
      </c>
      <c r="B28">
        <f>COUNTIFS(Scenario3[winner1],ScenarioStat3[[#This Row],[hero-1]],Scenario3[loser1],ScenarioStat3[[#This Row],[hero-2]],Scenario3[loser2],ScenarioStat3[[#This Row],[hero-3]])</f>
        <v>1</v>
      </c>
      <c r="C28" t="s">
        <v>48</v>
      </c>
      <c r="D28">
        <f>COUNTIFS(Scenario3[winner1],ScenarioStat3[[#This Row],[hero-2]],Scenario3[loser1],ScenarioStat3[[#This Row],[hero-1]],Scenario3[loser2],ScenarioStat3[[#This Row],[hero-3]])</f>
        <v>0</v>
      </c>
      <c r="E28" t="s">
        <v>38</v>
      </c>
      <c r="F28">
        <f>COUNTIFS(Scenario3[winner1],ScenarioStat3[[#This Row],[hero-3]],Scenario3[loser1],ScenarioStat3[[#This Row],[hero-1]],Scenario3[loser2],ScenarioStat3[[#This Row],[hero-2]])</f>
        <v>0</v>
      </c>
      <c r="G28">
        <f>ScenarioStat3[[#This Row],[team-1-win]]+ScenarioStat3[[#This Row],[team-2-win]]+ScenarioStat3[[#This Row],[team-3-win]]</f>
        <v>1</v>
      </c>
    </row>
    <row r="29" spans="1:7" x14ac:dyDescent="0.25">
      <c r="A29" t="s">
        <v>56</v>
      </c>
      <c r="B29">
        <f>COUNTIFS(Scenario3[winner1],ScenarioStat3[[#This Row],[hero-1]],Scenario3[loser1],ScenarioStat3[[#This Row],[hero-2]],Scenario3[loser2],ScenarioStat3[[#This Row],[hero-3]])</f>
        <v>1</v>
      </c>
      <c r="C29" t="s">
        <v>33</v>
      </c>
      <c r="D29">
        <f>COUNTIFS(Scenario3[winner1],ScenarioStat3[[#This Row],[hero-2]],Scenario3[loser1],ScenarioStat3[[#This Row],[hero-1]],Scenario3[loser2],ScenarioStat3[[#This Row],[hero-3]])</f>
        <v>0</v>
      </c>
      <c r="E29" t="s">
        <v>43</v>
      </c>
      <c r="F29">
        <f>COUNTIFS(Scenario3[winner1],ScenarioStat3[[#This Row],[hero-3]],Scenario3[loser1],ScenarioStat3[[#This Row],[hero-1]],Scenario3[loser2],ScenarioStat3[[#This Row],[hero-2]])</f>
        <v>0</v>
      </c>
      <c r="G29">
        <f>ScenarioStat3[[#This Row],[team-1-win]]+ScenarioStat3[[#This Row],[team-2-win]]+ScenarioStat3[[#This Row],[team-3-win]]</f>
        <v>1</v>
      </c>
    </row>
    <row r="30" spans="1:7" x14ac:dyDescent="0.25">
      <c r="A30" t="s">
        <v>56</v>
      </c>
      <c r="B30">
        <f>COUNTIFS(Scenario3[winner1],ScenarioStat3[[#This Row],[hero-1]],Scenario3[loser1],ScenarioStat3[[#This Row],[hero-2]],Scenario3[loser2],ScenarioStat3[[#This Row],[hero-3]])</f>
        <v>0</v>
      </c>
      <c r="C30" t="s">
        <v>33</v>
      </c>
      <c r="D30">
        <f>COUNTIFS(Scenario3[winner1],ScenarioStat3[[#This Row],[hero-2]],Scenario3[loser1],ScenarioStat3[[#This Row],[hero-1]],Scenario3[loser2],ScenarioStat3[[#This Row],[hero-3]])</f>
        <v>0</v>
      </c>
      <c r="E30" t="s">
        <v>45</v>
      </c>
      <c r="F30">
        <f>COUNTIFS(Scenario3[winner1],ScenarioStat3[[#This Row],[hero-3]],Scenario3[loser1],ScenarioStat3[[#This Row],[hero-1]],Scenario3[loser2],ScenarioStat3[[#This Row],[hero-2]])</f>
        <v>1</v>
      </c>
      <c r="G30">
        <f>ScenarioStat3[[#This Row],[team-1-win]]+ScenarioStat3[[#This Row],[team-2-win]]+ScenarioStat3[[#This Row],[team-3-win]]</f>
        <v>1</v>
      </c>
    </row>
    <row r="31" spans="1:7" x14ac:dyDescent="0.25">
      <c r="A31" t="s">
        <v>56</v>
      </c>
      <c r="B31">
        <f>COUNTIFS(Scenario3[winner1],ScenarioStat3[[#This Row],[hero-1]],Scenario3[loser1],ScenarioStat3[[#This Row],[hero-2]],Scenario3[loser2],ScenarioStat3[[#This Row],[hero-3]])</f>
        <v>0</v>
      </c>
      <c r="C31" t="s">
        <v>33</v>
      </c>
      <c r="D31">
        <f>COUNTIFS(Scenario3[winner1],ScenarioStat3[[#This Row],[hero-2]],Scenario3[loser1],ScenarioStat3[[#This Row],[hero-1]],Scenario3[loser2],ScenarioStat3[[#This Row],[hero-3]])</f>
        <v>0</v>
      </c>
      <c r="E31" t="s">
        <v>63</v>
      </c>
      <c r="F31">
        <f>COUNTIFS(Scenario3[winner1],ScenarioStat3[[#This Row],[hero-3]],Scenario3[loser1],ScenarioStat3[[#This Row],[hero-1]],Scenario3[loser2],ScenarioStat3[[#This Row],[hero-2]])</f>
        <v>1</v>
      </c>
      <c r="G31">
        <f>ScenarioStat3[[#This Row],[team-1-win]]+ScenarioStat3[[#This Row],[team-2-win]]+ScenarioStat3[[#This Row],[team-3-win]]</f>
        <v>1</v>
      </c>
    </row>
    <row r="32" spans="1:7" x14ac:dyDescent="0.25">
      <c r="A32" t="s">
        <v>56</v>
      </c>
      <c r="B32">
        <f>COUNTIFS(Scenario3[winner1],ScenarioStat3[[#This Row],[hero-1]],Scenario3[loser1],ScenarioStat3[[#This Row],[hero-2]],Scenario3[loser2],ScenarioStat3[[#This Row],[hero-3]])</f>
        <v>0</v>
      </c>
      <c r="C32" t="s">
        <v>33</v>
      </c>
      <c r="D32">
        <f>COUNTIFS(Scenario3[winner1],ScenarioStat3[[#This Row],[hero-2]],Scenario3[loser1],ScenarioStat3[[#This Row],[hero-1]],Scenario3[loser2],ScenarioStat3[[#This Row],[hero-3]])</f>
        <v>0</v>
      </c>
      <c r="E32" t="s">
        <v>38</v>
      </c>
      <c r="F32">
        <f>COUNTIFS(Scenario3[winner1],ScenarioStat3[[#This Row],[hero-3]],Scenario3[loser1],ScenarioStat3[[#This Row],[hero-1]],Scenario3[loser2],ScenarioStat3[[#This Row],[hero-2]])</f>
        <v>1</v>
      </c>
      <c r="G32">
        <f>ScenarioStat3[[#This Row],[team-1-win]]+ScenarioStat3[[#This Row],[team-2-win]]+ScenarioStat3[[#This Row],[team-3-win]]</f>
        <v>1</v>
      </c>
    </row>
    <row r="33" spans="1:7" x14ac:dyDescent="0.25">
      <c r="A33" t="s">
        <v>56</v>
      </c>
      <c r="B33">
        <f>COUNTIFS(Scenario3[winner1],ScenarioStat3[[#This Row],[hero-1]],Scenario3[loser1],ScenarioStat3[[#This Row],[hero-2]],Scenario3[loser2],ScenarioStat3[[#This Row],[hero-3]])</f>
        <v>1</v>
      </c>
      <c r="C33" t="s">
        <v>43</v>
      </c>
      <c r="D33">
        <f>COUNTIFS(Scenario3[winner1],ScenarioStat3[[#This Row],[hero-2]],Scenario3[loser1],ScenarioStat3[[#This Row],[hero-1]],Scenario3[loser2],ScenarioStat3[[#This Row],[hero-3]])</f>
        <v>0</v>
      </c>
      <c r="E33" t="s">
        <v>45</v>
      </c>
      <c r="F33">
        <f>COUNTIFS(Scenario3[winner1],ScenarioStat3[[#This Row],[hero-3]],Scenario3[loser1],ScenarioStat3[[#This Row],[hero-1]],Scenario3[loser2],ScenarioStat3[[#This Row],[hero-2]])</f>
        <v>0</v>
      </c>
      <c r="G33">
        <f>ScenarioStat3[[#This Row],[team-1-win]]+ScenarioStat3[[#This Row],[team-2-win]]+ScenarioStat3[[#This Row],[team-3-win]]</f>
        <v>1</v>
      </c>
    </row>
    <row r="34" spans="1:7" x14ac:dyDescent="0.25">
      <c r="A34" t="s">
        <v>56</v>
      </c>
      <c r="B34">
        <f>COUNTIFS(Scenario3[winner1],ScenarioStat3[[#This Row],[hero-1]],Scenario3[loser1],ScenarioStat3[[#This Row],[hero-2]],Scenario3[loser2],ScenarioStat3[[#This Row],[hero-3]])</f>
        <v>0</v>
      </c>
      <c r="C34" t="s">
        <v>43</v>
      </c>
      <c r="D34">
        <f>COUNTIFS(Scenario3[winner1],ScenarioStat3[[#This Row],[hero-2]],Scenario3[loser1],ScenarioStat3[[#This Row],[hero-1]],Scenario3[loser2],ScenarioStat3[[#This Row],[hero-3]])</f>
        <v>1</v>
      </c>
      <c r="E34" t="s">
        <v>63</v>
      </c>
      <c r="F34">
        <f>COUNTIFS(Scenario3[winner1],ScenarioStat3[[#This Row],[hero-3]],Scenario3[loser1],ScenarioStat3[[#This Row],[hero-1]],Scenario3[loser2],ScenarioStat3[[#This Row],[hero-2]])</f>
        <v>0</v>
      </c>
      <c r="G34">
        <f>ScenarioStat3[[#This Row],[team-1-win]]+ScenarioStat3[[#This Row],[team-2-win]]+ScenarioStat3[[#This Row],[team-3-win]]</f>
        <v>1</v>
      </c>
    </row>
    <row r="35" spans="1:7" x14ac:dyDescent="0.25">
      <c r="A35" t="s">
        <v>56</v>
      </c>
      <c r="B35">
        <f>COUNTIFS(Scenario3[winner1],ScenarioStat3[[#This Row],[hero-1]],Scenario3[loser1],ScenarioStat3[[#This Row],[hero-2]],Scenario3[loser2],ScenarioStat3[[#This Row],[hero-3]])</f>
        <v>1</v>
      </c>
      <c r="C35" t="s">
        <v>43</v>
      </c>
      <c r="D35">
        <f>COUNTIFS(Scenario3[winner1],ScenarioStat3[[#This Row],[hero-2]],Scenario3[loser1],ScenarioStat3[[#This Row],[hero-1]],Scenario3[loser2],ScenarioStat3[[#This Row],[hero-3]])</f>
        <v>0</v>
      </c>
      <c r="E35" t="s">
        <v>38</v>
      </c>
      <c r="F35">
        <f>COUNTIFS(Scenario3[winner1],ScenarioStat3[[#This Row],[hero-3]],Scenario3[loser1],ScenarioStat3[[#This Row],[hero-1]],Scenario3[loser2],ScenarioStat3[[#This Row],[hero-2]])</f>
        <v>0</v>
      </c>
      <c r="G35">
        <f>ScenarioStat3[[#This Row],[team-1-win]]+ScenarioStat3[[#This Row],[team-2-win]]+ScenarioStat3[[#This Row],[team-3-win]]</f>
        <v>1</v>
      </c>
    </row>
    <row r="36" spans="1:7" x14ac:dyDescent="0.25">
      <c r="A36" t="s">
        <v>56</v>
      </c>
      <c r="B36">
        <f>COUNTIFS(Scenario3[winner1],ScenarioStat3[[#This Row],[hero-1]],Scenario3[loser1],ScenarioStat3[[#This Row],[hero-2]],Scenario3[loser2],ScenarioStat3[[#This Row],[hero-3]])</f>
        <v>1</v>
      </c>
      <c r="C36" t="s">
        <v>45</v>
      </c>
      <c r="D36">
        <f>COUNTIFS(Scenario3[winner1],ScenarioStat3[[#This Row],[hero-2]],Scenario3[loser1],ScenarioStat3[[#This Row],[hero-1]],Scenario3[loser2],ScenarioStat3[[#This Row],[hero-3]])</f>
        <v>0</v>
      </c>
      <c r="E36" t="s">
        <v>63</v>
      </c>
      <c r="F36">
        <f>COUNTIFS(Scenario3[winner1],ScenarioStat3[[#This Row],[hero-3]],Scenario3[loser1],ScenarioStat3[[#This Row],[hero-1]],Scenario3[loser2],ScenarioStat3[[#This Row],[hero-2]])</f>
        <v>0</v>
      </c>
      <c r="G36">
        <f>ScenarioStat3[[#This Row],[team-1-win]]+ScenarioStat3[[#This Row],[team-2-win]]+ScenarioStat3[[#This Row],[team-3-win]]</f>
        <v>1</v>
      </c>
    </row>
    <row r="37" spans="1:7" x14ac:dyDescent="0.25">
      <c r="A37" t="s">
        <v>56</v>
      </c>
      <c r="B37">
        <f>COUNTIFS(Scenario3[winner1],ScenarioStat3[[#This Row],[hero-1]],Scenario3[loser1],ScenarioStat3[[#This Row],[hero-2]],Scenario3[loser2],ScenarioStat3[[#This Row],[hero-3]])</f>
        <v>0</v>
      </c>
      <c r="C37" t="s">
        <v>45</v>
      </c>
      <c r="D37">
        <f>COUNTIFS(Scenario3[winner1],ScenarioStat3[[#This Row],[hero-2]],Scenario3[loser1],ScenarioStat3[[#This Row],[hero-1]],Scenario3[loser2],ScenarioStat3[[#This Row],[hero-3]])</f>
        <v>1</v>
      </c>
      <c r="E37" t="s">
        <v>38</v>
      </c>
      <c r="F37">
        <f>COUNTIFS(Scenario3[winner1],ScenarioStat3[[#This Row],[hero-3]],Scenario3[loser1],ScenarioStat3[[#This Row],[hero-1]],Scenario3[loser2],ScenarioStat3[[#This Row],[hero-2]])</f>
        <v>0</v>
      </c>
      <c r="G37">
        <f>ScenarioStat3[[#This Row],[team-1-win]]+ScenarioStat3[[#This Row],[team-2-win]]+ScenarioStat3[[#This Row],[team-3-win]]</f>
        <v>1</v>
      </c>
    </row>
    <row r="38" spans="1:7" x14ac:dyDescent="0.25">
      <c r="A38" t="s">
        <v>56</v>
      </c>
      <c r="B38">
        <f>COUNTIFS(Scenario3[winner1],ScenarioStat3[[#This Row],[hero-1]],Scenario3[loser1],ScenarioStat3[[#This Row],[hero-2]],Scenario3[loser2],ScenarioStat3[[#This Row],[hero-3]])</f>
        <v>0</v>
      </c>
      <c r="C38" t="s">
        <v>63</v>
      </c>
      <c r="D38">
        <f>COUNTIFS(Scenario3[winner1],ScenarioStat3[[#This Row],[hero-2]],Scenario3[loser1],ScenarioStat3[[#This Row],[hero-1]],Scenario3[loser2],ScenarioStat3[[#This Row],[hero-3]])</f>
        <v>0</v>
      </c>
      <c r="E38" t="s">
        <v>38</v>
      </c>
      <c r="F38">
        <f>COUNTIFS(Scenario3[winner1],ScenarioStat3[[#This Row],[hero-3]],Scenario3[loser1],ScenarioStat3[[#This Row],[hero-1]],Scenario3[loser2],ScenarioStat3[[#This Row],[hero-2]])</f>
        <v>1</v>
      </c>
      <c r="G38">
        <f>ScenarioStat3[[#This Row],[team-1-win]]+ScenarioStat3[[#This Row],[team-2-win]]+ScenarioStat3[[#This Row],[team-3-win]]</f>
        <v>1</v>
      </c>
    </row>
    <row r="39" spans="1:7" x14ac:dyDescent="0.25">
      <c r="A39" t="s">
        <v>48</v>
      </c>
      <c r="B39">
        <f>COUNTIFS(Scenario3[winner1],ScenarioStat3[[#This Row],[hero-1]],Scenario3[loser1],ScenarioStat3[[#This Row],[hero-2]],Scenario3[loser2],ScenarioStat3[[#This Row],[hero-3]])</f>
        <v>1</v>
      </c>
      <c r="C39" t="s">
        <v>33</v>
      </c>
      <c r="D39">
        <f>COUNTIFS(Scenario3[winner1],ScenarioStat3[[#This Row],[hero-2]],Scenario3[loser1],ScenarioStat3[[#This Row],[hero-1]],Scenario3[loser2],ScenarioStat3[[#This Row],[hero-3]])</f>
        <v>0</v>
      </c>
      <c r="E39" t="s">
        <v>43</v>
      </c>
      <c r="F39">
        <f>COUNTIFS(Scenario3[winner1],ScenarioStat3[[#This Row],[hero-3]],Scenario3[loser1],ScenarioStat3[[#This Row],[hero-1]],Scenario3[loser2],ScenarioStat3[[#This Row],[hero-2]])</f>
        <v>0</v>
      </c>
      <c r="G39">
        <f>ScenarioStat3[[#This Row],[team-1-win]]+ScenarioStat3[[#This Row],[team-2-win]]+ScenarioStat3[[#This Row],[team-3-win]]</f>
        <v>1</v>
      </c>
    </row>
    <row r="40" spans="1:7" x14ac:dyDescent="0.25">
      <c r="A40" t="s">
        <v>48</v>
      </c>
      <c r="B40">
        <f>COUNTIFS(Scenario3[winner1],ScenarioStat3[[#This Row],[hero-1]],Scenario3[loser1],ScenarioStat3[[#This Row],[hero-2]],Scenario3[loser2],ScenarioStat3[[#This Row],[hero-3]])</f>
        <v>0</v>
      </c>
      <c r="C40" t="s">
        <v>33</v>
      </c>
      <c r="D40">
        <f>COUNTIFS(Scenario3[winner1],ScenarioStat3[[#This Row],[hero-2]],Scenario3[loser1],ScenarioStat3[[#This Row],[hero-1]],Scenario3[loser2],ScenarioStat3[[#This Row],[hero-3]])</f>
        <v>1</v>
      </c>
      <c r="E40" t="s">
        <v>45</v>
      </c>
      <c r="F40">
        <f>COUNTIFS(Scenario3[winner1],ScenarioStat3[[#This Row],[hero-3]],Scenario3[loser1],ScenarioStat3[[#This Row],[hero-1]],Scenario3[loser2],ScenarioStat3[[#This Row],[hero-2]])</f>
        <v>0</v>
      </c>
      <c r="G40">
        <f>ScenarioStat3[[#This Row],[team-1-win]]+ScenarioStat3[[#This Row],[team-2-win]]+ScenarioStat3[[#This Row],[team-3-win]]</f>
        <v>1</v>
      </c>
    </row>
    <row r="41" spans="1:7" x14ac:dyDescent="0.25">
      <c r="A41" t="s">
        <v>48</v>
      </c>
      <c r="B41">
        <f>COUNTIFS(Scenario3[winner1],ScenarioStat3[[#This Row],[hero-1]],Scenario3[loser1],ScenarioStat3[[#This Row],[hero-2]],Scenario3[loser2],ScenarioStat3[[#This Row],[hero-3]])</f>
        <v>0</v>
      </c>
      <c r="C41" t="s">
        <v>33</v>
      </c>
      <c r="D41">
        <f>COUNTIFS(Scenario3[winner1],ScenarioStat3[[#This Row],[hero-2]],Scenario3[loser1],ScenarioStat3[[#This Row],[hero-1]],Scenario3[loser2],ScenarioStat3[[#This Row],[hero-3]])</f>
        <v>1</v>
      </c>
      <c r="E41" t="s">
        <v>63</v>
      </c>
      <c r="F41">
        <f>COUNTIFS(Scenario3[winner1],ScenarioStat3[[#This Row],[hero-3]],Scenario3[loser1],ScenarioStat3[[#This Row],[hero-1]],Scenario3[loser2],ScenarioStat3[[#This Row],[hero-2]])</f>
        <v>0</v>
      </c>
      <c r="G41">
        <f>ScenarioStat3[[#This Row],[team-1-win]]+ScenarioStat3[[#This Row],[team-2-win]]+ScenarioStat3[[#This Row],[team-3-win]]</f>
        <v>1</v>
      </c>
    </row>
    <row r="42" spans="1:7" x14ac:dyDescent="0.25">
      <c r="A42" t="s">
        <v>48</v>
      </c>
      <c r="B42">
        <f>COUNTIFS(Scenario3[winner1],ScenarioStat3[[#This Row],[hero-1]],Scenario3[loser1],ScenarioStat3[[#This Row],[hero-2]],Scenario3[loser2],ScenarioStat3[[#This Row],[hero-3]])</f>
        <v>0</v>
      </c>
      <c r="C42" t="s">
        <v>33</v>
      </c>
      <c r="D42">
        <f>COUNTIFS(Scenario3[winner1],ScenarioStat3[[#This Row],[hero-2]],Scenario3[loser1],ScenarioStat3[[#This Row],[hero-1]],Scenario3[loser2],ScenarioStat3[[#This Row],[hero-3]])</f>
        <v>1</v>
      </c>
      <c r="E42" t="s">
        <v>38</v>
      </c>
      <c r="F42">
        <f>COUNTIFS(Scenario3[winner1],ScenarioStat3[[#This Row],[hero-3]],Scenario3[loser1],ScenarioStat3[[#This Row],[hero-1]],Scenario3[loser2],ScenarioStat3[[#This Row],[hero-2]])</f>
        <v>0</v>
      </c>
      <c r="G42">
        <f>ScenarioStat3[[#This Row],[team-1-win]]+ScenarioStat3[[#This Row],[team-2-win]]+ScenarioStat3[[#This Row],[team-3-win]]</f>
        <v>1</v>
      </c>
    </row>
    <row r="43" spans="1:7" x14ac:dyDescent="0.25">
      <c r="A43" t="s">
        <v>48</v>
      </c>
      <c r="B43">
        <f>COUNTIFS(Scenario3[winner1],ScenarioStat3[[#This Row],[hero-1]],Scenario3[loser1],ScenarioStat3[[#This Row],[hero-2]],Scenario3[loser2],ScenarioStat3[[#This Row],[hero-3]])</f>
        <v>1</v>
      </c>
      <c r="C43" t="s">
        <v>43</v>
      </c>
      <c r="D43">
        <f>COUNTIFS(Scenario3[winner1],ScenarioStat3[[#This Row],[hero-2]],Scenario3[loser1],ScenarioStat3[[#This Row],[hero-1]],Scenario3[loser2],ScenarioStat3[[#This Row],[hero-3]])</f>
        <v>0</v>
      </c>
      <c r="E43" t="s">
        <v>45</v>
      </c>
      <c r="F43">
        <f>COUNTIFS(Scenario3[winner1],ScenarioStat3[[#This Row],[hero-3]],Scenario3[loser1],ScenarioStat3[[#This Row],[hero-1]],Scenario3[loser2],ScenarioStat3[[#This Row],[hero-2]])</f>
        <v>0</v>
      </c>
      <c r="G43">
        <f>ScenarioStat3[[#This Row],[team-1-win]]+ScenarioStat3[[#This Row],[team-2-win]]+ScenarioStat3[[#This Row],[team-3-win]]</f>
        <v>1</v>
      </c>
    </row>
    <row r="44" spans="1:7" x14ac:dyDescent="0.25">
      <c r="A44" t="s">
        <v>48</v>
      </c>
      <c r="B44">
        <f>COUNTIFS(Scenario3[winner1],ScenarioStat3[[#This Row],[hero-1]],Scenario3[loser1],ScenarioStat3[[#This Row],[hero-2]],Scenario3[loser2],ScenarioStat3[[#This Row],[hero-3]])</f>
        <v>1</v>
      </c>
      <c r="C44" t="s">
        <v>43</v>
      </c>
      <c r="D44">
        <f>COUNTIFS(Scenario3[winner1],ScenarioStat3[[#This Row],[hero-2]],Scenario3[loser1],ScenarioStat3[[#This Row],[hero-1]],Scenario3[loser2],ScenarioStat3[[#This Row],[hero-3]])</f>
        <v>0</v>
      </c>
      <c r="E44" t="s">
        <v>63</v>
      </c>
      <c r="F44">
        <f>COUNTIFS(Scenario3[winner1],ScenarioStat3[[#This Row],[hero-3]],Scenario3[loser1],ScenarioStat3[[#This Row],[hero-1]],Scenario3[loser2],ScenarioStat3[[#This Row],[hero-2]])</f>
        <v>0</v>
      </c>
      <c r="G44">
        <f>ScenarioStat3[[#This Row],[team-1-win]]+ScenarioStat3[[#This Row],[team-2-win]]+ScenarioStat3[[#This Row],[team-3-win]]</f>
        <v>1</v>
      </c>
    </row>
    <row r="45" spans="1:7" x14ac:dyDescent="0.25">
      <c r="A45" t="s">
        <v>48</v>
      </c>
      <c r="B45">
        <f>COUNTIFS(Scenario3[winner1],ScenarioStat3[[#This Row],[hero-1]],Scenario3[loser1],ScenarioStat3[[#This Row],[hero-2]],Scenario3[loser2],ScenarioStat3[[#This Row],[hero-3]])</f>
        <v>1</v>
      </c>
      <c r="C45" t="s">
        <v>43</v>
      </c>
      <c r="D45">
        <f>COUNTIFS(Scenario3[winner1],ScenarioStat3[[#This Row],[hero-2]],Scenario3[loser1],ScenarioStat3[[#This Row],[hero-1]],Scenario3[loser2],ScenarioStat3[[#This Row],[hero-3]])</f>
        <v>0</v>
      </c>
      <c r="E45" t="s">
        <v>38</v>
      </c>
      <c r="F45">
        <f>COUNTIFS(Scenario3[winner1],ScenarioStat3[[#This Row],[hero-3]],Scenario3[loser1],ScenarioStat3[[#This Row],[hero-1]],Scenario3[loser2],ScenarioStat3[[#This Row],[hero-2]])</f>
        <v>0</v>
      </c>
      <c r="G45">
        <f>ScenarioStat3[[#This Row],[team-1-win]]+ScenarioStat3[[#This Row],[team-2-win]]+ScenarioStat3[[#This Row],[team-3-win]]</f>
        <v>1</v>
      </c>
    </row>
    <row r="46" spans="1:7" x14ac:dyDescent="0.25">
      <c r="A46" t="s">
        <v>48</v>
      </c>
      <c r="B46">
        <f>COUNTIFS(Scenario3[winner1],ScenarioStat3[[#This Row],[hero-1]],Scenario3[loser1],ScenarioStat3[[#This Row],[hero-2]],Scenario3[loser2],ScenarioStat3[[#This Row],[hero-3]])</f>
        <v>0</v>
      </c>
      <c r="C46" t="s">
        <v>45</v>
      </c>
      <c r="D46">
        <f>COUNTIFS(Scenario3[winner1],ScenarioStat3[[#This Row],[hero-2]],Scenario3[loser1],ScenarioStat3[[#This Row],[hero-1]],Scenario3[loser2],ScenarioStat3[[#This Row],[hero-3]])</f>
        <v>1</v>
      </c>
      <c r="E46" t="s">
        <v>63</v>
      </c>
      <c r="F46">
        <f>COUNTIFS(Scenario3[winner1],ScenarioStat3[[#This Row],[hero-3]],Scenario3[loser1],ScenarioStat3[[#This Row],[hero-1]],Scenario3[loser2],ScenarioStat3[[#This Row],[hero-2]])</f>
        <v>0</v>
      </c>
      <c r="G46">
        <f>ScenarioStat3[[#This Row],[team-1-win]]+ScenarioStat3[[#This Row],[team-2-win]]+ScenarioStat3[[#This Row],[team-3-win]]</f>
        <v>1</v>
      </c>
    </row>
    <row r="47" spans="1:7" x14ac:dyDescent="0.25">
      <c r="A47" t="s">
        <v>48</v>
      </c>
      <c r="B47">
        <f>COUNTIFS(Scenario3[winner1],ScenarioStat3[[#This Row],[hero-1]],Scenario3[loser1],ScenarioStat3[[#This Row],[hero-2]],Scenario3[loser2],ScenarioStat3[[#This Row],[hero-3]])</f>
        <v>0</v>
      </c>
      <c r="C47" t="s">
        <v>45</v>
      </c>
      <c r="D47">
        <f>COUNTIFS(Scenario3[winner1],ScenarioStat3[[#This Row],[hero-2]],Scenario3[loser1],ScenarioStat3[[#This Row],[hero-1]],Scenario3[loser2],ScenarioStat3[[#This Row],[hero-3]])</f>
        <v>0</v>
      </c>
      <c r="E47" t="s">
        <v>38</v>
      </c>
      <c r="F47">
        <f>COUNTIFS(Scenario3[winner1],ScenarioStat3[[#This Row],[hero-3]],Scenario3[loser1],ScenarioStat3[[#This Row],[hero-1]],Scenario3[loser2],ScenarioStat3[[#This Row],[hero-2]])</f>
        <v>1</v>
      </c>
      <c r="G47">
        <f>ScenarioStat3[[#This Row],[team-1-win]]+ScenarioStat3[[#This Row],[team-2-win]]+ScenarioStat3[[#This Row],[team-3-win]]</f>
        <v>1</v>
      </c>
    </row>
    <row r="48" spans="1:7" x14ac:dyDescent="0.25">
      <c r="A48" t="s">
        <v>48</v>
      </c>
      <c r="B48">
        <f>COUNTIFS(Scenario3[winner1],ScenarioStat3[[#This Row],[hero-1]],Scenario3[loser1],ScenarioStat3[[#This Row],[hero-2]],Scenario3[loser2],ScenarioStat3[[#This Row],[hero-3]])</f>
        <v>0</v>
      </c>
      <c r="C48" t="s">
        <v>63</v>
      </c>
      <c r="D48">
        <f>COUNTIFS(Scenario3[winner1],ScenarioStat3[[#This Row],[hero-2]],Scenario3[loser1],ScenarioStat3[[#This Row],[hero-1]],Scenario3[loser2],ScenarioStat3[[#This Row],[hero-3]])</f>
        <v>1</v>
      </c>
      <c r="E48" t="s">
        <v>38</v>
      </c>
      <c r="F48">
        <f>COUNTIFS(Scenario3[winner1],ScenarioStat3[[#This Row],[hero-3]],Scenario3[loser1],ScenarioStat3[[#This Row],[hero-1]],Scenario3[loser2],ScenarioStat3[[#This Row],[hero-2]])</f>
        <v>0</v>
      </c>
      <c r="G48">
        <f>ScenarioStat3[[#This Row],[team-1-win]]+ScenarioStat3[[#This Row],[team-2-win]]+ScenarioStat3[[#This Row],[team-3-win]]</f>
        <v>1</v>
      </c>
    </row>
    <row r="49" spans="1:7" x14ac:dyDescent="0.25">
      <c r="A49" t="s">
        <v>33</v>
      </c>
      <c r="B49">
        <f>COUNTIFS(Scenario3[winner1],ScenarioStat3[[#This Row],[hero-1]],Scenario3[loser1],ScenarioStat3[[#This Row],[hero-2]],Scenario3[loser2],ScenarioStat3[[#This Row],[hero-3]])</f>
        <v>0</v>
      </c>
      <c r="C49" t="s">
        <v>43</v>
      </c>
      <c r="D49">
        <f>COUNTIFS(Scenario3[winner1],ScenarioStat3[[#This Row],[hero-2]],Scenario3[loser1],ScenarioStat3[[#This Row],[hero-1]],Scenario3[loser2],ScenarioStat3[[#This Row],[hero-3]])</f>
        <v>0</v>
      </c>
      <c r="E49" t="s">
        <v>45</v>
      </c>
      <c r="F49">
        <f>COUNTIFS(Scenario3[winner1],ScenarioStat3[[#This Row],[hero-3]],Scenario3[loser1],ScenarioStat3[[#This Row],[hero-1]],Scenario3[loser2],ScenarioStat3[[#This Row],[hero-2]])</f>
        <v>1</v>
      </c>
      <c r="G49">
        <f>ScenarioStat3[[#This Row],[team-1-win]]+ScenarioStat3[[#This Row],[team-2-win]]+ScenarioStat3[[#This Row],[team-3-win]]</f>
        <v>1</v>
      </c>
    </row>
    <row r="50" spans="1:7" x14ac:dyDescent="0.25">
      <c r="A50" t="s">
        <v>33</v>
      </c>
      <c r="B50">
        <f>COUNTIFS(Scenario3[winner1],ScenarioStat3[[#This Row],[hero-1]],Scenario3[loser1],ScenarioStat3[[#This Row],[hero-2]],Scenario3[loser2],ScenarioStat3[[#This Row],[hero-3]])</f>
        <v>0</v>
      </c>
      <c r="C50" t="s">
        <v>43</v>
      </c>
      <c r="D50">
        <f>COUNTIFS(Scenario3[winner1],ScenarioStat3[[#This Row],[hero-2]],Scenario3[loser1],ScenarioStat3[[#This Row],[hero-1]],Scenario3[loser2],ScenarioStat3[[#This Row],[hero-3]])</f>
        <v>0</v>
      </c>
      <c r="E50" t="s">
        <v>63</v>
      </c>
      <c r="F50">
        <f>COUNTIFS(Scenario3[winner1],ScenarioStat3[[#This Row],[hero-3]],Scenario3[loser1],ScenarioStat3[[#This Row],[hero-1]],Scenario3[loser2],ScenarioStat3[[#This Row],[hero-2]])</f>
        <v>1</v>
      </c>
      <c r="G50">
        <f>ScenarioStat3[[#This Row],[team-1-win]]+ScenarioStat3[[#This Row],[team-2-win]]+ScenarioStat3[[#This Row],[team-3-win]]</f>
        <v>1</v>
      </c>
    </row>
    <row r="51" spans="1:7" x14ac:dyDescent="0.25">
      <c r="A51" t="s">
        <v>33</v>
      </c>
      <c r="B51">
        <f>COUNTIFS(Scenario3[winner1],ScenarioStat3[[#This Row],[hero-1]],Scenario3[loser1],ScenarioStat3[[#This Row],[hero-2]],Scenario3[loser2],ScenarioStat3[[#This Row],[hero-3]])</f>
        <v>0</v>
      </c>
      <c r="C51" t="s">
        <v>43</v>
      </c>
      <c r="D51">
        <f>COUNTIFS(Scenario3[winner1],ScenarioStat3[[#This Row],[hero-2]],Scenario3[loser1],ScenarioStat3[[#This Row],[hero-1]],Scenario3[loser2],ScenarioStat3[[#This Row],[hero-3]])</f>
        <v>0</v>
      </c>
      <c r="E51" t="s">
        <v>38</v>
      </c>
      <c r="F51">
        <f>COUNTIFS(Scenario3[winner1],ScenarioStat3[[#This Row],[hero-3]],Scenario3[loser1],ScenarioStat3[[#This Row],[hero-1]],Scenario3[loser2],ScenarioStat3[[#This Row],[hero-2]])</f>
        <v>1</v>
      </c>
      <c r="G51">
        <f>ScenarioStat3[[#This Row],[team-1-win]]+ScenarioStat3[[#This Row],[team-2-win]]+ScenarioStat3[[#This Row],[team-3-win]]</f>
        <v>1</v>
      </c>
    </row>
    <row r="52" spans="1:7" x14ac:dyDescent="0.25">
      <c r="A52" t="s">
        <v>33</v>
      </c>
      <c r="B52">
        <f>COUNTIFS(Scenario3[winner1],ScenarioStat3[[#This Row],[hero-1]],Scenario3[loser1],ScenarioStat3[[#This Row],[hero-2]],Scenario3[loser2],ScenarioStat3[[#This Row],[hero-3]])</f>
        <v>0</v>
      </c>
      <c r="C52" t="s">
        <v>45</v>
      </c>
      <c r="D52">
        <f>COUNTIFS(Scenario3[winner1],ScenarioStat3[[#This Row],[hero-2]],Scenario3[loser1],ScenarioStat3[[#This Row],[hero-1]],Scenario3[loser2],ScenarioStat3[[#This Row],[hero-3]])</f>
        <v>1</v>
      </c>
      <c r="E52" t="s">
        <v>63</v>
      </c>
      <c r="F52">
        <f>COUNTIFS(Scenario3[winner1],ScenarioStat3[[#This Row],[hero-3]],Scenario3[loser1],ScenarioStat3[[#This Row],[hero-1]],Scenario3[loser2],ScenarioStat3[[#This Row],[hero-2]])</f>
        <v>0</v>
      </c>
      <c r="G52">
        <f>ScenarioStat3[[#This Row],[team-1-win]]+ScenarioStat3[[#This Row],[team-2-win]]+ScenarioStat3[[#This Row],[team-3-win]]</f>
        <v>1</v>
      </c>
    </row>
    <row r="53" spans="1:7" x14ac:dyDescent="0.25">
      <c r="A53" t="s">
        <v>33</v>
      </c>
      <c r="B53">
        <f>COUNTIFS(Scenario3[winner1],ScenarioStat3[[#This Row],[hero-1]],Scenario3[loser1],ScenarioStat3[[#This Row],[hero-2]],Scenario3[loser2],ScenarioStat3[[#This Row],[hero-3]])</f>
        <v>0</v>
      </c>
      <c r="C53" t="s">
        <v>45</v>
      </c>
      <c r="D53">
        <f>COUNTIFS(Scenario3[winner1],ScenarioStat3[[#This Row],[hero-2]],Scenario3[loser1],ScenarioStat3[[#This Row],[hero-1]],Scenario3[loser2],ScenarioStat3[[#This Row],[hero-3]])</f>
        <v>1</v>
      </c>
      <c r="E53" t="s">
        <v>38</v>
      </c>
      <c r="F53">
        <f>COUNTIFS(Scenario3[winner1],ScenarioStat3[[#This Row],[hero-3]],Scenario3[loser1],ScenarioStat3[[#This Row],[hero-1]],Scenario3[loser2],ScenarioStat3[[#This Row],[hero-2]])</f>
        <v>0</v>
      </c>
      <c r="G53">
        <f>ScenarioStat3[[#This Row],[team-1-win]]+ScenarioStat3[[#This Row],[team-2-win]]+ScenarioStat3[[#This Row],[team-3-win]]</f>
        <v>1</v>
      </c>
    </row>
    <row r="54" spans="1:7" x14ac:dyDescent="0.25">
      <c r="A54" t="s">
        <v>33</v>
      </c>
      <c r="B54">
        <f>COUNTIFS(Scenario3[winner1],ScenarioStat3[[#This Row],[hero-1]],Scenario3[loser1],ScenarioStat3[[#This Row],[hero-2]],Scenario3[loser2],ScenarioStat3[[#This Row],[hero-3]])</f>
        <v>0</v>
      </c>
      <c r="C54" t="s">
        <v>63</v>
      </c>
      <c r="D54">
        <f>COUNTIFS(Scenario3[winner1],ScenarioStat3[[#This Row],[hero-2]],Scenario3[loser1],ScenarioStat3[[#This Row],[hero-1]],Scenario3[loser2],ScenarioStat3[[#This Row],[hero-3]])</f>
        <v>0</v>
      </c>
      <c r="E54" t="s">
        <v>38</v>
      </c>
      <c r="F54">
        <f>COUNTIFS(Scenario3[winner1],ScenarioStat3[[#This Row],[hero-3]],Scenario3[loser1],ScenarioStat3[[#This Row],[hero-1]],Scenario3[loser2],ScenarioStat3[[#This Row],[hero-2]])</f>
        <v>1</v>
      </c>
      <c r="G54">
        <f>ScenarioStat3[[#This Row],[team-1-win]]+ScenarioStat3[[#This Row],[team-2-win]]+ScenarioStat3[[#This Row],[team-3-win]]</f>
        <v>1</v>
      </c>
    </row>
    <row r="55" spans="1:7" x14ac:dyDescent="0.25">
      <c r="A55" t="s">
        <v>43</v>
      </c>
      <c r="B55">
        <f>COUNTIFS(Scenario3[winner1],ScenarioStat3[[#This Row],[hero-1]],Scenario3[loser1],ScenarioStat3[[#This Row],[hero-2]],Scenario3[loser2],ScenarioStat3[[#This Row],[hero-3]])</f>
        <v>0</v>
      </c>
      <c r="C55" t="s">
        <v>45</v>
      </c>
      <c r="D55">
        <f>COUNTIFS(Scenario3[winner1],ScenarioStat3[[#This Row],[hero-2]],Scenario3[loser1],ScenarioStat3[[#This Row],[hero-1]],Scenario3[loser2],ScenarioStat3[[#This Row],[hero-3]])</f>
        <v>1</v>
      </c>
      <c r="E55" t="s">
        <v>63</v>
      </c>
      <c r="F55">
        <f>COUNTIFS(Scenario3[winner1],ScenarioStat3[[#This Row],[hero-3]],Scenario3[loser1],ScenarioStat3[[#This Row],[hero-1]],Scenario3[loser2],ScenarioStat3[[#This Row],[hero-2]])</f>
        <v>0</v>
      </c>
      <c r="G55">
        <f>ScenarioStat3[[#This Row],[team-1-win]]+ScenarioStat3[[#This Row],[team-2-win]]+ScenarioStat3[[#This Row],[team-3-win]]</f>
        <v>1</v>
      </c>
    </row>
    <row r="56" spans="1:7" x14ac:dyDescent="0.25">
      <c r="A56" t="s">
        <v>43</v>
      </c>
      <c r="B56">
        <f>COUNTIFS(Scenario3[winner1],ScenarioStat3[[#This Row],[hero-1]],Scenario3[loser1],ScenarioStat3[[#This Row],[hero-2]],Scenario3[loser2],ScenarioStat3[[#This Row],[hero-3]])</f>
        <v>0</v>
      </c>
      <c r="C56" t="s">
        <v>45</v>
      </c>
      <c r="D56">
        <f>COUNTIFS(Scenario3[winner1],ScenarioStat3[[#This Row],[hero-2]],Scenario3[loser1],ScenarioStat3[[#This Row],[hero-1]],Scenario3[loser2],ScenarioStat3[[#This Row],[hero-3]])</f>
        <v>1</v>
      </c>
      <c r="E56" t="s">
        <v>38</v>
      </c>
      <c r="F56">
        <f>COUNTIFS(Scenario3[winner1],ScenarioStat3[[#This Row],[hero-3]],Scenario3[loser1],ScenarioStat3[[#This Row],[hero-1]],Scenario3[loser2],ScenarioStat3[[#This Row],[hero-2]])</f>
        <v>0</v>
      </c>
      <c r="G56">
        <f>ScenarioStat3[[#This Row],[team-1-win]]+ScenarioStat3[[#This Row],[team-2-win]]+ScenarioStat3[[#This Row],[team-3-win]]</f>
        <v>1</v>
      </c>
    </row>
    <row r="57" spans="1:7" x14ac:dyDescent="0.25">
      <c r="A57" t="s">
        <v>43</v>
      </c>
      <c r="B57">
        <f>COUNTIFS(Scenario3[winner1],ScenarioStat3[[#This Row],[hero-1]],Scenario3[loser1],ScenarioStat3[[#This Row],[hero-2]],Scenario3[loser2],ScenarioStat3[[#This Row],[hero-3]])</f>
        <v>0</v>
      </c>
      <c r="C57" t="s">
        <v>63</v>
      </c>
      <c r="D57">
        <f>COUNTIFS(Scenario3[winner1],ScenarioStat3[[#This Row],[hero-2]],Scenario3[loser1],ScenarioStat3[[#This Row],[hero-1]],Scenario3[loser2],ScenarioStat3[[#This Row],[hero-3]])</f>
        <v>0</v>
      </c>
      <c r="E57" t="s">
        <v>38</v>
      </c>
      <c r="F57">
        <f>COUNTIFS(Scenario3[winner1],ScenarioStat3[[#This Row],[hero-3]],Scenario3[loser1],ScenarioStat3[[#This Row],[hero-1]],Scenario3[loser2],ScenarioStat3[[#This Row],[hero-2]])</f>
        <v>1</v>
      </c>
      <c r="G57">
        <f>ScenarioStat3[[#This Row],[team-1-win]]+ScenarioStat3[[#This Row],[team-2-win]]+ScenarioStat3[[#This Row],[team-3-win]]</f>
        <v>1</v>
      </c>
    </row>
    <row r="58" spans="1:7" x14ac:dyDescent="0.25">
      <c r="A58" t="s">
        <v>45</v>
      </c>
      <c r="B58">
        <f>COUNTIFS(Scenario3[winner1],ScenarioStat3[[#This Row],[hero-1]],Scenario3[loser1],ScenarioStat3[[#This Row],[hero-2]],Scenario3[loser2],ScenarioStat3[[#This Row],[hero-3]])</f>
        <v>0</v>
      </c>
      <c r="C58" t="s">
        <v>63</v>
      </c>
      <c r="D58">
        <f>COUNTIFS(Scenario3[winner1],ScenarioStat3[[#This Row],[hero-2]],Scenario3[loser1],ScenarioStat3[[#This Row],[hero-1]],Scenario3[loser2],ScenarioStat3[[#This Row],[hero-3]])</f>
        <v>1</v>
      </c>
      <c r="E58" t="s">
        <v>38</v>
      </c>
      <c r="F58">
        <f>COUNTIFS(Scenario3[winner1],ScenarioStat3[[#This Row],[hero-3]],Scenario3[loser1],ScenarioStat3[[#This Row],[hero-1]],Scenario3[loser2],ScenarioStat3[[#This Row],[hero-2]])</f>
        <v>0</v>
      </c>
      <c r="G58">
        <f>ScenarioStat3[[#This Row],[team-1-win]]+ScenarioStat3[[#This Row],[team-2-win]]+ScenarioStat3[[#This Row],[team-3-win]]</f>
        <v>1</v>
      </c>
    </row>
  </sheetData>
  <mergeCells count="2">
    <mergeCell ref="A1:G1"/>
    <mergeCell ref="I1:L1"/>
  </mergeCells>
  <phoneticPr fontId="3" type="noConversion"/>
  <conditionalFormatting sqref="L3:L1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336A3-8211-470B-8ECC-FE45CD3B28AA}">
  <dimension ref="A1:AJ71"/>
  <sheetViews>
    <sheetView topLeftCell="A43" workbookViewId="0">
      <selection activeCell="AL62" sqref="AL62"/>
    </sheetView>
  </sheetViews>
  <sheetFormatPr defaultRowHeight="15" x14ac:dyDescent="0.25"/>
  <cols>
    <col min="1" max="1" width="38.140625" bestFit="1" customWidth="1"/>
    <col min="2" max="2" width="8.28515625" bestFit="1" customWidth="1"/>
    <col min="3" max="3" width="11.42578125" bestFit="1" customWidth="1"/>
    <col min="4" max="4" width="13" hidden="1" customWidth="1"/>
    <col min="5" max="5" width="12.7109375" hidden="1" customWidth="1"/>
    <col min="6" max="6" width="12.42578125" hidden="1" customWidth="1"/>
    <col min="7" max="7" width="21.140625" hidden="1" customWidth="1"/>
    <col min="8" max="8" width="19.140625" hidden="1" customWidth="1"/>
    <col min="9" max="9" width="18" hidden="1" customWidth="1"/>
    <col min="10" max="10" width="18.42578125" hidden="1" customWidth="1"/>
    <col min="11" max="11" width="10.5703125" bestFit="1" customWidth="1"/>
    <col min="12" max="12" width="12.140625" hidden="1" customWidth="1"/>
    <col min="13" max="13" width="11.85546875" hidden="1" customWidth="1"/>
    <col min="14" max="14" width="11.42578125" hidden="1" customWidth="1"/>
    <col min="15" max="15" width="18.42578125" hidden="1" customWidth="1"/>
    <col min="16" max="16" width="18.7109375" hidden="1" customWidth="1"/>
    <col min="17" max="17" width="20.7109375" hidden="1" customWidth="1"/>
    <col min="18" max="18" width="17.28515625" hidden="1" customWidth="1"/>
    <col min="19" max="19" width="11.42578125" bestFit="1" customWidth="1"/>
    <col min="20" max="26" width="17.28515625" hidden="1" customWidth="1"/>
    <col min="27" max="27" width="11.42578125" bestFit="1" customWidth="1"/>
    <col min="28" max="28" width="11.28515625" hidden="1" customWidth="1"/>
    <col min="29" max="29" width="10.85546875" hidden="1" customWidth="1"/>
    <col min="30" max="30" width="10.5703125" hidden="1" customWidth="1"/>
    <col min="31" max="34" width="14.7109375" hidden="1" customWidth="1"/>
    <col min="35" max="35" width="9.85546875" bestFit="1" customWidth="1"/>
    <col min="36" max="36" width="7.85546875" bestFit="1" customWidth="1"/>
  </cols>
  <sheetData>
    <row r="1" spans="1:36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s="32" t="s">
        <v>25</v>
      </c>
      <c r="T1" s="32" t="s">
        <v>26</v>
      </c>
      <c r="U1" s="32" t="s">
        <v>27</v>
      </c>
      <c r="V1" s="32" t="s">
        <v>28</v>
      </c>
      <c r="W1" s="32" t="s">
        <v>29</v>
      </c>
      <c r="X1" s="32" t="s">
        <v>119</v>
      </c>
      <c r="Y1" s="32" t="s">
        <v>30</v>
      </c>
      <c r="Z1" s="32" t="s">
        <v>31</v>
      </c>
      <c r="AA1" s="34" t="s">
        <v>210</v>
      </c>
      <c r="AB1" s="32" t="s">
        <v>215</v>
      </c>
      <c r="AC1" s="32" t="s">
        <v>216</v>
      </c>
      <c r="AD1" s="32" t="s">
        <v>217</v>
      </c>
      <c r="AE1" s="32" t="s">
        <v>211</v>
      </c>
      <c r="AF1" s="32" t="s">
        <v>212</v>
      </c>
      <c r="AG1" s="32" t="s">
        <v>213</v>
      </c>
      <c r="AH1" s="32" t="s">
        <v>214</v>
      </c>
      <c r="AI1" t="s">
        <v>64</v>
      </c>
      <c r="AJ1" t="s">
        <v>32</v>
      </c>
    </row>
    <row r="2" spans="1:36" x14ac:dyDescent="0.25">
      <c r="A2" t="s">
        <v>533</v>
      </c>
      <c r="B2">
        <v>0</v>
      </c>
      <c r="C2" t="s">
        <v>56</v>
      </c>
      <c r="D2">
        <v>3</v>
      </c>
      <c r="F2">
        <v>2</v>
      </c>
      <c r="G2" t="s">
        <v>120</v>
      </c>
      <c r="H2" t="s">
        <v>69</v>
      </c>
      <c r="I2" t="s">
        <v>87</v>
      </c>
      <c r="J2" t="s">
        <v>125</v>
      </c>
      <c r="K2" t="s">
        <v>53</v>
      </c>
      <c r="L2">
        <v>1</v>
      </c>
      <c r="M2">
        <v>3</v>
      </c>
      <c r="N2">
        <v>3</v>
      </c>
      <c r="O2" t="s">
        <v>112</v>
      </c>
      <c r="P2" t="s">
        <v>55</v>
      </c>
      <c r="Q2" t="s">
        <v>105</v>
      </c>
      <c r="R2" t="s">
        <v>115</v>
      </c>
      <c r="S2" t="s">
        <v>48</v>
      </c>
      <c r="T2">
        <v>1</v>
      </c>
      <c r="V2">
        <v>1</v>
      </c>
      <c r="W2" t="s">
        <v>126</v>
      </c>
      <c r="X2" t="s">
        <v>84</v>
      </c>
      <c r="Y2" t="s">
        <v>127</v>
      </c>
      <c r="Z2" t="s">
        <v>52</v>
      </c>
      <c r="AA2" t="s">
        <v>43</v>
      </c>
      <c r="AB2">
        <v>2</v>
      </c>
      <c r="AD2">
        <v>1</v>
      </c>
      <c r="AE2" t="s">
        <v>44</v>
      </c>
      <c r="AF2" t="s">
        <v>136</v>
      </c>
      <c r="AI2">
        <v>0</v>
      </c>
      <c r="AJ2">
        <v>24</v>
      </c>
    </row>
    <row r="3" spans="1:36" x14ac:dyDescent="0.25">
      <c r="A3" t="s">
        <v>534</v>
      </c>
      <c r="B3">
        <v>1</v>
      </c>
      <c r="C3" t="s">
        <v>56</v>
      </c>
      <c r="D3">
        <v>3</v>
      </c>
      <c r="F3">
        <v>3</v>
      </c>
      <c r="G3" t="s">
        <v>120</v>
      </c>
      <c r="H3" t="s">
        <v>121</v>
      </c>
      <c r="I3" t="s">
        <v>87</v>
      </c>
      <c r="J3" t="s">
        <v>88</v>
      </c>
      <c r="K3" t="s">
        <v>53</v>
      </c>
      <c r="L3">
        <v>1</v>
      </c>
      <c r="M3">
        <v>3</v>
      </c>
      <c r="N3">
        <v>2</v>
      </c>
      <c r="O3" t="s">
        <v>112</v>
      </c>
      <c r="P3" t="s">
        <v>83</v>
      </c>
      <c r="Q3" t="s">
        <v>105</v>
      </c>
      <c r="R3" t="s">
        <v>115</v>
      </c>
      <c r="S3" t="s">
        <v>48</v>
      </c>
      <c r="T3">
        <v>1</v>
      </c>
      <c r="V3">
        <v>2</v>
      </c>
      <c r="W3" t="s">
        <v>126</v>
      </c>
      <c r="X3" t="s">
        <v>84</v>
      </c>
      <c r="AA3" t="s">
        <v>45</v>
      </c>
      <c r="AB3">
        <v>3</v>
      </c>
      <c r="AD3">
        <v>3</v>
      </c>
      <c r="AE3" t="s">
        <v>86</v>
      </c>
      <c r="AF3" t="s">
        <v>141</v>
      </c>
      <c r="AG3" t="s">
        <v>142</v>
      </c>
      <c r="AH3" t="s">
        <v>94</v>
      </c>
      <c r="AI3">
        <v>0</v>
      </c>
      <c r="AJ3">
        <v>27</v>
      </c>
    </row>
    <row r="4" spans="1:36" x14ac:dyDescent="0.25">
      <c r="A4" t="s">
        <v>535</v>
      </c>
      <c r="B4">
        <v>2</v>
      </c>
      <c r="C4" t="s">
        <v>33</v>
      </c>
      <c r="D4">
        <v>3</v>
      </c>
      <c r="F4">
        <v>3</v>
      </c>
      <c r="G4" t="s">
        <v>34</v>
      </c>
      <c r="H4" t="s">
        <v>130</v>
      </c>
      <c r="I4" t="s">
        <v>36</v>
      </c>
      <c r="J4" t="s">
        <v>134</v>
      </c>
      <c r="K4" t="s">
        <v>53</v>
      </c>
      <c r="L4">
        <v>3</v>
      </c>
      <c r="M4">
        <v>3</v>
      </c>
      <c r="N4">
        <v>1</v>
      </c>
      <c r="O4" t="s">
        <v>112</v>
      </c>
      <c r="P4" t="s">
        <v>83</v>
      </c>
      <c r="Q4" t="s">
        <v>97</v>
      </c>
      <c r="R4" t="s">
        <v>98</v>
      </c>
      <c r="S4" t="s">
        <v>56</v>
      </c>
      <c r="T4">
        <v>2</v>
      </c>
      <c r="V4">
        <v>1</v>
      </c>
      <c r="W4" t="s">
        <v>120</v>
      </c>
      <c r="X4" t="s">
        <v>69</v>
      </c>
      <c r="Y4" t="s">
        <v>87</v>
      </c>
      <c r="Z4" t="s">
        <v>124</v>
      </c>
      <c r="AA4" t="s">
        <v>48</v>
      </c>
      <c r="AB4">
        <v>3</v>
      </c>
      <c r="AD4">
        <v>1</v>
      </c>
      <c r="AE4" t="s">
        <v>126</v>
      </c>
      <c r="AF4" t="s">
        <v>84</v>
      </c>
      <c r="AG4" t="s">
        <v>127</v>
      </c>
      <c r="AH4" t="s">
        <v>52</v>
      </c>
      <c r="AI4">
        <v>0</v>
      </c>
      <c r="AJ4">
        <v>28</v>
      </c>
    </row>
    <row r="5" spans="1:36" x14ac:dyDescent="0.25">
      <c r="A5" t="s">
        <v>536</v>
      </c>
      <c r="B5">
        <v>3</v>
      </c>
      <c r="C5" t="s">
        <v>53</v>
      </c>
      <c r="D5">
        <v>3</v>
      </c>
      <c r="E5">
        <v>3</v>
      </c>
      <c r="F5">
        <v>3</v>
      </c>
      <c r="G5" t="s">
        <v>112</v>
      </c>
      <c r="H5" t="s">
        <v>83</v>
      </c>
      <c r="I5" t="s">
        <v>105</v>
      </c>
      <c r="J5" t="s">
        <v>115</v>
      </c>
      <c r="K5" t="s">
        <v>56</v>
      </c>
      <c r="L5">
        <v>3</v>
      </c>
      <c r="N5">
        <v>3</v>
      </c>
      <c r="O5" t="s">
        <v>120</v>
      </c>
      <c r="P5" t="s">
        <v>69</v>
      </c>
      <c r="Q5" t="s">
        <v>87</v>
      </c>
      <c r="R5" t="s">
        <v>88</v>
      </c>
      <c r="S5" t="s">
        <v>48</v>
      </c>
      <c r="T5">
        <v>3</v>
      </c>
      <c r="V5">
        <v>3</v>
      </c>
      <c r="W5" t="s">
        <v>126</v>
      </c>
      <c r="X5" t="s">
        <v>84</v>
      </c>
      <c r="Y5" t="s">
        <v>127</v>
      </c>
      <c r="Z5" t="s">
        <v>52</v>
      </c>
      <c r="AA5" t="s">
        <v>63</v>
      </c>
      <c r="AB5">
        <v>3</v>
      </c>
      <c r="AD5">
        <v>3</v>
      </c>
      <c r="AE5" t="s">
        <v>72</v>
      </c>
      <c r="AF5" t="s">
        <v>95</v>
      </c>
      <c r="AG5" t="s">
        <v>147</v>
      </c>
      <c r="AH5" t="s">
        <v>151</v>
      </c>
      <c r="AI5">
        <v>0</v>
      </c>
      <c r="AJ5">
        <v>70</v>
      </c>
    </row>
    <row r="6" spans="1:36" x14ac:dyDescent="0.25">
      <c r="A6" t="s">
        <v>537</v>
      </c>
      <c r="B6">
        <v>4</v>
      </c>
      <c r="C6" t="s">
        <v>53</v>
      </c>
      <c r="D6">
        <v>3</v>
      </c>
      <c r="E6">
        <v>3</v>
      </c>
      <c r="F6">
        <v>3</v>
      </c>
      <c r="G6" t="s">
        <v>112</v>
      </c>
      <c r="H6" t="s">
        <v>83</v>
      </c>
      <c r="I6" t="s">
        <v>105</v>
      </c>
      <c r="J6" t="s">
        <v>115</v>
      </c>
      <c r="K6" t="s">
        <v>56</v>
      </c>
      <c r="L6">
        <v>3</v>
      </c>
      <c r="N6">
        <v>3</v>
      </c>
      <c r="O6" t="s">
        <v>120</v>
      </c>
      <c r="P6" t="s">
        <v>69</v>
      </c>
      <c r="Q6" t="s">
        <v>87</v>
      </c>
      <c r="R6" t="s">
        <v>88</v>
      </c>
      <c r="S6" t="s">
        <v>48</v>
      </c>
      <c r="T6">
        <v>3</v>
      </c>
      <c r="V6">
        <v>2</v>
      </c>
      <c r="W6" t="s">
        <v>126</v>
      </c>
      <c r="X6" t="s">
        <v>71</v>
      </c>
      <c r="Y6" t="s">
        <v>51</v>
      </c>
      <c r="Z6" t="s">
        <v>128</v>
      </c>
      <c r="AA6" t="s">
        <v>38</v>
      </c>
      <c r="AB6">
        <v>3</v>
      </c>
      <c r="AC6">
        <v>1</v>
      </c>
      <c r="AD6">
        <v>3</v>
      </c>
      <c r="AE6" t="s">
        <v>39</v>
      </c>
      <c r="AF6" t="s">
        <v>40</v>
      </c>
      <c r="AG6" t="s">
        <v>41</v>
      </c>
      <c r="AH6" t="s">
        <v>156</v>
      </c>
      <c r="AI6">
        <v>0</v>
      </c>
      <c r="AJ6">
        <v>39</v>
      </c>
    </row>
    <row r="7" spans="1:36" x14ac:dyDescent="0.25">
      <c r="A7" t="s">
        <v>538</v>
      </c>
      <c r="B7">
        <v>5</v>
      </c>
      <c r="C7" t="s">
        <v>43</v>
      </c>
      <c r="D7">
        <v>3</v>
      </c>
      <c r="F7">
        <v>3</v>
      </c>
      <c r="G7" t="s">
        <v>44</v>
      </c>
      <c r="H7" t="s">
        <v>136</v>
      </c>
      <c r="I7" t="s">
        <v>75</v>
      </c>
      <c r="J7" t="s">
        <v>101</v>
      </c>
      <c r="K7" t="s">
        <v>53</v>
      </c>
      <c r="L7">
        <v>1</v>
      </c>
      <c r="M7">
        <v>3</v>
      </c>
      <c r="N7">
        <v>1</v>
      </c>
      <c r="O7" t="s">
        <v>112</v>
      </c>
      <c r="P7" t="s">
        <v>83</v>
      </c>
      <c r="S7" t="s">
        <v>56</v>
      </c>
      <c r="T7">
        <v>3</v>
      </c>
      <c r="V7">
        <v>3</v>
      </c>
      <c r="W7" t="s">
        <v>120</v>
      </c>
      <c r="X7" t="s">
        <v>69</v>
      </c>
      <c r="Y7" t="s">
        <v>87</v>
      </c>
      <c r="Z7" t="s">
        <v>124</v>
      </c>
      <c r="AA7" t="s">
        <v>33</v>
      </c>
      <c r="AB7">
        <v>2</v>
      </c>
      <c r="AD7">
        <v>3</v>
      </c>
      <c r="AE7" t="s">
        <v>34</v>
      </c>
      <c r="AF7" t="s">
        <v>130</v>
      </c>
      <c r="AG7" t="s">
        <v>132</v>
      </c>
      <c r="AH7" t="s">
        <v>133</v>
      </c>
      <c r="AI7">
        <v>0</v>
      </c>
      <c r="AJ7">
        <v>34</v>
      </c>
    </row>
    <row r="8" spans="1:36" x14ac:dyDescent="0.25">
      <c r="A8" t="s">
        <v>539</v>
      </c>
      <c r="B8">
        <v>6</v>
      </c>
      <c r="C8" t="s">
        <v>45</v>
      </c>
      <c r="D8">
        <v>3</v>
      </c>
      <c r="F8">
        <v>3</v>
      </c>
      <c r="G8" t="s">
        <v>86</v>
      </c>
      <c r="H8" t="s">
        <v>141</v>
      </c>
      <c r="I8" t="s">
        <v>142</v>
      </c>
      <c r="J8" t="s">
        <v>144</v>
      </c>
      <c r="K8" t="s">
        <v>53</v>
      </c>
      <c r="L8">
        <v>2</v>
      </c>
      <c r="M8">
        <v>3</v>
      </c>
      <c r="N8">
        <v>3</v>
      </c>
      <c r="O8" t="s">
        <v>112</v>
      </c>
      <c r="P8" t="s">
        <v>55</v>
      </c>
      <c r="S8" t="s">
        <v>56</v>
      </c>
      <c r="T8">
        <v>3</v>
      </c>
      <c r="V8">
        <v>1</v>
      </c>
      <c r="W8" t="s">
        <v>120</v>
      </c>
      <c r="X8" t="s">
        <v>69</v>
      </c>
      <c r="AA8" t="s">
        <v>33</v>
      </c>
      <c r="AB8">
        <v>3</v>
      </c>
      <c r="AD8">
        <v>3</v>
      </c>
      <c r="AE8" t="s">
        <v>34</v>
      </c>
      <c r="AF8" t="s">
        <v>130</v>
      </c>
      <c r="AG8" t="s">
        <v>132</v>
      </c>
      <c r="AH8" t="s">
        <v>133</v>
      </c>
      <c r="AI8">
        <v>0</v>
      </c>
      <c r="AJ8">
        <v>28</v>
      </c>
    </row>
    <row r="9" spans="1:36" x14ac:dyDescent="0.25">
      <c r="A9" t="s">
        <v>540</v>
      </c>
      <c r="B9">
        <v>7</v>
      </c>
      <c r="C9" t="s">
        <v>33</v>
      </c>
      <c r="D9">
        <v>3</v>
      </c>
      <c r="F9">
        <v>3</v>
      </c>
      <c r="G9" t="s">
        <v>34</v>
      </c>
      <c r="H9" t="s">
        <v>130</v>
      </c>
      <c r="I9" t="s">
        <v>132</v>
      </c>
      <c r="J9" t="s">
        <v>133</v>
      </c>
      <c r="K9" t="s">
        <v>53</v>
      </c>
      <c r="L9">
        <v>1</v>
      </c>
      <c r="M9">
        <v>3</v>
      </c>
      <c r="N9">
        <v>1</v>
      </c>
      <c r="O9" t="s">
        <v>112</v>
      </c>
      <c r="P9" t="s">
        <v>83</v>
      </c>
      <c r="Q9" t="s">
        <v>97</v>
      </c>
      <c r="S9" t="s">
        <v>56</v>
      </c>
      <c r="T9">
        <v>3</v>
      </c>
      <c r="V9">
        <v>3</v>
      </c>
      <c r="W9" t="s">
        <v>57</v>
      </c>
      <c r="X9" t="s">
        <v>69</v>
      </c>
      <c r="Y9" t="s">
        <v>87</v>
      </c>
      <c r="Z9" t="s">
        <v>125</v>
      </c>
      <c r="AA9" t="s">
        <v>63</v>
      </c>
      <c r="AB9">
        <v>3</v>
      </c>
      <c r="AD9">
        <v>3</v>
      </c>
      <c r="AE9" t="s">
        <v>72</v>
      </c>
      <c r="AF9" t="s">
        <v>146</v>
      </c>
      <c r="AG9" t="s">
        <v>148</v>
      </c>
      <c r="AH9" t="s">
        <v>150</v>
      </c>
      <c r="AI9">
        <v>0</v>
      </c>
      <c r="AJ9">
        <v>38</v>
      </c>
    </row>
    <row r="10" spans="1:36" x14ac:dyDescent="0.25">
      <c r="A10" t="s">
        <v>541</v>
      </c>
      <c r="B10">
        <v>8</v>
      </c>
      <c r="C10" t="s">
        <v>38</v>
      </c>
      <c r="D10">
        <v>3</v>
      </c>
      <c r="E10">
        <v>3</v>
      </c>
      <c r="F10">
        <v>3</v>
      </c>
      <c r="G10" t="s">
        <v>39</v>
      </c>
      <c r="H10" t="s">
        <v>40</v>
      </c>
      <c r="I10" t="s">
        <v>153</v>
      </c>
      <c r="J10" t="s">
        <v>156</v>
      </c>
      <c r="K10" t="s">
        <v>53</v>
      </c>
      <c r="L10">
        <v>3</v>
      </c>
      <c r="M10">
        <v>3</v>
      </c>
      <c r="N10">
        <v>3</v>
      </c>
      <c r="O10" t="s">
        <v>112</v>
      </c>
      <c r="P10" t="s">
        <v>55</v>
      </c>
      <c r="Q10" t="s">
        <v>105</v>
      </c>
      <c r="R10" t="s">
        <v>98</v>
      </c>
      <c r="S10" t="s">
        <v>56</v>
      </c>
      <c r="T10">
        <v>3</v>
      </c>
      <c r="V10">
        <v>3</v>
      </c>
      <c r="W10" t="s">
        <v>120</v>
      </c>
      <c r="X10" t="s">
        <v>121</v>
      </c>
      <c r="Y10" t="s">
        <v>87</v>
      </c>
      <c r="Z10" t="s">
        <v>88</v>
      </c>
      <c r="AA10" t="s">
        <v>33</v>
      </c>
      <c r="AB10">
        <v>3</v>
      </c>
      <c r="AD10">
        <v>3</v>
      </c>
      <c r="AE10" t="s">
        <v>65</v>
      </c>
      <c r="AF10" t="s">
        <v>130</v>
      </c>
      <c r="AG10" t="s">
        <v>131</v>
      </c>
      <c r="AH10" t="s">
        <v>133</v>
      </c>
      <c r="AI10">
        <v>0</v>
      </c>
      <c r="AJ10">
        <v>45</v>
      </c>
    </row>
    <row r="11" spans="1:36" x14ac:dyDescent="0.25">
      <c r="A11" t="s">
        <v>542</v>
      </c>
      <c r="B11">
        <v>9</v>
      </c>
      <c r="C11" t="s">
        <v>56</v>
      </c>
      <c r="D11">
        <v>3</v>
      </c>
      <c r="F11">
        <v>3</v>
      </c>
      <c r="G11" t="s">
        <v>120</v>
      </c>
      <c r="H11" t="s">
        <v>121</v>
      </c>
      <c r="I11" t="s">
        <v>123</v>
      </c>
      <c r="J11" t="s">
        <v>88</v>
      </c>
      <c r="K11" t="s">
        <v>53</v>
      </c>
      <c r="L11">
        <v>3</v>
      </c>
      <c r="M11">
        <v>3</v>
      </c>
      <c r="N11">
        <v>3</v>
      </c>
      <c r="O11" t="s">
        <v>112</v>
      </c>
      <c r="P11" t="s">
        <v>55</v>
      </c>
      <c r="Q11" t="s">
        <v>97</v>
      </c>
      <c r="R11" t="s">
        <v>115</v>
      </c>
      <c r="S11" t="s">
        <v>43</v>
      </c>
      <c r="T11">
        <v>1</v>
      </c>
      <c r="V11">
        <v>2</v>
      </c>
      <c r="W11" t="s">
        <v>44</v>
      </c>
      <c r="X11" t="s">
        <v>136</v>
      </c>
      <c r="Y11" t="s">
        <v>75</v>
      </c>
      <c r="Z11" t="s">
        <v>138</v>
      </c>
      <c r="AA11" t="s">
        <v>45</v>
      </c>
      <c r="AB11">
        <v>3</v>
      </c>
      <c r="AD11">
        <v>3</v>
      </c>
      <c r="AE11" t="s">
        <v>86</v>
      </c>
      <c r="AF11" t="s">
        <v>76</v>
      </c>
      <c r="AG11" t="s">
        <v>142</v>
      </c>
      <c r="AH11" t="s">
        <v>94</v>
      </c>
      <c r="AI11">
        <v>0</v>
      </c>
      <c r="AJ11">
        <v>37</v>
      </c>
    </row>
    <row r="12" spans="1:36" x14ac:dyDescent="0.25">
      <c r="A12" t="s">
        <v>543</v>
      </c>
      <c r="B12">
        <v>10</v>
      </c>
      <c r="C12" t="s">
        <v>56</v>
      </c>
      <c r="D12">
        <v>3</v>
      </c>
      <c r="F12">
        <v>3</v>
      </c>
      <c r="G12" t="s">
        <v>120</v>
      </c>
      <c r="H12" t="s">
        <v>69</v>
      </c>
      <c r="I12" t="s">
        <v>87</v>
      </c>
      <c r="J12" t="s">
        <v>88</v>
      </c>
      <c r="K12" t="s">
        <v>53</v>
      </c>
      <c r="L12">
        <v>1</v>
      </c>
      <c r="M12">
        <v>3</v>
      </c>
      <c r="N12">
        <v>3</v>
      </c>
      <c r="O12" t="s">
        <v>112</v>
      </c>
      <c r="P12" t="s">
        <v>55</v>
      </c>
      <c r="S12" t="s">
        <v>43</v>
      </c>
      <c r="T12">
        <v>3</v>
      </c>
      <c r="V12">
        <v>3</v>
      </c>
      <c r="W12" t="s">
        <v>44</v>
      </c>
      <c r="X12" t="s">
        <v>99</v>
      </c>
      <c r="Y12" t="s">
        <v>75</v>
      </c>
      <c r="Z12" t="s">
        <v>139</v>
      </c>
      <c r="AA12" t="s">
        <v>63</v>
      </c>
      <c r="AB12">
        <v>3</v>
      </c>
      <c r="AD12">
        <v>3</v>
      </c>
      <c r="AE12" t="s">
        <v>103</v>
      </c>
      <c r="AF12" t="s">
        <v>146</v>
      </c>
      <c r="AG12" t="s">
        <v>148</v>
      </c>
      <c r="AH12" t="s">
        <v>149</v>
      </c>
      <c r="AI12">
        <v>0</v>
      </c>
      <c r="AJ12">
        <v>41</v>
      </c>
    </row>
    <row r="13" spans="1:36" x14ac:dyDescent="0.25">
      <c r="A13" t="s">
        <v>544</v>
      </c>
      <c r="B13">
        <v>11</v>
      </c>
      <c r="C13" t="s">
        <v>38</v>
      </c>
      <c r="D13">
        <v>3</v>
      </c>
      <c r="E13">
        <v>3</v>
      </c>
      <c r="F13">
        <v>3</v>
      </c>
      <c r="G13" t="s">
        <v>39</v>
      </c>
      <c r="H13" t="s">
        <v>40</v>
      </c>
      <c r="I13" t="s">
        <v>41</v>
      </c>
      <c r="J13" t="s">
        <v>156</v>
      </c>
      <c r="K13" t="s">
        <v>53</v>
      </c>
      <c r="L13">
        <v>3</v>
      </c>
      <c r="M13">
        <v>3</v>
      </c>
      <c r="N13">
        <v>3</v>
      </c>
      <c r="O13" t="s">
        <v>112</v>
      </c>
      <c r="P13" t="s">
        <v>55</v>
      </c>
      <c r="Q13" t="s">
        <v>105</v>
      </c>
      <c r="R13" t="s">
        <v>115</v>
      </c>
      <c r="S13" t="s">
        <v>56</v>
      </c>
      <c r="T13">
        <v>3</v>
      </c>
      <c r="V13">
        <v>3</v>
      </c>
      <c r="W13" t="s">
        <v>120</v>
      </c>
      <c r="X13" t="s">
        <v>69</v>
      </c>
      <c r="Y13" t="s">
        <v>87</v>
      </c>
      <c r="Z13" t="s">
        <v>125</v>
      </c>
      <c r="AA13" t="s">
        <v>43</v>
      </c>
      <c r="AB13">
        <v>2</v>
      </c>
      <c r="AD13">
        <v>1</v>
      </c>
      <c r="AE13" t="s">
        <v>44</v>
      </c>
      <c r="AF13" t="s">
        <v>136</v>
      </c>
      <c r="AG13" t="s">
        <v>75</v>
      </c>
      <c r="AH13" t="s">
        <v>138</v>
      </c>
      <c r="AI13">
        <v>0</v>
      </c>
      <c r="AJ13">
        <v>47</v>
      </c>
    </row>
    <row r="14" spans="1:36" x14ac:dyDescent="0.25">
      <c r="A14" t="s">
        <v>545</v>
      </c>
      <c r="B14">
        <v>12</v>
      </c>
      <c r="C14" t="s">
        <v>63</v>
      </c>
      <c r="D14">
        <v>3</v>
      </c>
      <c r="F14">
        <v>3</v>
      </c>
      <c r="G14" t="s">
        <v>103</v>
      </c>
      <c r="H14" t="s">
        <v>146</v>
      </c>
      <c r="I14" t="s">
        <v>148</v>
      </c>
      <c r="J14" t="s">
        <v>150</v>
      </c>
      <c r="K14" t="s">
        <v>53</v>
      </c>
      <c r="L14">
        <v>1</v>
      </c>
      <c r="M14">
        <v>3</v>
      </c>
      <c r="N14">
        <v>3</v>
      </c>
      <c r="O14" t="s">
        <v>112</v>
      </c>
      <c r="P14" t="s">
        <v>83</v>
      </c>
      <c r="Q14" t="s">
        <v>97</v>
      </c>
      <c r="R14" t="s">
        <v>115</v>
      </c>
      <c r="S14" t="s">
        <v>56</v>
      </c>
      <c r="T14">
        <v>3</v>
      </c>
      <c r="V14">
        <v>3</v>
      </c>
      <c r="W14" t="s">
        <v>57</v>
      </c>
      <c r="X14" t="s">
        <v>69</v>
      </c>
      <c r="Y14" t="s">
        <v>85</v>
      </c>
      <c r="Z14" t="s">
        <v>88</v>
      </c>
      <c r="AA14" t="s">
        <v>45</v>
      </c>
      <c r="AB14">
        <v>3</v>
      </c>
      <c r="AD14">
        <v>3</v>
      </c>
      <c r="AE14" t="s">
        <v>86</v>
      </c>
      <c r="AF14" t="s">
        <v>141</v>
      </c>
      <c r="AG14" t="s">
        <v>93</v>
      </c>
      <c r="AH14" t="s">
        <v>143</v>
      </c>
      <c r="AI14">
        <v>0</v>
      </c>
      <c r="AJ14">
        <v>43</v>
      </c>
    </row>
    <row r="15" spans="1:36" x14ac:dyDescent="0.25">
      <c r="A15" t="s">
        <v>546</v>
      </c>
      <c r="B15">
        <v>13</v>
      </c>
      <c r="C15" t="s">
        <v>56</v>
      </c>
      <c r="D15">
        <v>3</v>
      </c>
      <c r="F15">
        <v>3</v>
      </c>
      <c r="G15" t="s">
        <v>120</v>
      </c>
      <c r="H15" t="s">
        <v>69</v>
      </c>
      <c r="I15" t="s">
        <v>123</v>
      </c>
      <c r="J15" t="s">
        <v>88</v>
      </c>
      <c r="K15" t="s">
        <v>53</v>
      </c>
      <c r="L15">
        <v>3</v>
      </c>
      <c r="M15">
        <v>3</v>
      </c>
      <c r="N15">
        <v>3</v>
      </c>
      <c r="O15" t="s">
        <v>112</v>
      </c>
      <c r="P15" t="s">
        <v>55</v>
      </c>
      <c r="Q15" t="s">
        <v>97</v>
      </c>
      <c r="R15" t="s">
        <v>115</v>
      </c>
      <c r="S15" t="s">
        <v>45</v>
      </c>
      <c r="T15">
        <v>3</v>
      </c>
      <c r="V15">
        <v>3</v>
      </c>
      <c r="W15" t="s">
        <v>86</v>
      </c>
      <c r="X15" t="s">
        <v>76</v>
      </c>
      <c r="Y15" t="s">
        <v>142</v>
      </c>
      <c r="Z15" t="s">
        <v>94</v>
      </c>
      <c r="AA15" t="s">
        <v>38</v>
      </c>
      <c r="AB15">
        <v>3</v>
      </c>
      <c r="AC15">
        <v>3</v>
      </c>
      <c r="AD15">
        <v>3</v>
      </c>
      <c r="AE15" t="s">
        <v>39</v>
      </c>
      <c r="AF15" t="s">
        <v>40</v>
      </c>
      <c r="AG15" t="s">
        <v>41</v>
      </c>
      <c r="AH15" t="s">
        <v>156</v>
      </c>
      <c r="AI15">
        <v>0</v>
      </c>
      <c r="AJ15">
        <v>48</v>
      </c>
    </row>
    <row r="16" spans="1:36" x14ac:dyDescent="0.25">
      <c r="A16" t="s">
        <v>547</v>
      </c>
      <c r="B16">
        <v>14</v>
      </c>
      <c r="C16" t="s">
        <v>38</v>
      </c>
      <c r="D16">
        <v>3</v>
      </c>
      <c r="E16">
        <v>3</v>
      </c>
      <c r="F16">
        <v>3</v>
      </c>
      <c r="G16" t="s">
        <v>39</v>
      </c>
      <c r="H16" t="s">
        <v>40</v>
      </c>
      <c r="I16" t="s">
        <v>153</v>
      </c>
      <c r="J16" t="s">
        <v>156</v>
      </c>
      <c r="K16" t="s">
        <v>53</v>
      </c>
      <c r="L16">
        <v>3</v>
      </c>
      <c r="M16">
        <v>3</v>
      </c>
      <c r="N16">
        <v>3</v>
      </c>
      <c r="O16" t="s">
        <v>112</v>
      </c>
      <c r="P16" t="s">
        <v>83</v>
      </c>
      <c r="Q16" t="s">
        <v>97</v>
      </c>
      <c r="R16" t="s">
        <v>98</v>
      </c>
      <c r="S16" t="s">
        <v>56</v>
      </c>
      <c r="T16">
        <v>3</v>
      </c>
      <c r="V16">
        <v>3</v>
      </c>
      <c r="W16" t="s">
        <v>120</v>
      </c>
      <c r="X16" t="s">
        <v>69</v>
      </c>
      <c r="Y16" t="s">
        <v>87</v>
      </c>
      <c r="Z16" t="s">
        <v>125</v>
      </c>
      <c r="AA16" t="s">
        <v>63</v>
      </c>
      <c r="AB16">
        <v>3</v>
      </c>
      <c r="AD16">
        <v>3</v>
      </c>
      <c r="AE16" t="s">
        <v>103</v>
      </c>
      <c r="AF16" t="s">
        <v>95</v>
      </c>
      <c r="AG16" t="s">
        <v>147</v>
      </c>
      <c r="AH16" t="s">
        <v>151</v>
      </c>
      <c r="AI16">
        <v>0</v>
      </c>
      <c r="AJ16">
        <v>46</v>
      </c>
    </row>
    <row r="17" spans="1:36" x14ac:dyDescent="0.25">
      <c r="A17" t="s">
        <v>548</v>
      </c>
      <c r="B17">
        <v>15</v>
      </c>
      <c r="C17" t="s">
        <v>53</v>
      </c>
      <c r="D17">
        <v>3</v>
      </c>
      <c r="E17">
        <v>2</v>
      </c>
      <c r="F17">
        <v>3</v>
      </c>
      <c r="G17" t="s">
        <v>112</v>
      </c>
      <c r="H17" t="s">
        <v>83</v>
      </c>
      <c r="I17" t="s">
        <v>114</v>
      </c>
      <c r="J17" t="s">
        <v>98</v>
      </c>
      <c r="K17" t="s">
        <v>48</v>
      </c>
      <c r="L17">
        <v>1</v>
      </c>
      <c r="N17">
        <v>3</v>
      </c>
      <c r="O17" t="s">
        <v>126</v>
      </c>
      <c r="P17" t="s">
        <v>50</v>
      </c>
      <c r="Q17" t="s">
        <v>51</v>
      </c>
      <c r="R17" t="s">
        <v>128</v>
      </c>
      <c r="S17" t="s">
        <v>33</v>
      </c>
      <c r="T17">
        <v>3</v>
      </c>
      <c r="V17">
        <v>3</v>
      </c>
      <c r="W17" t="s">
        <v>34</v>
      </c>
      <c r="X17" t="s">
        <v>130</v>
      </c>
      <c r="Y17" t="s">
        <v>131</v>
      </c>
      <c r="Z17" t="s">
        <v>134</v>
      </c>
      <c r="AA17" t="s">
        <v>43</v>
      </c>
      <c r="AB17">
        <v>3</v>
      </c>
      <c r="AD17">
        <v>2</v>
      </c>
      <c r="AE17" t="s">
        <v>44</v>
      </c>
      <c r="AF17" t="s">
        <v>74</v>
      </c>
      <c r="AG17" t="s">
        <v>75</v>
      </c>
      <c r="AH17" t="s">
        <v>138</v>
      </c>
      <c r="AI17">
        <v>0</v>
      </c>
      <c r="AJ17">
        <v>31</v>
      </c>
    </row>
    <row r="18" spans="1:36" x14ac:dyDescent="0.25">
      <c r="A18" t="s">
        <v>549</v>
      </c>
      <c r="B18">
        <v>16</v>
      </c>
      <c r="C18" t="s">
        <v>45</v>
      </c>
      <c r="D18">
        <v>3</v>
      </c>
      <c r="F18">
        <v>3</v>
      </c>
      <c r="G18" t="s">
        <v>86</v>
      </c>
      <c r="H18" t="s">
        <v>92</v>
      </c>
      <c r="I18" t="s">
        <v>142</v>
      </c>
      <c r="J18" t="s">
        <v>143</v>
      </c>
      <c r="K18" t="s">
        <v>53</v>
      </c>
      <c r="L18">
        <v>3</v>
      </c>
      <c r="M18">
        <v>3</v>
      </c>
      <c r="N18">
        <v>3</v>
      </c>
      <c r="O18" t="s">
        <v>112</v>
      </c>
      <c r="P18" t="s">
        <v>83</v>
      </c>
      <c r="Q18" t="s">
        <v>114</v>
      </c>
      <c r="R18" t="s">
        <v>115</v>
      </c>
      <c r="S18" t="s">
        <v>48</v>
      </c>
      <c r="T18">
        <v>3</v>
      </c>
      <c r="V18">
        <v>3</v>
      </c>
      <c r="W18" t="s">
        <v>126</v>
      </c>
      <c r="X18" t="s">
        <v>84</v>
      </c>
      <c r="Y18" t="s">
        <v>51</v>
      </c>
      <c r="Z18" t="s">
        <v>128</v>
      </c>
      <c r="AA18" t="s">
        <v>33</v>
      </c>
      <c r="AB18">
        <v>3</v>
      </c>
      <c r="AD18">
        <v>3</v>
      </c>
      <c r="AE18" t="s">
        <v>34</v>
      </c>
      <c r="AF18" t="s">
        <v>130</v>
      </c>
      <c r="AG18" t="s">
        <v>131</v>
      </c>
      <c r="AH18" t="s">
        <v>133</v>
      </c>
      <c r="AI18">
        <v>0</v>
      </c>
      <c r="AJ18">
        <v>53</v>
      </c>
    </row>
    <row r="19" spans="1:36" x14ac:dyDescent="0.25">
      <c r="A19" t="s">
        <v>550</v>
      </c>
      <c r="B19">
        <v>17</v>
      </c>
      <c r="C19" t="s">
        <v>63</v>
      </c>
      <c r="D19">
        <v>3</v>
      </c>
      <c r="F19">
        <v>3</v>
      </c>
      <c r="G19" t="s">
        <v>72</v>
      </c>
      <c r="H19" t="s">
        <v>146</v>
      </c>
      <c r="I19" t="s">
        <v>148</v>
      </c>
      <c r="J19" t="s">
        <v>149</v>
      </c>
      <c r="K19" t="s">
        <v>53</v>
      </c>
      <c r="L19">
        <v>3</v>
      </c>
      <c r="M19">
        <v>3</v>
      </c>
      <c r="N19">
        <v>3</v>
      </c>
      <c r="O19" t="s">
        <v>112</v>
      </c>
      <c r="P19" t="s">
        <v>83</v>
      </c>
      <c r="Q19" t="s">
        <v>114</v>
      </c>
      <c r="R19" t="s">
        <v>115</v>
      </c>
      <c r="S19" t="s">
        <v>48</v>
      </c>
      <c r="T19">
        <v>3</v>
      </c>
      <c r="V19">
        <v>2</v>
      </c>
      <c r="W19" t="s">
        <v>126</v>
      </c>
      <c r="X19" t="s">
        <v>71</v>
      </c>
      <c r="Y19" t="s">
        <v>51</v>
      </c>
      <c r="Z19" t="s">
        <v>128</v>
      </c>
      <c r="AA19" t="s">
        <v>33</v>
      </c>
      <c r="AB19">
        <v>1</v>
      </c>
      <c r="AD19">
        <v>3</v>
      </c>
      <c r="AE19" t="s">
        <v>34</v>
      </c>
      <c r="AF19" t="s">
        <v>130</v>
      </c>
      <c r="AG19" t="s">
        <v>132</v>
      </c>
      <c r="AI19">
        <v>0</v>
      </c>
      <c r="AJ19">
        <v>39</v>
      </c>
    </row>
    <row r="20" spans="1:36" x14ac:dyDescent="0.25">
      <c r="A20" t="s">
        <v>551</v>
      </c>
      <c r="B20">
        <v>18</v>
      </c>
      <c r="C20" t="s">
        <v>33</v>
      </c>
      <c r="D20">
        <v>3</v>
      </c>
      <c r="F20">
        <v>3</v>
      </c>
      <c r="G20" t="s">
        <v>65</v>
      </c>
      <c r="H20" t="s">
        <v>130</v>
      </c>
      <c r="I20" t="s">
        <v>36</v>
      </c>
      <c r="J20" t="s">
        <v>133</v>
      </c>
      <c r="K20" t="s">
        <v>53</v>
      </c>
      <c r="L20">
        <v>3</v>
      </c>
      <c r="M20">
        <v>3</v>
      </c>
      <c r="N20">
        <v>3</v>
      </c>
      <c r="O20" t="s">
        <v>112</v>
      </c>
      <c r="P20" t="s">
        <v>55</v>
      </c>
      <c r="Q20" t="s">
        <v>105</v>
      </c>
      <c r="R20" t="s">
        <v>98</v>
      </c>
      <c r="S20" t="s">
        <v>48</v>
      </c>
      <c r="T20">
        <v>3</v>
      </c>
      <c r="V20">
        <v>2</v>
      </c>
      <c r="W20" t="s">
        <v>126</v>
      </c>
      <c r="AA20" t="s">
        <v>38</v>
      </c>
      <c r="AB20">
        <v>3</v>
      </c>
      <c r="AC20">
        <v>3</v>
      </c>
      <c r="AD20">
        <v>3</v>
      </c>
      <c r="AE20" t="s">
        <v>39</v>
      </c>
      <c r="AF20" t="s">
        <v>40</v>
      </c>
      <c r="AG20" t="s">
        <v>41</v>
      </c>
      <c r="AH20" t="s">
        <v>156</v>
      </c>
      <c r="AI20">
        <v>0</v>
      </c>
      <c r="AJ20">
        <v>45</v>
      </c>
    </row>
    <row r="21" spans="1:36" x14ac:dyDescent="0.25">
      <c r="A21" t="s">
        <v>552</v>
      </c>
      <c r="B21">
        <v>19</v>
      </c>
      <c r="C21" t="s">
        <v>48</v>
      </c>
      <c r="D21">
        <v>3</v>
      </c>
      <c r="F21">
        <v>3</v>
      </c>
      <c r="G21" t="s">
        <v>126</v>
      </c>
      <c r="H21" t="s">
        <v>71</v>
      </c>
      <c r="I21" t="s">
        <v>90</v>
      </c>
      <c r="J21" t="s">
        <v>52</v>
      </c>
      <c r="K21" t="s">
        <v>53</v>
      </c>
      <c r="L21">
        <v>1</v>
      </c>
      <c r="M21">
        <v>3</v>
      </c>
      <c r="N21">
        <v>3</v>
      </c>
      <c r="O21" t="s">
        <v>112</v>
      </c>
      <c r="P21" t="s">
        <v>83</v>
      </c>
      <c r="Q21" t="s">
        <v>105</v>
      </c>
      <c r="R21" t="s">
        <v>115</v>
      </c>
      <c r="S21" t="s">
        <v>43</v>
      </c>
      <c r="T21">
        <v>3</v>
      </c>
      <c r="V21">
        <v>3</v>
      </c>
      <c r="W21" t="s">
        <v>44</v>
      </c>
      <c r="X21" t="s">
        <v>136</v>
      </c>
      <c r="Y21" t="s">
        <v>75</v>
      </c>
      <c r="Z21" t="s">
        <v>138</v>
      </c>
      <c r="AA21" t="s">
        <v>45</v>
      </c>
      <c r="AB21">
        <v>3</v>
      </c>
      <c r="AD21">
        <v>3</v>
      </c>
      <c r="AE21" t="s">
        <v>47</v>
      </c>
      <c r="AF21" t="s">
        <v>76</v>
      </c>
      <c r="AG21" t="s">
        <v>142</v>
      </c>
      <c r="AH21" t="s">
        <v>143</v>
      </c>
      <c r="AI21">
        <v>0</v>
      </c>
      <c r="AJ21">
        <v>70</v>
      </c>
    </row>
    <row r="22" spans="1:36" x14ac:dyDescent="0.25">
      <c r="A22" t="s">
        <v>553</v>
      </c>
      <c r="B22">
        <v>20</v>
      </c>
      <c r="C22" t="s">
        <v>63</v>
      </c>
      <c r="D22">
        <v>3</v>
      </c>
      <c r="F22">
        <v>3</v>
      </c>
      <c r="G22" t="s">
        <v>72</v>
      </c>
      <c r="H22" t="s">
        <v>95</v>
      </c>
      <c r="I22" t="s">
        <v>147</v>
      </c>
      <c r="J22" t="s">
        <v>151</v>
      </c>
      <c r="K22" t="s">
        <v>53</v>
      </c>
      <c r="L22">
        <v>3</v>
      </c>
      <c r="M22">
        <v>3</v>
      </c>
      <c r="N22">
        <v>3</v>
      </c>
      <c r="O22" t="s">
        <v>112</v>
      </c>
      <c r="P22" t="s">
        <v>83</v>
      </c>
      <c r="Q22" t="s">
        <v>114</v>
      </c>
      <c r="R22" t="s">
        <v>115</v>
      </c>
      <c r="S22" t="s">
        <v>48</v>
      </c>
      <c r="T22">
        <v>3</v>
      </c>
      <c r="V22">
        <v>3</v>
      </c>
      <c r="W22" t="s">
        <v>126</v>
      </c>
      <c r="X22" t="s">
        <v>71</v>
      </c>
      <c r="Y22" t="s">
        <v>51</v>
      </c>
      <c r="Z22" t="s">
        <v>52</v>
      </c>
      <c r="AA22" t="s">
        <v>43</v>
      </c>
      <c r="AB22">
        <v>3</v>
      </c>
      <c r="AD22">
        <v>1</v>
      </c>
      <c r="AE22" t="s">
        <v>44</v>
      </c>
      <c r="AF22" t="s">
        <v>136</v>
      </c>
      <c r="AG22" t="s">
        <v>137</v>
      </c>
      <c r="AI22">
        <v>0</v>
      </c>
      <c r="AJ22">
        <v>45</v>
      </c>
    </row>
    <row r="23" spans="1:36" x14ac:dyDescent="0.25">
      <c r="A23" t="s">
        <v>554</v>
      </c>
      <c r="B23">
        <v>21</v>
      </c>
      <c r="C23" t="s">
        <v>38</v>
      </c>
      <c r="D23">
        <v>3</v>
      </c>
      <c r="E23">
        <v>3</v>
      </c>
      <c r="F23">
        <v>3</v>
      </c>
      <c r="G23" t="s">
        <v>39</v>
      </c>
      <c r="H23" t="s">
        <v>40</v>
      </c>
      <c r="I23" t="s">
        <v>41</v>
      </c>
      <c r="J23" t="s">
        <v>156</v>
      </c>
      <c r="K23" t="s">
        <v>53</v>
      </c>
      <c r="L23">
        <v>3</v>
      </c>
      <c r="M23">
        <v>3</v>
      </c>
      <c r="N23">
        <v>3</v>
      </c>
      <c r="O23" t="s">
        <v>112</v>
      </c>
      <c r="P23" t="s">
        <v>83</v>
      </c>
      <c r="Q23" t="s">
        <v>105</v>
      </c>
      <c r="R23" t="s">
        <v>115</v>
      </c>
      <c r="S23" t="s">
        <v>48</v>
      </c>
      <c r="T23">
        <v>3</v>
      </c>
      <c r="V23">
        <v>3</v>
      </c>
      <c r="W23" t="s">
        <v>126</v>
      </c>
      <c r="X23" t="s">
        <v>71</v>
      </c>
      <c r="Y23" t="s">
        <v>51</v>
      </c>
      <c r="Z23" t="s">
        <v>52</v>
      </c>
      <c r="AA23" t="s">
        <v>43</v>
      </c>
      <c r="AB23">
        <v>3</v>
      </c>
      <c r="AD23">
        <v>1</v>
      </c>
      <c r="AE23" t="s">
        <v>44</v>
      </c>
      <c r="AF23" t="s">
        <v>136</v>
      </c>
      <c r="AG23" t="s">
        <v>75</v>
      </c>
      <c r="AH23" t="s">
        <v>138</v>
      </c>
      <c r="AI23">
        <v>0</v>
      </c>
      <c r="AJ23">
        <v>39</v>
      </c>
    </row>
    <row r="24" spans="1:36" x14ac:dyDescent="0.25">
      <c r="A24" t="s">
        <v>555</v>
      </c>
      <c r="B24">
        <v>22</v>
      </c>
      <c r="C24" t="s">
        <v>53</v>
      </c>
      <c r="D24">
        <v>3</v>
      </c>
      <c r="E24">
        <v>3</v>
      </c>
      <c r="F24">
        <v>3</v>
      </c>
      <c r="G24" t="s">
        <v>112</v>
      </c>
      <c r="H24" t="s">
        <v>83</v>
      </c>
      <c r="I24" t="s">
        <v>114</v>
      </c>
      <c r="J24" t="s">
        <v>115</v>
      </c>
      <c r="K24" t="s">
        <v>48</v>
      </c>
      <c r="L24">
        <v>1</v>
      </c>
      <c r="N24">
        <v>3</v>
      </c>
      <c r="O24" t="s">
        <v>126</v>
      </c>
      <c r="P24" t="s">
        <v>71</v>
      </c>
      <c r="Q24" t="s">
        <v>51</v>
      </c>
      <c r="R24" t="s">
        <v>128</v>
      </c>
      <c r="S24" t="s">
        <v>45</v>
      </c>
      <c r="T24">
        <v>3</v>
      </c>
      <c r="V24">
        <v>3</v>
      </c>
      <c r="W24" t="s">
        <v>86</v>
      </c>
      <c r="X24" t="s">
        <v>141</v>
      </c>
      <c r="Y24" t="s">
        <v>142</v>
      </c>
      <c r="Z24" t="s">
        <v>94</v>
      </c>
      <c r="AA24" t="s">
        <v>63</v>
      </c>
      <c r="AB24">
        <v>3</v>
      </c>
      <c r="AD24">
        <v>3</v>
      </c>
      <c r="AE24" t="s">
        <v>72</v>
      </c>
      <c r="AF24" t="s">
        <v>95</v>
      </c>
      <c r="AG24" t="s">
        <v>104</v>
      </c>
      <c r="AH24" t="s">
        <v>151</v>
      </c>
      <c r="AI24">
        <v>0</v>
      </c>
      <c r="AJ24">
        <v>46</v>
      </c>
    </row>
    <row r="25" spans="1:36" x14ac:dyDescent="0.25">
      <c r="A25" t="s">
        <v>556</v>
      </c>
      <c r="B25">
        <v>23</v>
      </c>
      <c r="C25" t="s">
        <v>38</v>
      </c>
      <c r="D25">
        <v>3</v>
      </c>
      <c r="E25">
        <v>3</v>
      </c>
      <c r="F25">
        <v>3</v>
      </c>
      <c r="G25" t="s">
        <v>39</v>
      </c>
      <c r="H25" t="s">
        <v>40</v>
      </c>
      <c r="I25" t="s">
        <v>153</v>
      </c>
      <c r="J25" t="s">
        <v>156</v>
      </c>
      <c r="K25" t="s">
        <v>53</v>
      </c>
      <c r="L25">
        <v>3</v>
      </c>
      <c r="M25">
        <v>3</v>
      </c>
      <c r="N25">
        <v>3</v>
      </c>
      <c r="O25" t="s">
        <v>112</v>
      </c>
      <c r="P25" t="s">
        <v>83</v>
      </c>
      <c r="Q25" t="s">
        <v>105</v>
      </c>
      <c r="R25" t="s">
        <v>115</v>
      </c>
      <c r="S25" t="s">
        <v>48</v>
      </c>
      <c r="T25">
        <v>2</v>
      </c>
      <c r="V25">
        <v>1</v>
      </c>
      <c r="W25" t="s">
        <v>126</v>
      </c>
      <c r="X25" t="s">
        <v>71</v>
      </c>
      <c r="Y25" t="s">
        <v>51</v>
      </c>
      <c r="Z25" t="s">
        <v>52</v>
      </c>
      <c r="AA25" t="s">
        <v>45</v>
      </c>
      <c r="AB25">
        <v>3</v>
      </c>
      <c r="AD25">
        <v>3</v>
      </c>
      <c r="AE25" t="s">
        <v>47</v>
      </c>
      <c r="AF25" t="s">
        <v>141</v>
      </c>
      <c r="AG25" t="s">
        <v>102</v>
      </c>
      <c r="AH25" t="s">
        <v>143</v>
      </c>
      <c r="AI25">
        <v>0</v>
      </c>
      <c r="AJ25">
        <v>55</v>
      </c>
    </row>
    <row r="26" spans="1:36" x14ac:dyDescent="0.25">
      <c r="A26" t="s">
        <v>557</v>
      </c>
      <c r="B26">
        <v>24</v>
      </c>
      <c r="C26" t="s">
        <v>48</v>
      </c>
      <c r="D26">
        <v>3</v>
      </c>
      <c r="F26">
        <v>3</v>
      </c>
      <c r="G26" t="s">
        <v>126</v>
      </c>
      <c r="H26" t="s">
        <v>71</v>
      </c>
      <c r="I26" t="s">
        <v>51</v>
      </c>
      <c r="J26" t="s">
        <v>52</v>
      </c>
      <c r="K26" t="s">
        <v>53</v>
      </c>
      <c r="L26">
        <v>3</v>
      </c>
      <c r="M26">
        <v>3</v>
      </c>
      <c r="N26">
        <v>3</v>
      </c>
      <c r="O26" t="s">
        <v>112</v>
      </c>
      <c r="P26" t="s">
        <v>83</v>
      </c>
      <c r="Q26" t="s">
        <v>105</v>
      </c>
      <c r="R26" t="s">
        <v>98</v>
      </c>
      <c r="S26" t="s">
        <v>63</v>
      </c>
      <c r="T26">
        <v>2</v>
      </c>
      <c r="V26">
        <v>1</v>
      </c>
      <c r="W26" t="s">
        <v>72</v>
      </c>
      <c r="X26" t="s">
        <v>95</v>
      </c>
      <c r="Y26" t="s">
        <v>104</v>
      </c>
      <c r="Z26" t="s">
        <v>151</v>
      </c>
      <c r="AA26" t="s">
        <v>38</v>
      </c>
      <c r="AB26">
        <v>3</v>
      </c>
      <c r="AC26">
        <v>3</v>
      </c>
      <c r="AD26">
        <v>3</v>
      </c>
      <c r="AE26" t="s">
        <v>39</v>
      </c>
      <c r="AF26" t="s">
        <v>40</v>
      </c>
      <c r="AG26" t="s">
        <v>154</v>
      </c>
      <c r="AH26" t="s">
        <v>156</v>
      </c>
      <c r="AI26">
        <v>0</v>
      </c>
      <c r="AJ26">
        <v>46</v>
      </c>
    </row>
    <row r="27" spans="1:36" x14ac:dyDescent="0.25">
      <c r="A27" t="s">
        <v>558</v>
      </c>
      <c r="B27">
        <v>25</v>
      </c>
      <c r="C27" t="s">
        <v>33</v>
      </c>
      <c r="D27">
        <v>3</v>
      </c>
      <c r="F27">
        <v>3</v>
      </c>
      <c r="G27" t="s">
        <v>34</v>
      </c>
      <c r="H27" t="s">
        <v>130</v>
      </c>
      <c r="I27" t="s">
        <v>131</v>
      </c>
      <c r="J27" t="s">
        <v>133</v>
      </c>
      <c r="K27" t="s">
        <v>53</v>
      </c>
      <c r="L27">
        <v>1</v>
      </c>
      <c r="M27">
        <v>3</v>
      </c>
      <c r="N27">
        <v>3</v>
      </c>
      <c r="O27" t="s">
        <v>112</v>
      </c>
      <c r="P27" t="s">
        <v>83</v>
      </c>
      <c r="Q27" t="s">
        <v>97</v>
      </c>
      <c r="R27" t="s">
        <v>98</v>
      </c>
      <c r="S27" t="s">
        <v>43</v>
      </c>
      <c r="T27">
        <v>2</v>
      </c>
      <c r="V27">
        <v>3</v>
      </c>
      <c r="W27" t="s">
        <v>44</v>
      </c>
      <c r="X27" t="s">
        <v>136</v>
      </c>
      <c r="Y27" t="s">
        <v>75</v>
      </c>
      <c r="AA27" t="s">
        <v>45</v>
      </c>
      <c r="AB27">
        <v>3</v>
      </c>
      <c r="AD27">
        <v>3</v>
      </c>
      <c r="AE27" t="s">
        <v>47</v>
      </c>
      <c r="AF27" t="s">
        <v>76</v>
      </c>
      <c r="AG27" t="s">
        <v>142</v>
      </c>
      <c r="AH27" t="s">
        <v>144</v>
      </c>
      <c r="AI27">
        <v>0</v>
      </c>
      <c r="AJ27">
        <v>32</v>
      </c>
    </row>
    <row r="28" spans="1:36" x14ac:dyDescent="0.25">
      <c r="A28" t="s">
        <v>559</v>
      </c>
      <c r="B28">
        <v>26</v>
      </c>
      <c r="C28" t="s">
        <v>63</v>
      </c>
      <c r="D28">
        <v>3</v>
      </c>
      <c r="F28">
        <v>3</v>
      </c>
      <c r="G28" t="s">
        <v>103</v>
      </c>
      <c r="H28" t="s">
        <v>95</v>
      </c>
      <c r="I28" t="s">
        <v>104</v>
      </c>
      <c r="J28" t="s">
        <v>150</v>
      </c>
      <c r="K28" t="s">
        <v>53</v>
      </c>
      <c r="L28">
        <v>3</v>
      </c>
      <c r="M28">
        <v>2</v>
      </c>
      <c r="N28">
        <v>3</v>
      </c>
      <c r="O28" t="s">
        <v>112</v>
      </c>
      <c r="P28" t="s">
        <v>83</v>
      </c>
      <c r="Q28" t="s">
        <v>114</v>
      </c>
      <c r="S28" t="s">
        <v>33</v>
      </c>
      <c r="T28">
        <v>2</v>
      </c>
      <c r="V28">
        <v>3</v>
      </c>
      <c r="W28" t="s">
        <v>34</v>
      </c>
      <c r="X28" t="s">
        <v>130</v>
      </c>
      <c r="Y28" t="s">
        <v>131</v>
      </c>
      <c r="AA28" t="s">
        <v>43</v>
      </c>
      <c r="AB28">
        <v>2</v>
      </c>
      <c r="AD28">
        <v>3</v>
      </c>
      <c r="AE28" t="s">
        <v>44</v>
      </c>
      <c r="AF28" t="s">
        <v>136</v>
      </c>
      <c r="AG28" t="s">
        <v>137</v>
      </c>
      <c r="AH28" t="s">
        <v>138</v>
      </c>
      <c r="AI28">
        <v>0</v>
      </c>
      <c r="AJ28">
        <v>29</v>
      </c>
    </row>
    <row r="29" spans="1:36" x14ac:dyDescent="0.25">
      <c r="A29" t="s">
        <v>560</v>
      </c>
      <c r="B29">
        <v>27</v>
      </c>
      <c r="C29" t="s">
        <v>43</v>
      </c>
      <c r="D29">
        <v>3</v>
      </c>
      <c r="F29">
        <v>3</v>
      </c>
      <c r="G29" t="s">
        <v>44</v>
      </c>
      <c r="H29" t="s">
        <v>136</v>
      </c>
      <c r="I29" t="s">
        <v>75</v>
      </c>
      <c r="J29" t="s">
        <v>138</v>
      </c>
      <c r="K29" t="s">
        <v>53</v>
      </c>
      <c r="L29">
        <v>1</v>
      </c>
      <c r="M29">
        <v>3</v>
      </c>
      <c r="N29">
        <v>3</v>
      </c>
      <c r="O29" t="s">
        <v>112</v>
      </c>
      <c r="P29" t="s">
        <v>55</v>
      </c>
      <c r="Q29" t="s">
        <v>97</v>
      </c>
      <c r="R29" t="s">
        <v>98</v>
      </c>
      <c r="S29" t="s">
        <v>33</v>
      </c>
      <c r="T29">
        <v>3</v>
      </c>
      <c r="V29">
        <v>3</v>
      </c>
      <c r="W29" t="s">
        <v>65</v>
      </c>
      <c r="X29" t="s">
        <v>130</v>
      </c>
      <c r="Y29" t="s">
        <v>131</v>
      </c>
      <c r="Z29" t="s">
        <v>133</v>
      </c>
      <c r="AA29" t="s">
        <v>38</v>
      </c>
      <c r="AB29">
        <v>3</v>
      </c>
      <c r="AC29">
        <v>3</v>
      </c>
      <c r="AD29">
        <v>3</v>
      </c>
      <c r="AE29" t="s">
        <v>39</v>
      </c>
      <c r="AF29" t="s">
        <v>40</v>
      </c>
      <c r="AG29" t="s">
        <v>41</v>
      </c>
      <c r="AH29" t="s">
        <v>156</v>
      </c>
      <c r="AI29">
        <v>0</v>
      </c>
      <c r="AJ29">
        <v>49</v>
      </c>
    </row>
    <row r="30" spans="1:36" x14ac:dyDescent="0.25">
      <c r="A30" t="s">
        <v>561</v>
      </c>
      <c r="B30">
        <v>28</v>
      </c>
      <c r="C30" t="s">
        <v>63</v>
      </c>
      <c r="D30">
        <v>3</v>
      </c>
      <c r="F30">
        <v>3</v>
      </c>
      <c r="G30" t="s">
        <v>72</v>
      </c>
      <c r="H30" t="s">
        <v>146</v>
      </c>
      <c r="I30" t="s">
        <v>148</v>
      </c>
      <c r="J30" t="s">
        <v>150</v>
      </c>
      <c r="K30" t="s">
        <v>53</v>
      </c>
      <c r="L30">
        <v>2</v>
      </c>
      <c r="M30">
        <v>2</v>
      </c>
      <c r="N30">
        <v>3</v>
      </c>
      <c r="O30" t="s">
        <v>112</v>
      </c>
      <c r="P30" t="s">
        <v>83</v>
      </c>
      <c r="Q30" t="s">
        <v>97</v>
      </c>
      <c r="R30" t="s">
        <v>98</v>
      </c>
      <c r="S30" t="s">
        <v>33</v>
      </c>
      <c r="T30">
        <v>3</v>
      </c>
      <c r="V30">
        <v>3</v>
      </c>
      <c r="W30" t="s">
        <v>34</v>
      </c>
      <c r="X30" t="s">
        <v>130</v>
      </c>
      <c r="Y30" t="s">
        <v>131</v>
      </c>
      <c r="Z30" t="s">
        <v>37</v>
      </c>
      <c r="AA30" t="s">
        <v>45</v>
      </c>
      <c r="AB30">
        <v>3</v>
      </c>
      <c r="AD30">
        <v>3</v>
      </c>
      <c r="AE30" t="s">
        <v>86</v>
      </c>
      <c r="AF30" t="s">
        <v>141</v>
      </c>
      <c r="AG30" t="s">
        <v>142</v>
      </c>
      <c r="AH30" t="s">
        <v>143</v>
      </c>
      <c r="AI30">
        <v>0</v>
      </c>
      <c r="AJ30">
        <v>52</v>
      </c>
    </row>
    <row r="31" spans="1:36" x14ac:dyDescent="0.25">
      <c r="A31" t="s">
        <v>562</v>
      </c>
      <c r="B31">
        <v>29</v>
      </c>
      <c r="C31" t="s">
        <v>38</v>
      </c>
      <c r="D31">
        <v>3</v>
      </c>
      <c r="E31">
        <v>3</v>
      </c>
      <c r="F31">
        <v>3</v>
      </c>
      <c r="G31" t="s">
        <v>39</v>
      </c>
      <c r="H31" t="s">
        <v>40</v>
      </c>
      <c r="I31" t="s">
        <v>153</v>
      </c>
      <c r="J31" t="s">
        <v>156</v>
      </c>
      <c r="K31" t="s">
        <v>53</v>
      </c>
      <c r="L31">
        <v>1</v>
      </c>
      <c r="M31">
        <v>3</v>
      </c>
      <c r="N31">
        <v>3</v>
      </c>
      <c r="O31" t="s">
        <v>112</v>
      </c>
      <c r="P31" t="s">
        <v>55</v>
      </c>
      <c r="Q31" t="s">
        <v>97</v>
      </c>
      <c r="R31" t="s">
        <v>116</v>
      </c>
      <c r="S31" t="s">
        <v>33</v>
      </c>
      <c r="T31">
        <v>3</v>
      </c>
      <c r="V31">
        <v>3</v>
      </c>
      <c r="W31" t="s">
        <v>65</v>
      </c>
      <c r="X31" t="s">
        <v>130</v>
      </c>
      <c r="Y31" t="s">
        <v>131</v>
      </c>
      <c r="Z31" t="s">
        <v>133</v>
      </c>
      <c r="AA31" t="s">
        <v>45</v>
      </c>
      <c r="AB31">
        <v>3</v>
      </c>
      <c r="AD31">
        <v>3</v>
      </c>
      <c r="AE31" t="s">
        <v>86</v>
      </c>
      <c r="AF31" t="s">
        <v>141</v>
      </c>
      <c r="AG31" t="s">
        <v>142</v>
      </c>
      <c r="AH31" t="s">
        <v>144</v>
      </c>
      <c r="AI31">
        <v>0</v>
      </c>
      <c r="AJ31">
        <v>49</v>
      </c>
    </row>
    <row r="32" spans="1:36" x14ac:dyDescent="0.25">
      <c r="A32" t="s">
        <v>563</v>
      </c>
      <c r="B32">
        <v>30</v>
      </c>
      <c r="C32" t="s">
        <v>63</v>
      </c>
      <c r="D32">
        <v>3</v>
      </c>
      <c r="F32">
        <v>1</v>
      </c>
      <c r="G32" t="s">
        <v>72</v>
      </c>
      <c r="H32" t="s">
        <v>95</v>
      </c>
      <c r="I32" t="s">
        <v>147</v>
      </c>
      <c r="J32" t="s">
        <v>151</v>
      </c>
      <c r="K32" t="s">
        <v>53</v>
      </c>
      <c r="L32">
        <v>3</v>
      </c>
      <c r="M32">
        <v>2</v>
      </c>
      <c r="N32">
        <v>2</v>
      </c>
      <c r="O32" t="s">
        <v>112</v>
      </c>
      <c r="P32" t="s">
        <v>83</v>
      </c>
      <c r="Q32" t="s">
        <v>97</v>
      </c>
      <c r="R32" t="s">
        <v>98</v>
      </c>
      <c r="S32" t="s">
        <v>33</v>
      </c>
      <c r="T32">
        <v>3</v>
      </c>
      <c r="V32">
        <v>3</v>
      </c>
      <c r="W32" t="s">
        <v>34</v>
      </c>
      <c r="X32" t="s">
        <v>130</v>
      </c>
      <c r="Y32" t="s">
        <v>132</v>
      </c>
      <c r="Z32" t="s">
        <v>133</v>
      </c>
      <c r="AA32" t="s">
        <v>38</v>
      </c>
      <c r="AB32">
        <v>1</v>
      </c>
      <c r="AC32">
        <v>1</v>
      </c>
      <c r="AD32">
        <v>2</v>
      </c>
      <c r="AE32" t="s">
        <v>39</v>
      </c>
      <c r="AF32" t="s">
        <v>40</v>
      </c>
      <c r="AG32" t="s">
        <v>41</v>
      </c>
      <c r="AI32">
        <v>0</v>
      </c>
      <c r="AJ32">
        <v>29</v>
      </c>
    </row>
    <row r="33" spans="1:36" x14ac:dyDescent="0.25">
      <c r="A33" t="s">
        <v>564</v>
      </c>
      <c r="B33">
        <v>31</v>
      </c>
      <c r="C33" t="s">
        <v>53</v>
      </c>
      <c r="D33">
        <v>2</v>
      </c>
      <c r="E33">
        <v>2</v>
      </c>
      <c r="F33">
        <v>3</v>
      </c>
      <c r="G33" t="s">
        <v>112</v>
      </c>
      <c r="H33" t="s">
        <v>55</v>
      </c>
      <c r="I33" t="s">
        <v>105</v>
      </c>
      <c r="J33" t="s">
        <v>115</v>
      </c>
      <c r="K33" t="s">
        <v>43</v>
      </c>
      <c r="L33">
        <v>1</v>
      </c>
      <c r="N33">
        <v>1</v>
      </c>
      <c r="O33" t="s">
        <v>44</v>
      </c>
      <c r="P33" t="s">
        <v>136</v>
      </c>
      <c r="Q33" t="s">
        <v>75</v>
      </c>
      <c r="R33" t="s">
        <v>138</v>
      </c>
      <c r="S33" t="s">
        <v>45</v>
      </c>
      <c r="T33">
        <v>2</v>
      </c>
      <c r="V33">
        <v>2</v>
      </c>
      <c r="W33" t="s">
        <v>86</v>
      </c>
      <c r="X33" t="s">
        <v>141</v>
      </c>
      <c r="Y33" t="s">
        <v>142</v>
      </c>
      <c r="Z33" t="s">
        <v>94</v>
      </c>
      <c r="AA33" t="s">
        <v>63</v>
      </c>
      <c r="AB33">
        <v>3</v>
      </c>
      <c r="AD33">
        <v>2</v>
      </c>
      <c r="AE33" t="s">
        <v>103</v>
      </c>
      <c r="AF33" t="s">
        <v>95</v>
      </c>
      <c r="AG33" t="s">
        <v>147</v>
      </c>
      <c r="AH33" t="s">
        <v>150</v>
      </c>
      <c r="AI33">
        <v>0</v>
      </c>
      <c r="AJ33">
        <v>27</v>
      </c>
    </row>
    <row r="34" spans="1:36" x14ac:dyDescent="0.25">
      <c r="A34" t="s">
        <v>565</v>
      </c>
      <c r="B34">
        <v>32</v>
      </c>
      <c r="C34" t="s">
        <v>38</v>
      </c>
      <c r="D34">
        <v>3</v>
      </c>
      <c r="E34">
        <v>3</v>
      </c>
      <c r="F34">
        <v>3</v>
      </c>
      <c r="G34" t="s">
        <v>39</v>
      </c>
      <c r="H34" t="s">
        <v>40</v>
      </c>
      <c r="I34" t="s">
        <v>154</v>
      </c>
      <c r="J34" t="s">
        <v>156</v>
      </c>
      <c r="K34" t="s">
        <v>53</v>
      </c>
      <c r="L34">
        <v>2</v>
      </c>
      <c r="M34">
        <v>3</v>
      </c>
      <c r="N34">
        <v>3</v>
      </c>
      <c r="O34" t="s">
        <v>112</v>
      </c>
      <c r="P34" t="s">
        <v>83</v>
      </c>
      <c r="Q34" t="s">
        <v>105</v>
      </c>
      <c r="R34" t="s">
        <v>98</v>
      </c>
      <c r="S34" t="s">
        <v>43</v>
      </c>
      <c r="T34">
        <v>3</v>
      </c>
      <c r="V34">
        <v>3</v>
      </c>
      <c r="W34" t="s">
        <v>44</v>
      </c>
      <c r="X34" t="s">
        <v>136</v>
      </c>
      <c r="Y34" t="s">
        <v>75</v>
      </c>
      <c r="Z34" t="s">
        <v>138</v>
      </c>
      <c r="AA34" t="s">
        <v>45</v>
      </c>
      <c r="AB34">
        <v>3</v>
      </c>
      <c r="AD34">
        <v>3</v>
      </c>
      <c r="AE34" t="s">
        <v>86</v>
      </c>
      <c r="AF34" t="s">
        <v>76</v>
      </c>
      <c r="AG34" t="s">
        <v>142</v>
      </c>
      <c r="AH34" t="s">
        <v>94</v>
      </c>
      <c r="AI34">
        <v>0</v>
      </c>
      <c r="AJ34">
        <v>43</v>
      </c>
    </row>
    <row r="35" spans="1:36" x14ac:dyDescent="0.25">
      <c r="A35" t="s">
        <v>566</v>
      </c>
      <c r="B35">
        <v>33</v>
      </c>
      <c r="C35" t="s">
        <v>63</v>
      </c>
      <c r="D35">
        <v>3</v>
      </c>
      <c r="F35">
        <v>3</v>
      </c>
      <c r="G35" t="s">
        <v>103</v>
      </c>
      <c r="H35" t="s">
        <v>95</v>
      </c>
      <c r="I35" t="s">
        <v>147</v>
      </c>
      <c r="J35" t="s">
        <v>150</v>
      </c>
      <c r="K35" t="s">
        <v>53</v>
      </c>
      <c r="L35">
        <v>3</v>
      </c>
      <c r="M35">
        <v>3</v>
      </c>
      <c r="N35">
        <v>3</v>
      </c>
      <c r="O35" t="s">
        <v>112</v>
      </c>
      <c r="P35" t="s">
        <v>83</v>
      </c>
      <c r="Q35" t="s">
        <v>105</v>
      </c>
      <c r="R35" t="s">
        <v>98</v>
      </c>
      <c r="S35" t="s">
        <v>43</v>
      </c>
      <c r="T35">
        <v>2</v>
      </c>
      <c r="V35">
        <v>3</v>
      </c>
      <c r="W35" t="s">
        <v>44</v>
      </c>
      <c r="X35" t="s">
        <v>136</v>
      </c>
      <c r="Y35" t="s">
        <v>75</v>
      </c>
      <c r="Z35" t="s">
        <v>138</v>
      </c>
      <c r="AA35" t="s">
        <v>38</v>
      </c>
      <c r="AB35">
        <v>3</v>
      </c>
      <c r="AC35">
        <v>3</v>
      </c>
      <c r="AD35">
        <v>3</v>
      </c>
      <c r="AE35" t="s">
        <v>39</v>
      </c>
      <c r="AF35" t="s">
        <v>40</v>
      </c>
      <c r="AG35" t="s">
        <v>41</v>
      </c>
      <c r="AH35" t="s">
        <v>156</v>
      </c>
      <c r="AI35">
        <v>0</v>
      </c>
      <c r="AJ35">
        <v>39</v>
      </c>
    </row>
    <row r="36" spans="1:36" x14ac:dyDescent="0.25">
      <c r="A36" t="s">
        <v>567</v>
      </c>
      <c r="B36">
        <v>34</v>
      </c>
      <c r="C36" t="s">
        <v>63</v>
      </c>
      <c r="D36">
        <v>3</v>
      </c>
      <c r="F36">
        <v>3</v>
      </c>
      <c r="G36" t="s">
        <v>103</v>
      </c>
      <c r="H36" t="s">
        <v>95</v>
      </c>
      <c r="I36" t="s">
        <v>147</v>
      </c>
      <c r="J36" t="s">
        <v>151</v>
      </c>
      <c r="K36" t="s">
        <v>53</v>
      </c>
      <c r="L36">
        <v>3</v>
      </c>
      <c r="M36">
        <v>3</v>
      </c>
      <c r="N36">
        <v>3</v>
      </c>
      <c r="O36" t="s">
        <v>112</v>
      </c>
      <c r="P36" t="s">
        <v>83</v>
      </c>
      <c r="Q36" t="s">
        <v>114</v>
      </c>
      <c r="R36" t="s">
        <v>98</v>
      </c>
      <c r="S36" t="s">
        <v>45</v>
      </c>
      <c r="T36">
        <v>3</v>
      </c>
      <c r="V36">
        <v>3</v>
      </c>
      <c r="W36" t="s">
        <v>86</v>
      </c>
      <c r="X36" t="s">
        <v>92</v>
      </c>
      <c r="Y36" t="s">
        <v>142</v>
      </c>
      <c r="Z36" t="s">
        <v>143</v>
      </c>
      <c r="AA36" t="s">
        <v>38</v>
      </c>
      <c r="AB36">
        <v>3</v>
      </c>
      <c r="AC36">
        <v>3</v>
      </c>
      <c r="AD36">
        <v>3</v>
      </c>
      <c r="AE36" t="s">
        <v>39</v>
      </c>
      <c r="AF36" t="s">
        <v>40</v>
      </c>
      <c r="AG36" t="s">
        <v>41</v>
      </c>
      <c r="AH36" t="s">
        <v>156</v>
      </c>
      <c r="AI36">
        <v>0</v>
      </c>
      <c r="AJ36">
        <v>50</v>
      </c>
    </row>
    <row r="37" spans="1:36" x14ac:dyDescent="0.25">
      <c r="A37" t="s">
        <v>568</v>
      </c>
      <c r="B37">
        <v>35</v>
      </c>
      <c r="C37" t="s">
        <v>33</v>
      </c>
      <c r="D37">
        <v>3</v>
      </c>
      <c r="F37">
        <v>3</v>
      </c>
      <c r="G37" t="s">
        <v>34</v>
      </c>
      <c r="H37" t="s">
        <v>130</v>
      </c>
      <c r="I37" t="s">
        <v>132</v>
      </c>
      <c r="J37" t="s">
        <v>133</v>
      </c>
      <c r="K37" t="s">
        <v>56</v>
      </c>
      <c r="L37">
        <v>3</v>
      </c>
      <c r="N37">
        <v>3</v>
      </c>
      <c r="O37" t="s">
        <v>120</v>
      </c>
      <c r="P37" t="s">
        <v>69</v>
      </c>
      <c r="Q37" t="s">
        <v>87</v>
      </c>
      <c r="R37" t="s">
        <v>88</v>
      </c>
      <c r="S37" t="s">
        <v>48</v>
      </c>
      <c r="T37">
        <v>3</v>
      </c>
      <c r="V37">
        <v>3</v>
      </c>
      <c r="W37" t="s">
        <v>126</v>
      </c>
      <c r="X37" t="s">
        <v>71</v>
      </c>
      <c r="Y37" t="s">
        <v>51</v>
      </c>
      <c r="Z37" t="s">
        <v>128</v>
      </c>
      <c r="AA37" t="s">
        <v>43</v>
      </c>
      <c r="AB37">
        <v>1</v>
      </c>
      <c r="AD37">
        <v>3</v>
      </c>
      <c r="AE37" t="s">
        <v>44</v>
      </c>
      <c r="AF37" t="s">
        <v>136</v>
      </c>
      <c r="AG37" t="s">
        <v>137</v>
      </c>
      <c r="AH37" t="s">
        <v>138</v>
      </c>
      <c r="AI37">
        <v>0</v>
      </c>
      <c r="AJ37">
        <v>37</v>
      </c>
    </row>
    <row r="38" spans="1:36" x14ac:dyDescent="0.25">
      <c r="A38" t="s">
        <v>569</v>
      </c>
      <c r="B38">
        <v>36</v>
      </c>
      <c r="C38" t="s">
        <v>45</v>
      </c>
      <c r="D38">
        <v>3</v>
      </c>
      <c r="F38">
        <v>1</v>
      </c>
      <c r="G38" t="s">
        <v>86</v>
      </c>
      <c r="H38" t="s">
        <v>92</v>
      </c>
      <c r="I38" t="s">
        <v>102</v>
      </c>
      <c r="K38" t="s">
        <v>56</v>
      </c>
      <c r="L38">
        <v>2</v>
      </c>
      <c r="N38">
        <v>2</v>
      </c>
      <c r="O38" t="s">
        <v>120</v>
      </c>
      <c r="P38" t="s">
        <v>69</v>
      </c>
      <c r="Q38" t="s">
        <v>87</v>
      </c>
      <c r="S38" t="s">
        <v>48</v>
      </c>
      <c r="T38">
        <v>3</v>
      </c>
      <c r="V38">
        <v>2</v>
      </c>
      <c r="W38" t="s">
        <v>126</v>
      </c>
      <c r="AA38" t="s">
        <v>33</v>
      </c>
      <c r="AB38">
        <v>1</v>
      </c>
      <c r="AD38">
        <v>2</v>
      </c>
      <c r="AE38" t="s">
        <v>34</v>
      </c>
      <c r="AF38" t="s">
        <v>130</v>
      </c>
      <c r="AG38" t="s">
        <v>131</v>
      </c>
      <c r="AI38">
        <v>0</v>
      </c>
      <c r="AJ38">
        <v>19</v>
      </c>
    </row>
    <row r="39" spans="1:36" x14ac:dyDescent="0.25">
      <c r="A39" t="s">
        <v>570</v>
      </c>
      <c r="B39">
        <v>37</v>
      </c>
      <c r="C39" t="s">
        <v>63</v>
      </c>
      <c r="D39">
        <v>2</v>
      </c>
      <c r="F39">
        <v>3</v>
      </c>
      <c r="G39" t="s">
        <v>145</v>
      </c>
      <c r="H39" t="s">
        <v>146</v>
      </c>
      <c r="I39" t="s">
        <v>104</v>
      </c>
      <c r="J39" t="s">
        <v>149</v>
      </c>
      <c r="K39" t="s">
        <v>56</v>
      </c>
      <c r="L39">
        <v>2</v>
      </c>
      <c r="N39">
        <v>3</v>
      </c>
      <c r="O39" t="s">
        <v>57</v>
      </c>
      <c r="P39" t="s">
        <v>122</v>
      </c>
      <c r="Q39" t="s">
        <v>123</v>
      </c>
      <c r="S39" t="s">
        <v>48</v>
      </c>
      <c r="T39">
        <v>2</v>
      </c>
      <c r="V39">
        <v>1</v>
      </c>
      <c r="W39" t="s">
        <v>89</v>
      </c>
      <c r="X39" t="s">
        <v>50</v>
      </c>
      <c r="Y39" t="s">
        <v>127</v>
      </c>
      <c r="Z39" t="s">
        <v>52</v>
      </c>
      <c r="AA39" t="s">
        <v>33</v>
      </c>
      <c r="AB39">
        <v>2</v>
      </c>
      <c r="AD39">
        <v>3</v>
      </c>
      <c r="AE39" t="s">
        <v>34</v>
      </c>
      <c r="AF39" t="s">
        <v>66</v>
      </c>
      <c r="AG39" t="s">
        <v>132</v>
      </c>
      <c r="AH39" t="s">
        <v>134</v>
      </c>
      <c r="AI39">
        <v>0</v>
      </c>
      <c r="AJ39">
        <v>27</v>
      </c>
    </row>
    <row r="40" spans="1:36" x14ac:dyDescent="0.25">
      <c r="A40" t="s">
        <v>571</v>
      </c>
      <c r="B40">
        <v>38</v>
      </c>
      <c r="C40" t="s">
        <v>56</v>
      </c>
      <c r="D40">
        <v>2</v>
      </c>
      <c r="F40">
        <v>3</v>
      </c>
      <c r="G40" t="s">
        <v>120</v>
      </c>
      <c r="H40" t="s">
        <v>69</v>
      </c>
      <c r="I40" t="s">
        <v>87</v>
      </c>
      <c r="J40" t="s">
        <v>125</v>
      </c>
      <c r="K40" t="s">
        <v>48</v>
      </c>
      <c r="L40">
        <v>3</v>
      </c>
      <c r="N40">
        <v>3</v>
      </c>
      <c r="O40" t="s">
        <v>126</v>
      </c>
      <c r="P40" t="s">
        <v>71</v>
      </c>
      <c r="S40" t="s">
        <v>33</v>
      </c>
      <c r="T40">
        <v>3</v>
      </c>
      <c r="V40">
        <v>3</v>
      </c>
      <c r="W40" t="s">
        <v>65</v>
      </c>
      <c r="X40" t="s">
        <v>130</v>
      </c>
      <c r="Y40" t="s">
        <v>36</v>
      </c>
      <c r="Z40" t="s">
        <v>134</v>
      </c>
      <c r="AA40" t="s">
        <v>38</v>
      </c>
      <c r="AB40">
        <v>1</v>
      </c>
      <c r="AC40">
        <v>1</v>
      </c>
      <c r="AD40">
        <v>3</v>
      </c>
      <c r="AE40" t="s">
        <v>39</v>
      </c>
      <c r="AF40" t="s">
        <v>40</v>
      </c>
      <c r="AG40" t="s">
        <v>153</v>
      </c>
      <c r="AH40" t="s">
        <v>156</v>
      </c>
      <c r="AI40">
        <v>0</v>
      </c>
      <c r="AJ40">
        <v>28</v>
      </c>
    </row>
    <row r="41" spans="1:36" x14ac:dyDescent="0.25">
      <c r="A41" t="s">
        <v>572</v>
      </c>
      <c r="B41">
        <v>39</v>
      </c>
      <c r="C41" t="s">
        <v>48</v>
      </c>
      <c r="D41">
        <v>3</v>
      </c>
      <c r="F41">
        <v>3</v>
      </c>
      <c r="G41" t="s">
        <v>126</v>
      </c>
      <c r="H41" t="s">
        <v>71</v>
      </c>
      <c r="I41" t="s">
        <v>90</v>
      </c>
      <c r="J41" t="s">
        <v>128</v>
      </c>
      <c r="K41" t="s">
        <v>56</v>
      </c>
      <c r="L41">
        <v>3</v>
      </c>
      <c r="N41">
        <v>3</v>
      </c>
      <c r="O41" t="s">
        <v>120</v>
      </c>
      <c r="P41" t="s">
        <v>121</v>
      </c>
      <c r="Q41" t="s">
        <v>123</v>
      </c>
      <c r="R41" t="s">
        <v>124</v>
      </c>
      <c r="S41" t="s">
        <v>43</v>
      </c>
      <c r="T41">
        <v>3</v>
      </c>
      <c r="V41">
        <v>3</v>
      </c>
      <c r="W41" t="s">
        <v>44</v>
      </c>
      <c r="X41" t="s">
        <v>136</v>
      </c>
      <c r="Y41" t="s">
        <v>100</v>
      </c>
      <c r="Z41" t="s">
        <v>138</v>
      </c>
      <c r="AA41" t="s">
        <v>45</v>
      </c>
      <c r="AB41">
        <v>3</v>
      </c>
      <c r="AD41">
        <v>3</v>
      </c>
      <c r="AE41" t="s">
        <v>86</v>
      </c>
      <c r="AF41" t="s">
        <v>76</v>
      </c>
      <c r="AG41" t="s">
        <v>142</v>
      </c>
      <c r="AH41" t="s">
        <v>143</v>
      </c>
      <c r="AI41">
        <v>0</v>
      </c>
      <c r="AJ41">
        <v>44</v>
      </c>
    </row>
    <row r="42" spans="1:36" x14ac:dyDescent="0.25">
      <c r="A42" t="s">
        <v>573</v>
      </c>
      <c r="B42">
        <v>40</v>
      </c>
      <c r="C42" t="s">
        <v>63</v>
      </c>
      <c r="D42">
        <v>3</v>
      </c>
      <c r="F42">
        <v>3</v>
      </c>
      <c r="G42" t="s">
        <v>72</v>
      </c>
      <c r="H42" t="s">
        <v>146</v>
      </c>
      <c r="I42" t="s">
        <v>148</v>
      </c>
      <c r="J42" t="s">
        <v>149</v>
      </c>
      <c r="K42" t="s">
        <v>56</v>
      </c>
      <c r="L42">
        <v>3</v>
      </c>
      <c r="N42">
        <v>3</v>
      </c>
      <c r="O42" t="s">
        <v>120</v>
      </c>
      <c r="P42" t="s">
        <v>69</v>
      </c>
      <c r="Q42" t="s">
        <v>87</v>
      </c>
      <c r="R42" t="s">
        <v>88</v>
      </c>
      <c r="S42" t="s">
        <v>48</v>
      </c>
      <c r="T42">
        <v>3</v>
      </c>
      <c r="V42">
        <v>3</v>
      </c>
      <c r="W42" t="s">
        <v>126</v>
      </c>
      <c r="X42" t="s">
        <v>71</v>
      </c>
      <c r="Y42" t="s">
        <v>51</v>
      </c>
      <c r="Z42" t="s">
        <v>52</v>
      </c>
      <c r="AA42" t="s">
        <v>43</v>
      </c>
      <c r="AB42">
        <v>1</v>
      </c>
      <c r="AD42">
        <v>2</v>
      </c>
      <c r="AE42" t="s">
        <v>44</v>
      </c>
      <c r="AF42" t="s">
        <v>136</v>
      </c>
      <c r="AI42">
        <v>0</v>
      </c>
      <c r="AJ42">
        <v>50</v>
      </c>
    </row>
    <row r="43" spans="1:36" x14ac:dyDescent="0.25">
      <c r="A43" t="s">
        <v>574</v>
      </c>
      <c r="B43">
        <v>41</v>
      </c>
      <c r="C43" t="s">
        <v>56</v>
      </c>
      <c r="D43">
        <v>3</v>
      </c>
      <c r="F43">
        <v>3</v>
      </c>
      <c r="G43" t="s">
        <v>120</v>
      </c>
      <c r="H43" t="s">
        <v>121</v>
      </c>
      <c r="I43" t="s">
        <v>123</v>
      </c>
      <c r="J43" t="s">
        <v>124</v>
      </c>
      <c r="K43" t="s">
        <v>48</v>
      </c>
      <c r="L43">
        <v>3</v>
      </c>
      <c r="N43">
        <v>3</v>
      </c>
      <c r="O43" t="s">
        <v>126</v>
      </c>
      <c r="P43" t="s">
        <v>71</v>
      </c>
      <c r="Q43" t="s">
        <v>90</v>
      </c>
      <c r="R43" t="s">
        <v>128</v>
      </c>
      <c r="S43" t="s">
        <v>43</v>
      </c>
      <c r="T43">
        <v>2</v>
      </c>
      <c r="V43">
        <v>1</v>
      </c>
      <c r="W43" t="s">
        <v>44</v>
      </c>
      <c r="X43" t="s">
        <v>136</v>
      </c>
      <c r="Y43" t="s">
        <v>137</v>
      </c>
      <c r="Z43" t="s">
        <v>138</v>
      </c>
      <c r="AA43" t="s">
        <v>38</v>
      </c>
      <c r="AB43">
        <v>2</v>
      </c>
      <c r="AC43">
        <v>3</v>
      </c>
      <c r="AD43">
        <v>2</v>
      </c>
      <c r="AE43" t="s">
        <v>39</v>
      </c>
      <c r="AF43" t="s">
        <v>40</v>
      </c>
      <c r="AG43" t="s">
        <v>153</v>
      </c>
      <c r="AH43" t="s">
        <v>155</v>
      </c>
      <c r="AI43">
        <v>0</v>
      </c>
      <c r="AJ43">
        <v>33</v>
      </c>
    </row>
    <row r="44" spans="1:36" x14ac:dyDescent="0.25">
      <c r="A44" t="s">
        <v>575</v>
      </c>
      <c r="B44">
        <v>42</v>
      </c>
      <c r="C44" t="s">
        <v>63</v>
      </c>
      <c r="D44">
        <v>3</v>
      </c>
      <c r="F44">
        <v>3</v>
      </c>
      <c r="G44" t="s">
        <v>72</v>
      </c>
      <c r="H44" t="s">
        <v>146</v>
      </c>
      <c r="I44" t="s">
        <v>148</v>
      </c>
      <c r="J44" t="s">
        <v>150</v>
      </c>
      <c r="K44" t="s">
        <v>56</v>
      </c>
      <c r="L44">
        <v>3</v>
      </c>
      <c r="N44">
        <v>3</v>
      </c>
      <c r="O44" t="s">
        <v>120</v>
      </c>
      <c r="P44" t="s">
        <v>69</v>
      </c>
      <c r="Q44" t="s">
        <v>87</v>
      </c>
      <c r="R44" t="s">
        <v>88</v>
      </c>
      <c r="S44" t="s">
        <v>48</v>
      </c>
      <c r="T44">
        <v>2</v>
      </c>
      <c r="V44">
        <v>2</v>
      </c>
      <c r="W44" t="s">
        <v>126</v>
      </c>
      <c r="X44" t="s">
        <v>71</v>
      </c>
      <c r="Y44" t="s">
        <v>51</v>
      </c>
      <c r="Z44" t="s">
        <v>128</v>
      </c>
      <c r="AA44" t="s">
        <v>45</v>
      </c>
      <c r="AB44">
        <v>3</v>
      </c>
      <c r="AD44">
        <v>3</v>
      </c>
      <c r="AE44" t="s">
        <v>86</v>
      </c>
      <c r="AF44" t="s">
        <v>141</v>
      </c>
      <c r="AG44" t="s">
        <v>142</v>
      </c>
      <c r="AH44" t="s">
        <v>143</v>
      </c>
      <c r="AI44">
        <v>0</v>
      </c>
      <c r="AJ44">
        <v>35</v>
      </c>
    </row>
    <row r="45" spans="1:36" x14ac:dyDescent="0.25">
      <c r="A45" t="s">
        <v>576</v>
      </c>
      <c r="B45">
        <v>43</v>
      </c>
      <c r="C45" t="s">
        <v>48</v>
      </c>
      <c r="D45">
        <v>3</v>
      </c>
      <c r="F45">
        <v>3</v>
      </c>
      <c r="G45" t="s">
        <v>126</v>
      </c>
      <c r="H45" t="s">
        <v>71</v>
      </c>
      <c r="I45" t="s">
        <v>90</v>
      </c>
      <c r="J45" t="s">
        <v>128</v>
      </c>
      <c r="K45" t="s">
        <v>56</v>
      </c>
      <c r="L45">
        <v>3</v>
      </c>
      <c r="N45">
        <v>3</v>
      </c>
      <c r="O45" t="s">
        <v>120</v>
      </c>
      <c r="P45" t="s">
        <v>121</v>
      </c>
      <c r="Q45" t="s">
        <v>123</v>
      </c>
      <c r="R45" t="s">
        <v>124</v>
      </c>
      <c r="S45" t="s">
        <v>45</v>
      </c>
      <c r="T45">
        <v>2</v>
      </c>
      <c r="V45">
        <v>3</v>
      </c>
      <c r="W45" t="s">
        <v>86</v>
      </c>
      <c r="X45" t="s">
        <v>141</v>
      </c>
      <c r="Y45" t="s">
        <v>142</v>
      </c>
      <c r="Z45" t="s">
        <v>143</v>
      </c>
      <c r="AA45" t="s">
        <v>38</v>
      </c>
      <c r="AB45">
        <v>3</v>
      </c>
      <c r="AC45">
        <v>3</v>
      </c>
      <c r="AD45">
        <v>3</v>
      </c>
      <c r="AE45" t="s">
        <v>39</v>
      </c>
      <c r="AF45" t="s">
        <v>40</v>
      </c>
      <c r="AG45" t="s">
        <v>153</v>
      </c>
      <c r="AH45" t="s">
        <v>155</v>
      </c>
      <c r="AI45">
        <v>0</v>
      </c>
      <c r="AJ45">
        <v>48</v>
      </c>
    </row>
    <row r="46" spans="1:36" x14ac:dyDescent="0.25">
      <c r="A46" t="s">
        <v>577</v>
      </c>
      <c r="B46">
        <v>44</v>
      </c>
      <c r="C46" t="s">
        <v>38</v>
      </c>
      <c r="D46">
        <v>3</v>
      </c>
      <c r="E46">
        <v>3</v>
      </c>
      <c r="F46">
        <v>3</v>
      </c>
      <c r="G46" t="s">
        <v>39</v>
      </c>
      <c r="H46" t="s">
        <v>40</v>
      </c>
      <c r="I46" t="s">
        <v>41</v>
      </c>
      <c r="J46" t="s">
        <v>156</v>
      </c>
      <c r="K46" t="s">
        <v>56</v>
      </c>
      <c r="L46">
        <v>3</v>
      </c>
      <c r="N46">
        <v>3</v>
      </c>
      <c r="O46" t="s">
        <v>120</v>
      </c>
      <c r="P46" t="s">
        <v>69</v>
      </c>
      <c r="Q46" t="s">
        <v>87</v>
      </c>
      <c r="R46" t="s">
        <v>88</v>
      </c>
      <c r="S46" t="s">
        <v>48</v>
      </c>
      <c r="T46">
        <v>3</v>
      </c>
      <c r="V46">
        <v>3</v>
      </c>
      <c r="W46" t="s">
        <v>126</v>
      </c>
      <c r="X46" t="s">
        <v>71</v>
      </c>
      <c r="Y46" t="s">
        <v>51</v>
      </c>
      <c r="Z46" t="s">
        <v>128</v>
      </c>
      <c r="AA46" t="s">
        <v>63</v>
      </c>
      <c r="AB46">
        <v>2</v>
      </c>
      <c r="AD46">
        <v>1</v>
      </c>
      <c r="AE46" t="s">
        <v>72</v>
      </c>
      <c r="AF46" t="s">
        <v>146</v>
      </c>
      <c r="AG46" t="s">
        <v>148</v>
      </c>
      <c r="AH46" t="s">
        <v>151</v>
      </c>
      <c r="AI46">
        <v>0</v>
      </c>
      <c r="AJ46">
        <v>49</v>
      </c>
    </row>
    <row r="47" spans="1:36" x14ac:dyDescent="0.25">
      <c r="A47" t="s">
        <v>578</v>
      </c>
      <c r="B47">
        <v>45</v>
      </c>
      <c r="C47" t="s">
        <v>45</v>
      </c>
      <c r="D47">
        <v>3</v>
      </c>
      <c r="F47">
        <v>1</v>
      </c>
      <c r="G47" t="s">
        <v>86</v>
      </c>
      <c r="H47" t="s">
        <v>92</v>
      </c>
      <c r="I47" t="s">
        <v>102</v>
      </c>
      <c r="J47" t="s">
        <v>143</v>
      </c>
      <c r="K47" t="s">
        <v>56</v>
      </c>
      <c r="L47">
        <v>1</v>
      </c>
      <c r="N47">
        <v>3</v>
      </c>
      <c r="O47" t="s">
        <v>120</v>
      </c>
      <c r="P47" t="s">
        <v>69</v>
      </c>
      <c r="Q47" t="s">
        <v>87</v>
      </c>
      <c r="R47" t="s">
        <v>88</v>
      </c>
      <c r="S47" t="s">
        <v>33</v>
      </c>
      <c r="T47">
        <v>2</v>
      </c>
      <c r="V47">
        <v>1</v>
      </c>
      <c r="W47" t="s">
        <v>34</v>
      </c>
      <c r="AA47" t="s">
        <v>43</v>
      </c>
      <c r="AB47">
        <v>1</v>
      </c>
      <c r="AD47">
        <v>1</v>
      </c>
      <c r="AE47" t="s">
        <v>44</v>
      </c>
      <c r="AF47" t="s">
        <v>136</v>
      </c>
      <c r="AG47" t="s">
        <v>100</v>
      </c>
      <c r="AH47" t="s">
        <v>138</v>
      </c>
      <c r="AI47">
        <v>0</v>
      </c>
      <c r="AJ47">
        <v>19</v>
      </c>
    </row>
    <row r="48" spans="1:36" x14ac:dyDescent="0.25">
      <c r="A48" t="s">
        <v>579</v>
      </c>
      <c r="B48">
        <v>46</v>
      </c>
      <c r="C48" t="s">
        <v>63</v>
      </c>
      <c r="D48">
        <v>3</v>
      </c>
      <c r="F48">
        <v>3</v>
      </c>
      <c r="G48" t="s">
        <v>72</v>
      </c>
      <c r="H48" t="s">
        <v>146</v>
      </c>
      <c r="I48" t="s">
        <v>148</v>
      </c>
      <c r="J48" t="s">
        <v>151</v>
      </c>
      <c r="K48" t="s">
        <v>56</v>
      </c>
      <c r="L48">
        <v>3</v>
      </c>
      <c r="N48">
        <v>3</v>
      </c>
      <c r="O48" t="s">
        <v>120</v>
      </c>
      <c r="P48" t="s">
        <v>69</v>
      </c>
      <c r="Q48" t="s">
        <v>123</v>
      </c>
      <c r="R48" t="s">
        <v>88</v>
      </c>
      <c r="S48" t="s">
        <v>33</v>
      </c>
      <c r="T48">
        <v>1</v>
      </c>
      <c r="V48">
        <v>2</v>
      </c>
      <c r="W48" t="s">
        <v>34</v>
      </c>
      <c r="AA48" t="s">
        <v>43</v>
      </c>
      <c r="AB48">
        <v>1</v>
      </c>
      <c r="AD48">
        <v>1</v>
      </c>
      <c r="AE48" t="s">
        <v>44</v>
      </c>
      <c r="AF48" t="s">
        <v>136</v>
      </c>
      <c r="AG48" t="s">
        <v>75</v>
      </c>
      <c r="AH48" t="s">
        <v>139</v>
      </c>
      <c r="AI48">
        <v>0</v>
      </c>
      <c r="AJ48">
        <v>30</v>
      </c>
    </row>
    <row r="49" spans="1:36" x14ac:dyDescent="0.25">
      <c r="A49" t="s">
        <v>580</v>
      </c>
      <c r="B49">
        <v>47</v>
      </c>
      <c r="C49" t="s">
        <v>43</v>
      </c>
      <c r="D49">
        <v>3</v>
      </c>
      <c r="F49">
        <v>3</v>
      </c>
      <c r="G49" t="s">
        <v>44</v>
      </c>
      <c r="H49" t="s">
        <v>136</v>
      </c>
      <c r="I49" t="s">
        <v>137</v>
      </c>
      <c r="J49" t="s">
        <v>138</v>
      </c>
      <c r="K49" t="s">
        <v>56</v>
      </c>
      <c r="L49">
        <v>3</v>
      </c>
      <c r="N49">
        <v>3</v>
      </c>
      <c r="O49" t="s">
        <v>120</v>
      </c>
      <c r="P49" t="s">
        <v>69</v>
      </c>
      <c r="Q49" t="s">
        <v>87</v>
      </c>
      <c r="R49" t="s">
        <v>125</v>
      </c>
      <c r="S49" t="s">
        <v>33</v>
      </c>
      <c r="T49">
        <v>1</v>
      </c>
      <c r="V49">
        <v>2</v>
      </c>
      <c r="W49" t="s">
        <v>46</v>
      </c>
      <c r="AA49" t="s">
        <v>38</v>
      </c>
      <c r="AB49">
        <v>2</v>
      </c>
      <c r="AC49">
        <v>3</v>
      </c>
      <c r="AD49">
        <v>2</v>
      </c>
      <c r="AE49" t="s">
        <v>39</v>
      </c>
      <c r="AF49" t="s">
        <v>40</v>
      </c>
      <c r="AG49" t="s">
        <v>154</v>
      </c>
      <c r="AH49" t="s">
        <v>156</v>
      </c>
      <c r="AI49">
        <v>0</v>
      </c>
      <c r="AJ49">
        <v>29</v>
      </c>
    </row>
    <row r="50" spans="1:36" x14ac:dyDescent="0.25">
      <c r="A50" t="s">
        <v>581</v>
      </c>
      <c r="B50">
        <v>48</v>
      </c>
      <c r="C50" t="s">
        <v>56</v>
      </c>
      <c r="D50">
        <v>3</v>
      </c>
      <c r="F50">
        <v>3</v>
      </c>
      <c r="G50" t="s">
        <v>57</v>
      </c>
      <c r="H50" t="s">
        <v>69</v>
      </c>
      <c r="I50" t="s">
        <v>87</v>
      </c>
      <c r="J50" t="s">
        <v>125</v>
      </c>
      <c r="K50" t="s">
        <v>33</v>
      </c>
      <c r="L50">
        <v>2</v>
      </c>
      <c r="N50">
        <v>2</v>
      </c>
      <c r="O50" t="s">
        <v>34</v>
      </c>
      <c r="P50" t="s">
        <v>66</v>
      </c>
      <c r="Q50" t="s">
        <v>131</v>
      </c>
      <c r="R50" t="s">
        <v>133</v>
      </c>
      <c r="S50" t="s">
        <v>45</v>
      </c>
      <c r="T50">
        <v>3</v>
      </c>
      <c r="V50">
        <v>3</v>
      </c>
      <c r="W50" t="s">
        <v>86</v>
      </c>
      <c r="X50" t="s">
        <v>141</v>
      </c>
      <c r="Y50" t="s">
        <v>142</v>
      </c>
      <c r="Z50" t="s">
        <v>144</v>
      </c>
      <c r="AA50" t="s">
        <v>63</v>
      </c>
      <c r="AB50">
        <v>1</v>
      </c>
      <c r="AD50">
        <v>3</v>
      </c>
      <c r="AE50" t="s">
        <v>145</v>
      </c>
      <c r="AF50" t="s">
        <v>146</v>
      </c>
      <c r="AG50" t="s">
        <v>104</v>
      </c>
      <c r="AI50">
        <v>0</v>
      </c>
      <c r="AJ50">
        <v>29</v>
      </c>
    </row>
    <row r="51" spans="1:36" x14ac:dyDescent="0.25">
      <c r="A51" t="s">
        <v>582</v>
      </c>
      <c r="B51">
        <v>49</v>
      </c>
      <c r="C51" t="s">
        <v>38</v>
      </c>
      <c r="D51">
        <v>3</v>
      </c>
      <c r="E51">
        <v>3</v>
      </c>
      <c r="F51">
        <v>3</v>
      </c>
      <c r="G51" t="s">
        <v>39</v>
      </c>
      <c r="H51" t="s">
        <v>96</v>
      </c>
      <c r="I51" t="s">
        <v>41</v>
      </c>
      <c r="J51" t="s">
        <v>156</v>
      </c>
      <c r="K51" t="s">
        <v>56</v>
      </c>
      <c r="L51">
        <v>3</v>
      </c>
      <c r="N51">
        <v>3</v>
      </c>
      <c r="O51" t="s">
        <v>57</v>
      </c>
      <c r="P51" t="s">
        <v>69</v>
      </c>
      <c r="Q51" t="s">
        <v>85</v>
      </c>
      <c r="R51" t="s">
        <v>125</v>
      </c>
      <c r="S51" t="s">
        <v>33</v>
      </c>
      <c r="T51">
        <v>1</v>
      </c>
      <c r="V51">
        <v>2</v>
      </c>
      <c r="W51" t="s">
        <v>34</v>
      </c>
      <c r="AA51" t="s">
        <v>45</v>
      </c>
      <c r="AB51">
        <v>3</v>
      </c>
      <c r="AD51">
        <v>3</v>
      </c>
      <c r="AE51" t="s">
        <v>86</v>
      </c>
      <c r="AF51" t="s">
        <v>76</v>
      </c>
      <c r="AG51" t="s">
        <v>102</v>
      </c>
      <c r="AH51" t="s">
        <v>144</v>
      </c>
      <c r="AI51">
        <v>0</v>
      </c>
      <c r="AJ51">
        <v>37</v>
      </c>
    </row>
    <row r="52" spans="1:36" x14ac:dyDescent="0.25">
      <c r="A52" t="s">
        <v>583</v>
      </c>
      <c r="B52">
        <v>50</v>
      </c>
      <c r="C52" t="s">
        <v>63</v>
      </c>
      <c r="D52">
        <v>3</v>
      </c>
      <c r="F52">
        <v>2</v>
      </c>
      <c r="G52" t="s">
        <v>72</v>
      </c>
      <c r="H52" t="s">
        <v>146</v>
      </c>
      <c r="I52" t="s">
        <v>104</v>
      </c>
      <c r="J52" t="s">
        <v>150</v>
      </c>
      <c r="K52" t="s">
        <v>56</v>
      </c>
      <c r="L52">
        <v>3</v>
      </c>
      <c r="N52">
        <v>2</v>
      </c>
      <c r="O52" t="s">
        <v>57</v>
      </c>
      <c r="P52" t="s">
        <v>69</v>
      </c>
      <c r="Q52" t="s">
        <v>87</v>
      </c>
      <c r="R52" t="s">
        <v>125</v>
      </c>
      <c r="S52" t="s">
        <v>33</v>
      </c>
      <c r="T52">
        <v>2</v>
      </c>
      <c r="V52">
        <v>3</v>
      </c>
      <c r="W52" t="s">
        <v>34</v>
      </c>
      <c r="X52" t="s">
        <v>66</v>
      </c>
      <c r="Y52" t="s">
        <v>131</v>
      </c>
      <c r="AA52" t="s">
        <v>38</v>
      </c>
      <c r="AB52">
        <v>1</v>
      </c>
      <c r="AC52">
        <v>1</v>
      </c>
      <c r="AD52">
        <v>3</v>
      </c>
      <c r="AE52" t="s">
        <v>39</v>
      </c>
      <c r="AF52" t="s">
        <v>40</v>
      </c>
      <c r="AG52" t="s">
        <v>153</v>
      </c>
      <c r="AI52">
        <v>0</v>
      </c>
      <c r="AJ52">
        <v>27</v>
      </c>
    </row>
    <row r="53" spans="1:36" x14ac:dyDescent="0.25">
      <c r="A53" t="s">
        <v>584</v>
      </c>
      <c r="B53">
        <v>51</v>
      </c>
      <c r="C53" t="s">
        <v>45</v>
      </c>
      <c r="D53">
        <v>3</v>
      </c>
      <c r="F53">
        <v>3</v>
      </c>
      <c r="G53" t="s">
        <v>86</v>
      </c>
      <c r="H53" t="s">
        <v>92</v>
      </c>
      <c r="I53" t="s">
        <v>142</v>
      </c>
      <c r="J53" t="s">
        <v>143</v>
      </c>
      <c r="K53" t="s">
        <v>56</v>
      </c>
      <c r="L53">
        <v>3</v>
      </c>
      <c r="N53">
        <v>3</v>
      </c>
      <c r="O53" t="s">
        <v>57</v>
      </c>
      <c r="P53" t="s">
        <v>69</v>
      </c>
      <c r="Q53" t="s">
        <v>123</v>
      </c>
      <c r="R53" t="s">
        <v>124</v>
      </c>
      <c r="S53" t="s">
        <v>43</v>
      </c>
      <c r="T53">
        <v>1</v>
      </c>
      <c r="V53">
        <v>3</v>
      </c>
      <c r="W53" t="s">
        <v>44</v>
      </c>
      <c r="X53" t="s">
        <v>136</v>
      </c>
      <c r="Y53" t="s">
        <v>137</v>
      </c>
      <c r="AA53" t="s">
        <v>63</v>
      </c>
      <c r="AB53">
        <v>3</v>
      </c>
      <c r="AD53">
        <v>3</v>
      </c>
      <c r="AE53" t="s">
        <v>103</v>
      </c>
      <c r="AF53" t="s">
        <v>146</v>
      </c>
      <c r="AG53" t="s">
        <v>104</v>
      </c>
      <c r="AH53" t="s">
        <v>150</v>
      </c>
      <c r="AI53">
        <v>0</v>
      </c>
      <c r="AJ53">
        <v>37</v>
      </c>
    </row>
    <row r="54" spans="1:36" x14ac:dyDescent="0.25">
      <c r="A54" t="s">
        <v>585</v>
      </c>
      <c r="B54">
        <v>52</v>
      </c>
      <c r="C54" t="s">
        <v>56</v>
      </c>
      <c r="D54">
        <v>3</v>
      </c>
      <c r="F54">
        <v>3</v>
      </c>
      <c r="G54" t="s">
        <v>120</v>
      </c>
      <c r="H54" t="s">
        <v>69</v>
      </c>
      <c r="I54" t="s">
        <v>87</v>
      </c>
      <c r="J54" t="s">
        <v>125</v>
      </c>
      <c r="K54" t="s">
        <v>43</v>
      </c>
      <c r="L54">
        <v>1</v>
      </c>
      <c r="N54">
        <v>1</v>
      </c>
      <c r="O54" t="s">
        <v>44</v>
      </c>
      <c r="P54" t="s">
        <v>136</v>
      </c>
      <c r="Q54" t="s">
        <v>137</v>
      </c>
      <c r="S54" t="s">
        <v>45</v>
      </c>
      <c r="T54">
        <v>3</v>
      </c>
      <c r="V54">
        <v>3</v>
      </c>
      <c r="W54" t="s">
        <v>86</v>
      </c>
      <c r="X54" t="s">
        <v>76</v>
      </c>
      <c r="Y54" t="s">
        <v>142</v>
      </c>
      <c r="Z54" t="s">
        <v>144</v>
      </c>
      <c r="AA54" t="s">
        <v>38</v>
      </c>
      <c r="AB54">
        <v>2</v>
      </c>
      <c r="AC54">
        <v>3</v>
      </c>
      <c r="AD54">
        <v>3</v>
      </c>
      <c r="AE54" t="s">
        <v>39</v>
      </c>
      <c r="AF54" t="s">
        <v>96</v>
      </c>
      <c r="AG54" t="s">
        <v>41</v>
      </c>
      <c r="AH54" t="s">
        <v>156</v>
      </c>
      <c r="AI54">
        <v>0</v>
      </c>
      <c r="AJ54">
        <v>42</v>
      </c>
    </row>
    <row r="55" spans="1:36" x14ac:dyDescent="0.25">
      <c r="A55" t="s">
        <v>586</v>
      </c>
      <c r="B55">
        <v>53</v>
      </c>
      <c r="C55" t="s">
        <v>63</v>
      </c>
      <c r="D55">
        <v>3</v>
      </c>
      <c r="F55">
        <v>3</v>
      </c>
      <c r="G55" t="s">
        <v>103</v>
      </c>
      <c r="H55" t="s">
        <v>146</v>
      </c>
      <c r="I55" t="s">
        <v>104</v>
      </c>
      <c r="J55" t="s">
        <v>151</v>
      </c>
      <c r="K55" t="s">
        <v>56</v>
      </c>
      <c r="L55">
        <v>3</v>
      </c>
      <c r="N55">
        <v>3</v>
      </c>
      <c r="O55" t="s">
        <v>57</v>
      </c>
      <c r="P55" t="s">
        <v>69</v>
      </c>
      <c r="Q55" t="s">
        <v>123</v>
      </c>
      <c r="R55" t="s">
        <v>125</v>
      </c>
      <c r="S55" t="s">
        <v>43</v>
      </c>
      <c r="T55">
        <v>1</v>
      </c>
      <c r="V55">
        <v>1</v>
      </c>
      <c r="W55" t="s">
        <v>44</v>
      </c>
      <c r="X55" t="s">
        <v>136</v>
      </c>
      <c r="Y55" t="s">
        <v>137</v>
      </c>
      <c r="AA55" t="s">
        <v>38</v>
      </c>
      <c r="AB55">
        <v>3</v>
      </c>
      <c r="AC55">
        <v>3</v>
      </c>
      <c r="AD55">
        <v>3</v>
      </c>
      <c r="AE55" t="s">
        <v>39</v>
      </c>
      <c r="AF55" t="s">
        <v>40</v>
      </c>
      <c r="AG55" t="s">
        <v>41</v>
      </c>
      <c r="AH55" t="s">
        <v>156</v>
      </c>
      <c r="AI55">
        <v>0</v>
      </c>
      <c r="AJ55">
        <v>40</v>
      </c>
    </row>
    <row r="56" spans="1:36" x14ac:dyDescent="0.25">
      <c r="A56" t="s">
        <v>587</v>
      </c>
      <c r="B56">
        <v>54</v>
      </c>
      <c r="C56" t="s">
        <v>56</v>
      </c>
      <c r="D56">
        <v>3</v>
      </c>
      <c r="F56">
        <v>3</v>
      </c>
      <c r="G56" t="s">
        <v>57</v>
      </c>
      <c r="H56" t="s">
        <v>69</v>
      </c>
      <c r="I56" t="s">
        <v>85</v>
      </c>
      <c r="J56" t="s">
        <v>125</v>
      </c>
      <c r="K56" t="s">
        <v>45</v>
      </c>
      <c r="L56">
        <v>3</v>
      </c>
      <c r="N56">
        <v>3</v>
      </c>
      <c r="O56" t="s">
        <v>86</v>
      </c>
      <c r="P56" t="s">
        <v>141</v>
      </c>
      <c r="Q56" t="s">
        <v>102</v>
      </c>
      <c r="R56" t="s">
        <v>94</v>
      </c>
      <c r="S56" t="s">
        <v>63</v>
      </c>
      <c r="T56">
        <v>3</v>
      </c>
      <c r="V56">
        <v>3</v>
      </c>
      <c r="W56" t="s">
        <v>103</v>
      </c>
      <c r="X56" t="s">
        <v>146</v>
      </c>
      <c r="Y56" t="s">
        <v>104</v>
      </c>
      <c r="Z56" t="s">
        <v>150</v>
      </c>
      <c r="AA56" t="s">
        <v>38</v>
      </c>
      <c r="AB56">
        <v>1</v>
      </c>
      <c r="AC56">
        <v>1</v>
      </c>
      <c r="AD56">
        <v>2</v>
      </c>
      <c r="AE56" t="s">
        <v>39</v>
      </c>
      <c r="AI56">
        <v>0</v>
      </c>
      <c r="AJ56">
        <v>45</v>
      </c>
    </row>
    <row r="57" spans="1:36" x14ac:dyDescent="0.25">
      <c r="A57" t="s">
        <v>588</v>
      </c>
      <c r="B57">
        <v>55</v>
      </c>
      <c r="C57" t="s">
        <v>45</v>
      </c>
      <c r="D57">
        <v>3</v>
      </c>
      <c r="F57">
        <v>2</v>
      </c>
      <c r="G57" t="s">
        <v>47</v>
      </c>
      <c r="H57" t="s">
        <v>76</v>
      </c>
      <c r="I57" t="s">
        <v>142</v>
      </c>
      <c r="J57" t="s">
        <v>144</v>
      </c>
      <c r="K57" t="s">
        <v>48</v>
      </c>
      <c r="L57">
        <v>2</v>
      </c>
      <c r="N57">
        <v>3</v>
      </c>
      <c r="O57" t="s">
        <v>126</v>
      </c>
      <c r="S57" t="s">
        <v>33</v>
      </c>
      <c r="T57">
        <v>1</v>
      </c>
      <c r="V57">
        <v>3</v>
      </c>
      <c r="W57" t="s">
        <v>34</v>
      </c>
      <c r="X57" t="s">
        <v>130</v>
      </c>
      <c r="Y57" t="s">
        <v>132</v>
      </c>
      <c r="Z57" t="s">
        <v>133</v>
      </c>
      <c r="AA57" t="s">
        <v>43</v>
      </c>
      <c r="AB57">
        <v>2</v>
      </c>
      <c r="AD57">
        <v>3</v>
      </c>
      <c r="AE57" t="s">
        <v>44</v>
      </c>
      <c r="AF57" t="s">
        <v>136</v>
      </c>
      <c r="AG57" t="s">
        <v>100</v>
      </c>
      <c r="AH57" t="s">
        <v>138</v>
      </c>
      <c r="AI57">
        <v>0</v>
      </c>
      <c r="AJ57">
        <v>25</v>
      </c>
    </row>
    <row r="58" spans="1:36" x14ac:dyDescent="0.25">
      <c r="A58" t="s">
        <v>589</v>
      </c>
      <c r="B58">
        <v>56</v>
      </c>
      <c r="C58" t="s">
        <v>43</v>
      </c>
      <c r="D58">
        <v>3</v>
      </c>
      <c r="F58">
        <v>3</v>
      </c>
      <c r="G58" t="s">
        <v>44</v>
      </c>
      <c r="H58" t="s">
        <v>136</v>
      </c>
      <c r="I58" t="s">
        <v>75</v>
      </c>
      <c r="J58" t="s">
        <v>139</v>
      </c>
      <c r="K58" t="s">
        <v>48</v>
      </c>
      <c r="L58">
        <v>1</v>
      </c>
      <c r="N58">
        <v>3</v>
      </c>
      <c r="O58" t="s">
        <v>126</v>
      </c>
      <c r="P58" t="s">
        <v>50</v>
      </c>
      <c r="S58" t="s">
        <v>33</v>
      </c>
      <c r="T58">
        <v>2</v>
      </c>
      <c r="V58">
        <v>3</v>
      </c>
      <c r="W58" t="s">
        <v>34</v>
      </c>
      <c r="X58" t="s">
        <v>130</v>
      </c>
      <c r="Y58" t="s">
        <v>132</v>
      </c>
      <c r="AA58" t="s">
        <v>63</v>
      </c>
      <c r="AB58">
        <v>3</v>
      </c>
      <c r="AD58">
        <v>3</v>
      </c>
      <c r="AE58" t="s">
        <v>72</v>
      </c>
      <c r="AF58" t="s">
        <v>146</v>
      </c>
      <c r="AG58" t="s">
        <v>148</v>
      </c>
      <c r="AH58" t="s">
        <v>151</v>
      </c>
      <c r="AI58">
        <v>0</v>
      </c>
      <c r="AJ58">
        <v>29</v>
      </c>
    </row>
    <row r="59" spans="1:36" x14ac:dyDescent="0.25">
      <c r="A59" t="s">
        <v>590</v>
      </c>
      <c r="B59">
        <v>57</v>
      </c>
      <c r="C59" t="s">
        <v>38</v>
      </c>
      <c r="D59">
        <v>3</v>
      </c>
      <c r="E59">
        <v>3</v>
      </c>
      <c r="F59">
        <v>2</v>
      </c>
      <c r="G59" t="s">
        <v>39</v>
      </c>
      <c r="H59" t="s">
        <v>40</v>
      </c>
      <c r="I59" t="s">
        <v>153</v>
      </c>
      <c r="J59" t="s">
        <v>156</v>
      </c>
      <c r="K59" t="s">
        <v>48</v>
      </c>
      <c r="L59">
        <v>3</v>
      </c>
      <c r="N59">
        <v>3</v>
      </c>
      <c r="O59" t="s">
        <v>126</v>
      </c>
      <c r="P59" t="s">
        <v>84</v>
      </c>
      <c r="S59" t="s">
        <v>33</v>
      </c>
      <c r="T59">
        <v>3</v>
      </c>
      <c r="V59">
        <v>3</v>
      </c>
      <c r="W59" t="s">
        <v>34</v>
      </c>
      <c r="X59" t="s">
        <v>130</v>
      </c>
      <c r="Y59" t="s">
        <v>132</v>
      </c>
      <c r="Z59" t="s">
        <v>133</v>
      </c>
      <c r="AA59" t="s">
        <v>43</v>
      </c>
      <c r="AB59">
        <v>3</v>
      </c>
      <c r="AD59">
        <v>1</v>
      </c>
      <c r="AE59" t="s">
        <v>44</v>
      </c>
      <c r="AF59" t="s">
        <v>136</v>
      </c>
      <c r="AI59">
        <v>0</v>
      </c>
      <c r="AJ59">
        <v>30</v>
      </c>
    </row>
    <row r="60" spans="1:36" x14ac:dyDescent="0.25">
      <c r="A60" t="s">
        <v>591</v>
      </c>
      <c r="B60">
        <v>58</v>
      </c>
      <c r="C60" t="s">
        <v>63</v>
      </c>
      <c r="D60">
        <v>3</v>
      </c>
      <c r="F60">
        <v>2</v>
      </c>
      <c r="G60" t="s">
        <v>72</v>
      </c>
      <c r="H60" t="s">
        <v>146</v>
      </c>
      <c r="I60" t="s">
        <v>104</v>
      </c>
      <c r="J60" t="s">
        <v>151</v>
      </c>
      <c r="K60" t="s">
        <v>48</v>
      </c>
      <c r="L60">
        <v>2</v>
      </c>
      <c r="N60">
        <v>1</v>
      </c>
      <c r="O60" t="s">
        <v>126</v>
      </c>
      <c r="P60" t="s">
        <v>84</v>
      </c>
      <c r="S60" t="s">
        <v>33</v>
      </c>
      <c r="T60">
        <v>2</v>
      </c>
      <c r="V60">
        <v>3</v>
      </c>
      <c r="W60" t="s">
        <v>34</v>
      </c>
      <c r="X60" t="s">
        <v>130</v>
      </c>
      <c r="Y60" t="s">
        <v>36</v>
      </c>
      <c r="Z60" t="s">
        <v>37</v>
      </c>
      <c r="AA60" t="s">
        <v>45</v>
      </c>
      <c r="AB60">
        <v>3</v>
      </c>
      <c r="AD60">
        <v>1</v>
      </c>
      <c r="AE60" t="s">
        <v>47</v>
      </c>
      <c r="AF60" t="s">
        <v>92</v>
      </c>
      <c r="AI60">
        <v>0</v>
      </c>
      <c r="AJ60">
        <v>21</v>
      </c>
    </row>
    <row r="61" spans="1:36" x14ac:dyDescent="0.25">
      <c r="A61" t="s">
        <v>592</v>
      </c>
      <c r="B61">
        <v>59</v>
      </c>
      <c r="C61" t="s">
        <v>45</v>
      </c>
      <c r="D61">
        <v>3</v>
      </c>
      <c r="F61">
        <v>3</v>
      </c>
      <c r="G61" t="s">
        <v>47</v>
      </c>
      <c r="H61" t="s">
        <v>76</v>
      </c>
      <c r="I61" t="s">
        <v>102</v>
      </c>
      <c r="J61" t="s">
        <v>94</v>
      </c>
      <c r="K61" t="s">
        <v>48</v>
      </c>
      <c r="L61">
        <v>2</v>
      </c>
      <c r="N61">
        <v>2</v>
      </c>
      <c r="O61" t="s">
        <v>126</v>
      </c>
      <c r="P61" t="s">
        <v>50</v>
      </c>
      <c r="Q61" t="s">
        <v>127</v>
      </c>
      <c r="R61" t="s">
        <v>129</v>
      </c>
      <c r="S61" t="s">
        <v>33</v>
      </c>
      <c r="T61">
        <v>1</v>
      </c>
      <c r="V61">
        <v>3</v>
      </c>
      <c r="W61" t="s">
        <v>34</v>
      </c>
      <c r="X61" t="s">
        <v>130</v>
      </c>
      <c r="Y61" t="s">
        <v>131</v>
      </c>
      <c r="Z61" t="s">
        <v>133</v>
      </c>
      <c r="AA61" t="s">
        <v>38</v>
      </c>
      <c r="AB61">
        <v>3</v>
      </c>
      <c r="AC61">
        <v>2</v>
      </c>
      <c r="AD61">
        <v>3</v>
      </c>
      <c r="AE61" t="s">
        <v>39</v>
      </c>
      <c r="AF61" t="s">
        <v>40</v>
      </c>
      <c r="AG61" t="s">
        <v>41</v>
      </c>
      <c r="AH61" t="s">
        <v>156</v>
      </c>
      <c r="AI61">
        <v>0</v>
      </c>
      <c r="AJ61">
        <v>30</v>
      </c>
    </row>
    <row r="62" spans="1:36" x14ac:dyDescent="0.25">
      <c r="A62" t="s">
        <v>593</v>
      </c>
      <c r="B62">
        <v>60</v>
      </c>
      <c r="C62" t="s">
        <v>38</v>
      </c>
      <c r="D62">
        <v>3</v>
      </c>
      <c r="E62">
        <v>3</v>
      </c>
      <c r="F62">
        <v>3</v>
      </c>
      <c r="G62" t="s">
        <v>39</v>
      </c>
      <c r="H62" t="s">
        <v>40</v>
      </c>
      <c r="I62" t="s">
        <v>41</v>
      </c>
      <c r="J62" t="s">
        <v>156</v>
      </c>
      <c r="K62" t="s">
        <v>48</v>
      </c>
      <c r="L62">
        <v>3</v>
      </c>
      <c r="N62">
        <v>2</v>
      </c>
      <c r="O62" t="s">
        <v>89</v>
      </c>
      <c r="S62" t="s">
        <v>33</v>
      </c>
      <c r="T62">
        <v>2</v>
      </c>
      <c r="V62">
        <v>3</v>
      </c>
      <c r="W62" t="s">
        <v>34</v>
      </c>
      <c r="X62" t="s">
        <v>66</v>
      </c>
      <c r="Y62" t="s">
        <v>132</v>
      </c>
      <c r="Z62" t="s">
        <v>133</v>
      </c>
      <c r="AA62" t="s">
        <v>63</v>
      </c>
      <c r="AB62">
        <v>3</v>
      </c>
      <c r="AD62">
        <v>3</v>
      </c>
      <c r="AE62" t="s">
        <v>145</v>
      </c>
      <c r="AF62" t="s">
        <v>146</v>
      </c>
      <c r="AG62" t="s">
        <v>104</v>
      </c>
      <c r="AH62" t="s">
        <v>149</v>
      </c>
      <c r="AI62">
        <v>0</v>
      </c>
      <c r="AJ62">
        <v>35</v>
      </c>
    </row>
    <row r="63" spans="1:36" x14ac:dyDescent="0.25">
      <c r="A63" t="s">
        <v>594</v>
      </c>
      <c r="B63">
        <v>62</v>
      </c>
      <c r="C63" t="s">
        <v>48</v>
      </c>
      <c r="D63">
        <v>3</v>
      </c>
      <c r="F63">
        <v>3</v>
      </c>
      <c r="G63" t="s">
        <v>126</v>
      </c>
      <c r="H63" t="s">
        <v>71</v>
      </c>
      <c r="I63" t="s">
        <v>90</v>
      </c>
      <c r="J63" t="s">
        <v>128</v>
      </c>
      <c r="K63" t="s">
        <v>43</v>
      </c>
      <c r="L63">
        <v>3</v>
      </c>
      <c r="N63">
        <v>2</v>
      </c>
      <c r="O63" t="s">
        <v>44</v>
      </c>
      <c r="P63" t="s">
        <v>136</v>
      </c>
      <c r="Q63" t="s">
        <v>137</v>
      </c>
      <c r="R63" t="s">
        <v>138</v>
      </c>
      <c r="S63" t="s">
        <v>45</v>
      </c>
      <c r="T63">
        <v>2</v>
      </c>
      <c r="V63">
        <v>1</v>
      </c>
      <c r="W63" t="s">
        <v>86</v>
      </c>
      <c r="X63" t="s">
        <v>92</v>
      </c>
      <c r="Y63" t="s">
        <v>142</v>
      </c>
      <c r="Z63" t="s">
        <v>143</v>
      </c>
      <c r="AA63" t="s">
        <v>38</v>
      </c>
      <c r="AB63">
        <v>3</v>
      </c>
      <c r="AC63">
        <v>3</v>
      </c>
      <c r="AD63">
        <v>3</v>
      </c>
      <c r="AE63" t="s">
        <v>39</v>
      </c>
      <c r="AF63" t="s">
        <v>40</v>
      </c>
      <c r="AG63" t="s">
        <v>41</v>
      </c>
      <c r="AH63" t="s">
        <v>155</v>
      </c>
      <c r="AI63">
        <v>0</v>
      </c>
      <c r="AJ63">
        <v>38</v>
      </c>
    </row>
    <row r="64" spans="1:36" x14ac:dyDescent="0.25">
      <c r="A64" t="s">
        <v>595</v>
      </c>
      <c r="B64">
        <v>61</v>
      </c>
      <c r="C64" t="s">
        <v>63</v>
      </c>
      <c r="D64">
        <v>3</v>
      </c>
      <c r="F64">
        <v>3</v>
      </c>
      <c r="G64" t="s">
        <v>72</v>
      </c>
      <c r="H64" t="s">
        <v>146</v>
      </c>
      <c r="I64" t="s">
        <v>148</v>
      </c>
      <c r="J64" t="s">
        <v>150</v>
      </c>
      <c r="K64" t="s">
        <v>48</v>
      </c>
      <c r="L64">
        <v>3</v>
      </c>
      <c r="N64">
        <v>3</v>
      </c>
      <c r="O64" t="s">
        <v>126</v>
      </c>
      <c r="P64" t="s">
        <v>71</v>
      </c>
      <c r="Q64" t="s">
        <v>51</v>
      </c>
      <c r="R64" t="s">
        <v>52</v>
      </c>
      <c r="S64" t="s">
        <v>43</v>
      </c>
      <c r="T64">
        <v>1</v>
      </c>
      <c r="V64">
        <v>1</v>
      </c>
      <c r="W64" t="s">
        <v>44</v>
      </c>
      <c r="X64" t="s">
        <v>136</v>
      </c>
      <c r="Y64" t="s">
        <v>137</v>
      </c>
      <c r="Z64" t="s">
        <v>138</v>
      </c>
      <c r="AA64" t="s">
        <v>45</v>
      </c>
      <c r="AB64">
        <v>3</v>
      </c>
      <c r="AD64">
        <v>3</v>
      </c>
      <c r="AE64" t="s">
        <v>47</v>
      </c>
      <c r="AF64" t="s">
        <v>141</v>
      </c>
      <c r="AG64" t="s">
        <v>142</v>
      </c>
      <c r="AH64" t="s">
        <v>143</v>
      </c>
      <c r="AI64">
        <v>0</v>
      </c>
      <c r="AJ64">
        <v>44</v>
      </c>
    </row>
    <row r="65" spans="1:36" x14ac:dyDescent="0.25">
      <c r="A65" t="s">
        <v>596</v>
      </c>
      <c r="B65">
        <v>63</v>
      </c>
      <c r="C65" t="s">
        <v>38</v>
      </c>
      <c r="D65">
        <v>3</v>
      </c>
      <c r="E65">
        <v>3</v>
      </c>
      <c r="F65">
        <v>3</v>
      </c>
      <c r="G65" t="s">
        <v>39</v>
      </c>
      <c r="H65" t="s">
        <v>40</v>
      </c>
      <c r="I65" t="s">
        <v>41</v>
      </c>
      <c r="J65" t="s">
        <v>156</v>
      </c>
      <c r="K65" t="s">
        <v>48</v>
      </c>
      <c r="L65">
        <v>1</v>
      </c>
      <c r="N65">
        <v>1</v>
      </c>
      <c r="O65" t="s">
        <v>126</v>
      </c>
      <c r="P65" t="s">
        <v>71</v>
      </c>
      <c r="Q65" t="s">
        <v>51</v>
      </c>
      <c r="S65" t="s">
        <v>43</v>
      </c>
      <c r="T65">
        <v>3</v>
      </c>
      <c r="V65">
        <v>3</v>
      </c>
      <c r="W65" t="s">
        <v>44</v>
      </c>
      <c r="X65" t="s">
        <v>136</v>
      </c>
      <c r="Y65" t="s">
        <v>137</v>
      </c>
      <c r="Z65" t="s">
        <v>139</v>
      </c>
      <c r="AA65" t="s">
        <v>63</v>
      </c>
      <c r="AB65">
        <v>3</v>
      </c>
      <c r="AD65">
        <v>3</v>
      </c>
      <c r="AE65" t="s">
        <v>72</v>
      </c>
      <c r="AF65" t="s">
        <v>146</v>
      </c>
      <c r="AG65" t="s">
        <v>148</v>
      </c>
      <c r="AH65" t="s">
        <v>151</v>
      </c>
      <c r="AI65">
        <v>0</v>
      </c>
      <c r="AJ65">
        <v>35</v>
      </c>
    </row>
    <row r="66" spans="1:36" x14ac:dyDescent="0.25">
      <c r="A66" t="s">
        <v>597</v>
      </c>
      <c r="B66">
        <v>64</v>
      </c>
      <c r="C66" t="s">
        <v>48</v>
      </c>
      <c r="D66">
        <v>3</v>
      </c>
      <c r="F66">
        <v>3</v>
      </c>
      <c r="G66" t="s">
        <v>126</v>
      </c>
      <c r="H66" t="s">
        <v>71</v>
      </c>
      <c r="I66" t="s">
        <v>51</v>
      </c>
      <c r="J66" t="s">
        <v>52</v>
      </c>
      <c r="K66" t="s">
        <v>45</v>
      </c>
      <c r="L66">
        <v>3</v>
      </c>
      <c r="N66">
        <v>3</v>
      </c>
      <c r="O66" t="s">
        <v>86</v>
      </c>
      <c r="P66" t="s">
        <v>141</v>
      </c>
      <c r="S66" t="s">
        <v>63</v>
      </c>
      <c r="T66">
        <v>3</v>
      </c>
      <c r="V66">
        <v>3</v>
      </c>
      <c r="W66" t="s">
        <v>72</v>
      </c>
      <c r="X66" t="s">
        <v>146</v>
      </c>
      <c r="Y66" t="s">
        <v>148</v>
      </c>
      <c r="Z66" t="s">
        <v>150</v>
      </c>
      <c r="AA66" t="s">
        <v>38</v>
      </c>
      <c r="AB66">
        <v>1</v>
      </c>
      <c r="AC66">
        <v>1</v>
      </c>
      <c r="AD66">
        <v>1</v>
      </c>
      <c r="AE66" t="s">
        <v>39</v>
      </c>
      <c r="AF66" t="s">
        <v>40</v>
      </c>
      <c r="AG66" t="s">
        <v>41</v>
      </c>
      <c r="AI66">
        <v>0</v>
      </c>
      <c r="AJ66">
        <v>29</v>
      </c>
    </row>
    <row r="67" spans="1:36" x14ac:dyDescent="0.25">
      <c r="A67" t="s">
        <v>598</v>
      </c>
      <c r="B67">
        <v>65</v>
      </c>
      <c r="C67" t="s">
        <v>33</v>
      </c>
      <c r="D67">
        <v>1</v>
      </c>
      <c r="F67">
        <v>3</v>
      </c>
      <c r="G67" t="s">
        <v>34</v>
      </c>
      <c r="H67" t="s">
        <v>66</v>
      </c>
      <c r="I67" t="s">
        <v>36</v>
      </c>
      <c r="K67" t="s">
        <v>43</v>
      </c>
      <c r="L67">
        <v>1</v>
      </c>
      <c r="N67">
        <v>1</v>
      </c>
      <c r="O67" t="s">
        <v>44</v>
      </c>
      <c r="P67" t="s">
        <v>136</v>
      </c>
      <c r="S67" t="s">
        <v>45</v>
      </c>
      <c r="T67">
        <v>3</v>
      </c>
      <c r="V67">
        <v>1</v>
      </c>
      <c r="W67" t="s">
        <v>86</v>
      </c>
      <c r="AA67" t="s">
        <v>63</v>
      </c>
      <c r="AB67">
        <v>2</v>
      </c>
      <c r="AD67">
        <v>1</v>
      </c>
      <c r="AE67" t="s">
        <v>72</v>
      </c>
      <c r="AF67" t="s">
        <v>146</v>
      </c>
      <c r="AI67">
        <v>0</v>
      </c>
      <c r="AJ67">
        <v>13</v>
      </c>
    </row>
    <row r="68" spans="1:36" x14ac:dyDescent="0.25">
      <c r="A68" t="s">
        <v>599</v>
      </c>
      <c r="B68">
        <v>66</v>
      </c>
      <c r="C68" t="s">
        <v>38</v>
      </c>
      <c r="D68">
        <v>2</v>
      </c>
      <c r="E68">
        <v>1</v>
      </c>
      <c r="F68">
        <v>3</v>
      </c>
      <c r="G68" t="s">
        <v>39</v>
      </c>
      <c r="H68" t="s">
        <v>40</v>
      </c>
      <c r="I68" t="s">
        <v>41</v>
      </c>
      <c r="J68" t="s">
        <v>156</v>
      </c>
      <c r="K68" t="s">
        <v>33</v>
      </c>
      <c r="L68">
        <v>1</v>
      </c>
      <c r="N68">
        <v>3</v>
      </c>
      <c r="O68" t="s">
        <v>34</v>
      </c>
      <c r="S68" t="s">
        <v>43</v>
      </c>
      <c r="T68">
        <v>1</v>
      </c>
      <c r="V68">
        <v>2</v>
      </c>
      <c r="W68" t="s">
        <v>44</v>
      </c>
      <c r="X68" t="s">
        <v>136</v>
      </c>
      <c r="Y68" t="s">
        <v>100</v>
      </c>
      <c r="AA68" t="s">
        <v>45</v>
      </c>
      <c r="AB68">
        <v>3</v>
      </c>
      <c r="AD68">
        <v>2</v>
      </c>
      <c r="AE68" t="s">
        <v>86</v>
      </c>
      <c r="AF68" t="s">
        <v>92</v>
      </c>
      <c r="AG68" t="s">
        <v>102</v>
      </c>
      <c r="AI68">
        <v>0</v>
      </c>
      <c r="AJ68">
        <v>20</v>
      </c>
    </row>
    <row r="69" spans="1:36" x14ac:dyDescent="0.25">
      <c r="A69" t="s">
        <v>600</v>
      </c>
      <c r="B69">
        <v>67</v>
      </c>
      <c r="C69" t="s">
        <v>38</v>
      </c>
      <c r="D69">
        <v>3</v>
      </c>
      <c r="E69">
        <v>3</v>
      </c>
      <c r="F69">
        <v>3</v>
      </c>
      <c r="G69" t="s">
        <v>39</v>
      </c>
      <c r="H69" t="s">
        <v>96</v>
      </c>
      <c r="I69" t="s">
        <v>41</v>
      </c>
      <c r="J69" t="s">
        <v>156</v>
      </c>
      <c r="K69" t="s">
        <v>33</v>
      </c>
      <c r="L69">
        <v>1</v>
      </c>
      <c r="N69">
        <v>2</v>
      </c>
      <c r="O69" t="s">
        <v>34</v>
      </c>
      <c r="P69" t="s">
        <v>66</v>
      </c>
      <c r="S69" t="s">
        <v>43</v>
      </c>
      <c r="T69">
        <v>3</v>
      </c>
      <c r="V69">
        <v>3</v>
      </c>
      <c r="W69" t="s">
        <v>44</v>
      </c>
      <c r="X69" t="s">
        <v>136</v>
      </c>
      <c r="Y69" t="s">
        <v>75</v>
      </c>
      <c r="Z69" t="s">
        <v>138</v>
      </c>
      <c r="AA69" t="s">
        <v>63</v>
      </c>
      <c r="AB69">
        <v>3</v>
      </c>
      <c r="AD69">
        <v>3</v>
      </c>
      <c r="AE69" t="s">
        <v>72</v>
      </c>
      <c r="AF69" t="s">
        <v>146</v>
      </c>
      <c r="AG69" t="s">
        <v>104</v>
      </c>
      <c r="AH69" t="s">
        <v>151</v>
      </c>
      <c r="AI69">
        <v>0</v>
      </c>
      <c r="AJ69">
        <v>36</v>
      </c>
    </row>
    <row r="70" spans="1:36" x14ac:dyDescent="0.25">
      <c r="A70" t="s">
        <v>601</v>
      </c>
      <c r="B70">
        <v>68</v>
      </c>
      <c r="C70" t="s">
        <v>45</v>
      </c>
      <c r="D70">
        <v>3</v>
      </c>
      <c r="F70">
        <v>2</v>
      </c>
      <c r="G70" t="s">
        <v>86</v>
      </c>
      <c r="H70" t="s">
        <v>141</v>
      </c>
      <c r="I70" t="s">
        <v>142</v>
      </c>
      <c r="J70" t="s">
        <v>144</v>
      </c>
      <c r="K70" t="s">
        <v>33</v>
      </c>
      <c r="L70">
        <v>2</v>
      </c>
      <c r="N70">
        <v>3</v>
      </c>
      <c r="O70" t="s">
        <v>34</v>
      </c>
      <c r="P70" t="s">
        <v>66</v>
      </c>
      <c r="Q70" t="s">
        <v>131</v>
      </c>
      <c r="S70" t="s">
        <v>63</v>
      </c>
      <c r="T70">
        <v>1</v>
      </c>
      <c r="V70">
        <v>2</v>
      </c>
      <c r="W70" t="s">
        <v>145</v>
      </c>
      <c r="X70" t="s">
        <v>146</v>
      </c>
      <c r="Y70" t="s">
        <v>104</v>
      </c>
      <c r="AA70" t="s">
        <v>38</v>
      </c>
      <c r="AB70">
        <v>3</v>
      </c>
      <c r="AC70">
        <v>1</v>
      </c>
      <c r="AD70">
        <v>3</v>
      </c>
      <c r="AE70" t="s">
        <v>39</v>
      </c>
      <c r="AF70" t="s">
        <v>40</v>
      </c>
      <c r="AG70" t="s">
        <v>41</v>
      </c>
      <c r="AH70" t="s">
        <v>156</v>
      </c>
      <c r="AI70">
        <v>0</v>
      </c>
      <c r="AJ70">
        <v>26</v>
      </c>
    </row>
    <row r="71" spans="1:36" x14ac:dyDescent="0.25">
      <c r="A71" t="s">
        <v>602</v>
      </c>
      <c r="B71">
        <v>69</v>
      </c>
      <c r="C71" t="s">
        <v>63</v>
      </c>
      <c r="D71">
        <v>3</v>
      </c>
      <c r="F71">
        <v>3</v>
      </c>
      <c r="G71" t="s">
        <v>145</v>
      </c>
      <c r="H71" t="s">
        <v>146</v>
      </c>
      <c r="I71" t="s">
        <v>147</v>
      </c>
      <c r="J71" t="s">
        <v>150</v>
      </c>
      <c r="K71" t="s">
        <v>43</v>
      </c>
      <c r="L71">
        <v>3</v>
      </c>
      <c r="N71">
        <v>3</v>
      </c>
      <c r="O71" t="s">
        <v>44</v>
      </c>
      <c r="P71" t="s">
        <v>74</v>
      </c>
      <c r="Q71" t="s">
        <v>75</v>
      </c>
      <c r="R71" t="s">
        <v>139</v>
      </c>
      <c r="S71" t="s">
        <v>45</v>
      </c>
      <c r="T71">
        <v>3</v>
      </c>
      <c r="V71">
        <v>3</v>
      </c>
      <c r="W71" t="s">
        <v>86</v>
      </c>
      <c r="X71" t="s">
        <v>141</v>
      </c>
      <c r="Y71" t="s">
        <v>102</v>
      </c>
      <c r="Z71" t="s">
        <v>94</v>
      </c>
      <c r="AA71" t="s">
        <v>38</v>
      </c>
      <c r="AB71">
        <v>2</v>
      </c>
      <c r="AC71">
        <v>1</v>
      </c>
      <c r="AD71">
        <v>3</v>
      </c>
      <c r="AE71" t="s">
        <v>39</v>
      </c>
      <c r="AF71" t="s">
        <v>40</v>
      </c>
      <c r="AG71" t="s">
        <v>41</v>
      </c>
      <c r="AH71" t="s">
        <v>156</v>
      </c>
      <c r="AI71">
        <v>0</v>
      </c>
      <c r="AJ71">
        <v>47</v>
      </c>
    </row>
  </sheetData>
  <phoneticPr fontId="3" type="noConversion"/>
  <conditionalFormatting sqref="B138:B1048576 B1:B110">
    <cfRule type="duplicateValues" dxfId="5" priority="2"/>
  </conditionalFormatting>
  <conditionalFormatting sqref="B1:B1048576">
    <cfRule type="duplicateValues" dxfId="4" priority="1"/>
  </conditionalFormatting>
  <conditionalFormatting sqref="A2:B71">
    <cfRule type="duplicateValues" dxfId="3" priority="340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0</vt:lpstr>
      <vt:lpstr>0-stat</vt:lpstr>
      <vt:lpstr>1</vt:lpstr>
      <vt:lpstr>1-stat</vt:lpstr>
      <vt:lpstr>2</vt:lpstr>
      <vt:lpstr>2-stat</vt:lpstr>
      <vt:lpstr>3</vt:lpstr>
      <vt:lpstr>3-stat</vt:lpstr>
      <vt:lpstr>4</vt:lpstr>
      <vt:lpstr>4-stat</vt:lpstr>
      <vt:lpstr>5</vt:lpstr>
      <vt:lpstr>5-stat</vt:lpstr>
      <vt:lpstr>statistics</vt:lpstr>
      <vt:lpstr>paragon</vt:lpstr>
      <vt:lpstr>highlander</vt:lpstr>
      <vt:lpstr>druid</vt:lpstr>
      <vt:lpstr>oracle</vt:lpstr>
      <vt:lpstr>avatar</vt:lpstr>
      <vt:lpstr>shadow</vt:lpstr>
      <vt:lpstr>lightbringer</vt:lpstr>
      <vt:lpstr>avenger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2022-12-07T12:26:37Z</dcterms:modified>
</cp:coreProperties>
</file>