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6440663F-BDCF-4D97-A5F6-2167DC2C32D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5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B18" i="7"/>
  <c r="B19" i="7"/>
  <c r="E19" i="7" s="1"/>
  <c r="B17" i="6"/>
  <c r="E17" i="6" s="1"/>
  <c r="B18" i="6"/>
  <c r="B19" i="6"/>
  <c r="E19" i="6" s="1"/>
  <c r="B17" i="5"/>
  <c r="B18" i="5"/>
  <c r="B19" i="5"/>
  <c r="E19" i="5" s="1"/>
  <c r="B17" i="4"/>
  <c r="B18" i="4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E7" i="11" s="1"/>
  <c r="B8" i="11"/>
  <c r="E8" i="11" s="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7" i="12"/>
  <c r="S6" i="12"/>
  <c r="V2" i="12" s="1"/>
  <c r="S3" i="12"/>
  <c r="S1" i="12"/>
  <c r="S2" i="12"/>
  <c r="P7" i="2"/>
  <c r="P3" i="2"/>
  <c r="P5" i="2"/>
  <c r="P1" i="2"/>
  <c r="P6" i="2"/>
  <c r="P2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17" i="9"/>
  <c r="E17" i="7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D3" i="4" l="1"/>
  <c r="D18" i="4"/>
  <c r="O52" i="12"/>
  <c r="O27" i="12"/>
  <c r="O37" i="12"/>
  <c r="D19" i="4"/>
  <c r="O56" i="12"/>
  <c r="O40" i="12"/>
  <c r="O42" i="12"/>
  <c r="O44" i="12"/>
  <c r="O46" i="12"/>
  <c r="O48" i="12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4" i="12"/>
  <c r="W4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V3" i="12"/>
  <c r="W3" i="12" s="1"/>
  <c r="O8" i="12"/>
  <c r="O6" i="12"/>
  <c r="O4" i="12"/>
  <c r="O45" i="12"/>
  <c r="O57" i="12"/>
  <c r="O53" i="12"/>
  <c r="O49" i="12"/>
  <c r="S4" i="2"/>
  <c r="S3" i="2"/>
  <c r="T3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T4" i="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<sst xmlns="http://schemas.openxmlformats.org/spreadsheetml/2006/main" count="3821" uniqueCount="235">
  <si>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</si>
  <si>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</si>
  <si>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</si>
  <si>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</si>
  <si>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</si>
  <si>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</si>
  <si>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</si>
  <si>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</si>
  <si>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</si>
  <si>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</si>
  <si>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</si>
  <si>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</si>
  <si>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</si>
  <si>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</si>
  <si>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</si>
  <si>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</si>
  <si>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</si>
  <si>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</si>
  <si>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</si>
  <si>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</si>
  <si>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</si>
  <si>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</si>
  <si>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</si>
  <si>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</si>
  <si>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</si>
  <si>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</si>
  <si>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</si>
  <si>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</si>
  <si>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</si>
  <si>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</si>
  <si>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</si>
  <si>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</si>
  <si>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</si>
  <si>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</si>
  <si>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</si>
  <si>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</si>
  <si>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</si>
  <si>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</si>
  <si>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</si>
  <si>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</si>
  <si>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</si>
  <si>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</si>
  <si>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</si>
  <si>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</si>
  <si>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</si>
  <si>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</si>
  <si>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</si>
  <si>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</si>
  <si>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</si>
  <si>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</si>
  <si>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</si>
  <si>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</si>
  <si>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</si>
  <si>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</si>
  <si>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</si>
  <si>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</si>
  <si>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</si>
  <si>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</si>
  <si>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</si>
  <si>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</si>
  <si>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</si>
  <si>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</si>
  <si>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</si>
  <si>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</si>
  <si>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</si>
  <si>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</si>
  <si>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</si>
  <si>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</si>
  <si>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</si>
  <si>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</si>
  <si>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</si>
  <si>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</si>
  <si>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</si>
  <si>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</si>
  <si>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</si>
  <si>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</si>
  <si>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</si>
  <si>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</si>
  <si>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</si>
  <si>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</si>
  <si>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</si>
  <si>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</si>
  <si>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</si>
  <si>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</si>
  <si>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</si>
  <si>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</si>
  <si>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</si>
  <si>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</si>
  <si>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</si>
  <si>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</si>
  <si>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</si>
  <si>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</si>
  <si>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</si>
  <si>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</si>
  <si>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</si>
  <si>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</si>
  <si>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</si>
  <si>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</si>
  <si>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</si>
  <si>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</si>
  <si>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</si>
  <si>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</si>
  <si>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</si>
  <si>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</si>
  <si>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</si>
  <si>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</si>
  <si>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</si>
  <si>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</si>
  <si>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</si>
  <si>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</si>
  <si>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</si>
  <si>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</si>
  <si>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</si>
  <si>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</si>
  <si>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</si>
  <si>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</si>
  <si>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</si>
  <si>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</si>
  <si>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</si>
  <si>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</si>
  <si>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</si>
  <si>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</si>
  <si>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</si>
  <si>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</si>
  <si>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</si>
  <si>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</si>
  <si>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</si>
  <si>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</si>
  <si>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</si>
  <si>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</si>
  <si>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</si>
  <si>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</si>
  <si>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</si>
  <si>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</si>
  <si>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</si>
  <si>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</si>
  <si>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</si>
  <si>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</si>
  <si>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</si>
  <si>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</si>
  <si>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</si>
  <si>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</si>
  <si>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</si>
  <si>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</si>
  <si>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</si>
  <si>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</si>
  <si>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</si>
  <si>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</si>
  <si>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</si>
  <si>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</si>
  <si>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</si>
  <si>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</si>
  <si>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</si>
  <si>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</si>
  <si>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</si>
  <si>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</si>
  <si>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</si>
  <si>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</si>
  <si>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</si>
  <si>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</si>
  <si>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</si>
  <si>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</si>
  <si>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</si>
  <si>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</si>
  <si>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</si>
  <si>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</si>
  <si>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</si>
  <si>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</si>
  <si>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</si>
  <si>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</si>
  <si>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</si>
  <si>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</si>
  <si>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</si>
  <si>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</si>
  <si>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</si>
  <si>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</si>
  <si>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</si>
  <si>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</si>
  <si>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</si>
  <si>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</si>
  <si>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</si>
  <si>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</si>
  <si>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</si>
  <si>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</si>
  <si>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</si>
  <si>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</si>
  <si>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</si>
  <si>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</si>
  <si>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</si>
  <si>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</si>
  <si>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</si>
  <si>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</si>
  <si>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</si>
  <si>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</si>
  <si>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</si>
  <si>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</si>
  <si>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1e4062a0-0bcd-11ec-81e9-f5a02b473faa</t>
  </si>
  <si>
    <t>c9bdaeb0-0bcf-11ec-81e9-f5a02b473faa</t>
  </si>
  <si>
    <t>2d14c170-0bd4-11ec-81e9-f5a02b473faa</t>
  </si>
  <si>
    <t>9dd20bc0-0bd9-11ec-81e9-f5a02b473faa</t>
  </si>
  <si>
    <t>8a271da0-0bdd-11ec-81e9-f5a02b473faa</t>
  </si>
  <si>
    <t>927ff810-0be1-11ec-81e9-f5a02b473faa</t>
  </si>
  <si>
    <t>2607e270-0be5-11ec-81e9-f5a02b473faa</t>
  </si>
  <si>
    <t>03c6b650-0bea-11ec-81e9-f5a02b473faa</t>
  </si>
  <si>
    <t>0de87bd0-0bec-11ec-81e9-f5a02b473faa</t>
  </si>
  <si>
    <t>227b2db0-0bef-11ec-81e9-f5a02b473faa</t>
  </si>
  <si>
    <t>2f9acd10-0bf5-11ec-81e9-f5a02b473faa</t>
  </si>
  <si>
    <t>3f671d40-0bf8-11ec-81e9-f5a02b473faa</t>
  </si>
  <si>
    <t>9cfda1c0-0bfa-11ec-81e9-f5a02b473faa</t>
  </si>
  <si>
    <t>067ab820-0bfd-11ec-81e9-f5a02b473faa</t>
  </si>
  <si>
    <t>75f37be0-0bff-11ec-81e9-f5a02b473faa</t>
  </si>
  <si>
    <t>5673a490-0c02-11ec-81e9-f5a02b473faa</t>
  </si>
  <si>
    <t>abab1ad0-0c05-11ec-81e9-f5a02b473faa</t>
  </si>
  <si>
    <t>610b2030-0c0d-11ec-81e9-f5a02b473faa</t>
  </si>
  <si>
    <t>535963e0-0c10-11ec-81e9-f5a02b473faa</t>
  </si>
  <si>
    <t>6636a820-0c14-11ec-81e9-f5a02b473faa</t>
  </si>
  <si>
    <t>a78fa480-0c18-11ec-81e9-f5a02b473faa</t>
  </si>
  <si>
    <t>61916960-0c1c-11ec-81e9-f5a02b473faa</t>
  </si>
  <si>
    <t>08b67ee0-0c1f-11ec-81e9-f5a02b473faa</t>
  </si>
  <si>
    <t>e8dc0470-0c21-11ec-81e9-f5a02b473faa</t>
  </si>
  <si>
    <t>27d144b0-0bcd-11ec-96ed-dbf54c60f7d6</t>
  </si>
  <si>
    <t>be4b0cf0-0bd2-11ec-96ed-dbf54c60f7d6</t>
  </si>
  <si>
    <t>03654520-0bd9-11ec-96ed-dbf54c60f7d6</t>
  </si>
  <si>
    <t>1b5d3020-0bde-11ec-96ed-dbf54c60f7d6</t>
  </si>
  <si>
    <t>cc44d420-0be2-11ec-96ed-dbf54c60f7d6</t>
  </si>
  <si>
    <t>f2c64100-0be8-11ec-96ed-dbf54c60f7d6</t>
  </si>
  <si>
    <t>8b658be0-0bef-11ec-96ed-dbf54c60f7d6</t>
  </si>
  <si>
    <t>6c7bdd40-0bf6-11ec-96ed-dbf54c60f7d6</t>
  </si>
  <si>
    <t>0f406ce0-0bfb-11ec-96ed-dbf54c60f7d6</t>
  </si>
  <si>
    <t>52cdb190-0c03-11ec-96ed-dbf54c60f7d6</t>
  </si>
  <si>
    <t>b906a400-0c06-11ec-96ed-dbf54c60f7d6</t>
  </si>
  <si>
    <t>7f36a030-0c0c-11ec-96ed-dbf54c60f7d6</t>
  </si>
  <si>
    <t>b1257320-0c19-11ec-96ed-dbf54c60f7d6</t>
  </si>
  <si>
    <t>9fbe96b0-0c1f-11ec-96ed-dbf54c60f7d6</t>
  </si>
  <si>
    <t>3b071320-0c27-11ec-96ed-dbf54c60f7d6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</si>
</sst>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6"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K25" totalsRowShown="0">
  <autoFilter ref="A1:AK25" xr:uid="{00000000-0009-0000-0100-000001000000}"/>
  <tableColumns count="37">
    <tableColumn id="1" xr3:uid="{00000000-0010-0000-0000-000001000000}" name="battle" dataDxfId="0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2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1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40">
      <calculatedColumnFormula>IF(SUM(Table7[[#This Row],[takes]]) &gt; 0,Table7[[#This Row],[takes]]/SUM(Table7[takes]),0)</calculatedColumnFormula>
    </tableColumn>
    <tableColumn id="7" xr3:uid="{FBDA8D4C-951F-4B32-AA8D-F1B4A35AC2BC}" name="take-win-rate" dataDxfId="239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38" headerRowBorderDxfId="237" tableBorderDxfId="236" totalsRowBorderDxfId="235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4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3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2">
      <calculatedColumnFormula>IF(SUM(Table8[[#This Row],[takes]]) &gt; 0,Table8[[#This Row],[takes]]/SUM(Table8[takes]),0)</calculatedColumnFormula>
    </tableColumn>
    <tableColumn id="5" xr3:uid="{EBDCF172-80BC-41F1-9D53-618ADC3547F0}" name="take-win-rate" dataDxfId="231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30" headerRowBorderDxfId="229" tableBorderDxfId="228" totalsRowBorderDxfId="227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6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5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4">
      <calculatedColumnFormula>IF(SUM(Table9[[#This Row],[takes]]) &gt; 0,Table9[[#This Row],[takes]]/SUM(Table9[takes]),0)</calculatedColumnFormula>
    </tableColumn>
    <tableColumn id="5" xr3:uid="{2DDAA65F-690D-446E-8E9B-ACECABF193A6}" name="take-win-rate" dataDxfId="223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2" headerRowBorderDxfId="221" tableBorderDxfId="220" totalsRowBorderDxfId="219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18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7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6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5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214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213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212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1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10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09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08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7" headerRowBorderDxfId="206" tableBorderDxfId="205" totalsRowBorderDxfId="204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3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2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1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200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199" headerRowBorderDxfId="198" tableBorderDxfId="197" totalsRowBorderDxfId="196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5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4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3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2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1" headerRowBorderDxfId="190" tableBorderDxfId="189" totalsRowBorderDxfId="188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7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6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5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4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83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82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4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3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2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1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80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79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78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7" headerRowBorderDxfId="176" tableBorderDxfId="175" totalsRowBorderDxfId="174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3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2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1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70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69" headerRowBorderDxfId="168" tableBorderDxfId="167" totalsRowBorderDxfId="166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5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4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3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2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1" headerRowBorderDxfId="160" tableBorderDxfId="159" totalsRowBorderDxfId="158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7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56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5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4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53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52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1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50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49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48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47" headerRowBorderDxfId="146" tableBorderDxfId="145" totalsRowBorderDxfId="144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3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2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1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40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39" headerRowBorderDxfId="138" tableBorderDxfId="137" totalsRowBorderDxfId="136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35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34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3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2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1" headerRowBorderDxfId="130" tableBorderDxfId="129" totalsRowBorderDxfId="128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27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26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25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24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23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122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61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60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59" totalsRowDxfId="258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1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20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19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18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17" headerRowBorderDxfId="116" tableBorderDxfId="115" totalsRowBorderDxfId="114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13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12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1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10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09" headerRowBorderDxfId="108" tableBorderDxfId="107" totalsRowBorderDxfId="106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05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04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03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02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1" headerRowBorderDxfId="100" tableBorderDxfId="99" totalsRowBorderDxfId="98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97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96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95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94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93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92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91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90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89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88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87" headerRowBorderDxfId="86" tableBorderDxfId="85" totalsRowBorderDxfId="84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83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82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81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80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79" headerRowBorderDxfId="78" tableBorderDxfId="77" totalsRowBorderDxfId="76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75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74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73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72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71" headerRowBorderDxfId="70" tableBorderDxfId="69" totalsRowBorderDxfId="68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67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66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65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64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3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62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4" totalsRowShown="0">
  <autoFilter ref="R1:T4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7">
      <calculatedColumnFormula>Table6[[#This Row],[Think Time]]*$P$6/1000/60</calculatedColumnFormula>
    </tableColumn>
    <tableColumn id="3" xr3:uid="{9F104377-929D-4CA1-8022-5D02C13680D6}" name="Estimated Full Run Time (hours)" dataDxfId="256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61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60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59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58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7" headerRowBorderDxfId="56" tableBorderDxfId="55" totalsRowBorderDxfId="54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53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52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51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50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49" headerRowBorderDxfId="48" tableBorderDxfId="47" totalsRowBorderDxfId="46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45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44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43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42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41" headerRowBorderDxfId="40" tableBorderDxfId="39" totalsRowBorderDxfId="38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7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6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35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34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33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2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31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30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29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28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7" headerRowBorderDxfId="26" tableBorderDxfId="25" totalsRowBorderDxfId="24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23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22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21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20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19" headerRowBorderDxfId="18" tableBorderDxfId="17" totalsRowBorderDxfId="16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5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4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13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2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11" headerRowBorderDxfId="10" tableBorderDxfId="9" totalsRowBorderDxfId="8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7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6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5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4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3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2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1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A16" totalsRowShown="0">
  <autoFilter ref="A1:BA16" xr:uid="{8FF0AB99-2334-42CE-ABF7-14A6AEB9D902}"/>
  <tableColumns count="53">
    <tableColumn id="1" xr3:uid="{CD10349B-4AB7-4535-B085-37444EE4435D}" name="battle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4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3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2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1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50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49" totalsRowDxfId="248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4" totalsRowShown="0">
  <autoFilter ref="U1:W4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7">
      <calculatedColumnFormula>Table641[[#This Row],[Think Time]]*$S$6/1000/60</calculatedColumnFormula>
    </tableColumn>
    <tableColumn id="3" xr3:uid="{0FA5B76A-E646-4973-9E9A-8A991294D912}" name="Estimated Full Run Time (hours)" dataDxfId="246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5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4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3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4"/>
  <sheetViews>
    <sheetView workbookViewId="0">
      <selection activeCell="G31" sqref="G31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4" bestFit="1" customWidth="1"/>
    <col min="4" max="4" width="13.7109375" bestFit="1" customWidth="1"/>
    <col min="5" max="5" width="13.28515625" bestFit="1" customWidth="1"/>
    <col min="6" max="6" width="18.42578125" bestFit="1" customWidth="1"/>
    <col min="7" max="7" width="19.140625" bestFit="1" customWidth="1"/>
    <col min="8" max="8" width="18" bestFit="1" customWidth="1"/>
    <col min="9" max="9" width="18.42578125" bestFit="1" customWidth="1"/>
    <col min="10" max="10" width="11.42578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.42578125" bestFit="1" customWidth="1"/>
    <col min="15" max="15" width="19.140625" bestFit="1" customWidth="1"/>
    <col min="16" max="16" width="19.42578125" bestFit="1" customWidth="1"/>
    <col min="17" max="17" width="18" bestFit="1" customWidth="1"/>
    <col min="18" max="18" width="11.42578125" bestFit="1" customWidth="1"/>
    <col min="19" max="19" width="12.140625" bestFit="1" customWidth="1"/>
    <col min="20" max="20" width="11.85546875" bestFit="1" customWidth="1"/>
    <col min="21" max="21" width="11.42578125" bestFit="1" customWidth="1"/>
    <col min="22" max="22" width="18.42578125" bestFit="1" customWidth="1"/>
    <col min="23" max="23" width="18.7109375" bestFit="1" customWidth="1"/>
    <col min="24" max="24" width="20.7109375" bestFit="1" customWidth="1"/>
    <col min="25" max="25" width="17.28515625" bestFit="1" customWidth="1"/>
    <col min="26" max="26" width="11.4257812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24" bestFit="1" customWidth="1"/>
    <col min="31" max="31" width="19.140625" bestFit="1" customWidth="1"/>
    <col min="32" max="32" width="19.42578125" bestFit="1" customWidth="1"/>
    <col min="33" max="33" width="16.140625" bestFit="1" customWidth="1"/>
    <col min="34" max="34" width="9.85546875" bestFit="1" customWidth="1"/>
    <col min="35" max="35" width="7.85546875" bestFit="1" customWidth="1"/>
    <col min="36" max="36" width="12.7109375" bestFit="1" customWidth="1"/>
    <col min="37" max="37" width="9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122</v>
      </c>
      <c r="AF1" t="s">
        <v>30</v>
      </c>
      <c r="AG1" t="s">
        <v>31</v>
      </c>
      <c r="AH1" t="s">
        <v>64</v>
      </c>
      <c r="AI1" t="s">
        <v>32</v>
      </c>
      <c r="AJ1" t="s">
        <v>194</v>
      </c>
      <c r="AK1" t="s">
        <v>195</v>
      </c>
    </row>
    <row r="2" spans="1:37" x14ac:dyDescent="0.25">
      <c r="A2" s="4" t="s">
        <v>196</v>
      </c>
      <c r="B2" t="s">
        <v>53</v>
      </c>
      <c r="C2">
        <v>2</v>
      </c>
      <c r="D2">
        <v>1</v>
      </c>
      <c r="E2">
        <v>1</v>
      </c>
      <c r="F2" t="s">
        <v>114</v>
      </c>
      <c r="G2" t="s">
        <v>83</v>
      </c>
      <c r="H2" t="s">
        <v>117</v>
      </c>
      <c r="I2" t="s">
        <v>98</v>
      </c>
      <c r="J2" t="s">
        <v>56</v>
      </c>
      <c r="K2">
        <v>1</v>
      </c>
      <c r="M2">
        <v>1</v>
      </c>
      <c r="N2" t="s">
        <v>68</v>
      </c>
      <c r="R2" t="s">
        <v>48</v>
      </c>
      <c r="S2">
        <v>1</v>
      </c>
      <c r="U2">
        <v>2</v>
      </c>
      <c r="V2" t="s">
        <v>49</v>
      </c>
      <c r="W2" t="s">
        <v>50</v>
      </c>
      <c r="X2" t="s">
        <v>51</v>
      </c>
      <c r="Z2" t="s">
        <v>33</v>
      </c>
      <c r="AA2">
        <v>1</v>
      </c>
      <c r="AC2">
        <v>1</v>
      </c>
      <c r="AD2" t="s">
        <v>34</v>
      </c>
      <c r="AH2">
        <v>7</v>
      </c>
      <c r="AI2">
        <v>36</v>
      </c>
      <c r="AJ2">
        <v>30</v>
      </c>
      <c r="AK2">
        <v>2</v>
      </c>
    </row>
    <row r="3" spans="1:37" x14ac:dyDescent="0.25">
      <c r="A3" t="s">
        <v>197</v>
      </c>
      <c r="B3" t="s">
        <v>53</v>
      </c>
      <c r="C3">
        <v>2</v>
      </c>
      <c r="D3">
        <v>1</v>
      </c>
      <c r="E3">
        <v>3</v>
      </c>
      <c r="F3" t="s">
        <v>114</v>
      </c>
      <c r="G3" t="s">
        <v>83</v>
      </c>
      <c r="H3" t="s">
        <v>117</v>
      </c>
      <c r="I3" t="s">
        <v>98</v>
      </c>
      <c r="J3" t="s">
        <v>56</v>
      </c>
      <c r="K3">
        <v>1</v>
      </c>
      <c r="M3">
        <v>1</v>
      </c>
      <c r="N3" t="s">
        <v>68</v>
      </c>
      <c r="O3" t="s">
        <v>69</v>
      </c>
      <c r="R3" t="s">
        <v>48</v>
      </c>
      <c r="S3">
        <v>1</v>
      </c>
      <c r="U3">
        <v>1</v>
      </c>
      <c r="V3" t="s">
        <v>49</v>
      </c>
      <c r="Z3" t="s">
        <v>43</v>
      </c>
      <c r="AA3">
        <v>1</v>
      </c>
      <c r="AC3">
        <v>3</v>
      </c>
      <c r="AD3" t="s">
        <v>73</v>
      </c>
      <c r="AE3" t="s">
        <v>74</v>
      </c>
      <c r="AF3" t="s">
        <v>140</v>
      </c>
      <c r="AG3" t="s">
        <v>101</v>
      </c>
      <c r="AH3">
        <v>12</v>
      </c>
      <c r="AI3">
        <v>59</v>
      </c>
      <c r="AJ3">
        <v>30</v>
      </c>
      <c r="AK3">
        <v>2</v>
      </c>
    </row>
    <row r="4" spans="1:37" x14ac:dyDescent="0.25">
      <c r="A4" t="s">
        <v>198</v>
      </c>
      <c r="B4" t="s">
        <v>53</v>
      </c>
      <c r="C4">
        <v>3</v>
      </c>
      <c r="D4">
        <v>3</v>
      </c>
      <c r="E4">
        <v>2</v>
      </c>
      <c r="F4" t="s">
        <v>54</v>
      </c>
      <c r="G4" t="s">
        <v>55</v>
      </c>
      <c r="H4" t="s">
        <v>117</v>
      </c>
      <c r="J4" t="s">
        <v>56</v>
      </c>
      <c r="K4">
        <v>1</v>
      </c>
      <c r="M4">
        <v>1</v>
      </c>
      <c r="N4" t="s">
        <v>68</v>
      </c>
      <c r="O4" t="s">
        <v>69</v>
      </c>
      <c r="P4" t="s">
        <v>126</v>
      </c>
      <c r="R4" t="s">
        <v>48</v>
      </c>
      <c r="S4">
        <v>1</v>
      </c>
      <c r="U4">
        <v>2</v>
      </c>
      <c r="V4" t="s">
        <v>49</v>
      </c>
      <c r="W4" t="s">
        <v>84</v>
      </c>
      <c r="X4" t="s">
        <v>90</v>
      </c>
      <c r="Y4" t="s">
        <v>131</v>
      </c>
      <c r="Z4" t="s">
        <v>45</v>
      </c>
      <c r="AA4">
        <v>3</v>
      </c>
      <c r="AC4">
        <v>1</v>
      </c>
      <c r="AD4" t="s">
        <v>86</v>
      </c>
      <c r="AE4" t="s">
        <v>144</v>
      </c>
      <c r="AH4">
        <v>16</v>
      </c>
      <c r="AI4">
        <v>71</v>
      </c>
      <c r="AJ4">
        <v>30</v>
      </c>
      <c r="AK4">
        <v>2</v>
      </c>
    </row>
    <row r="5" spans="1:37" x14ac:dyDescent="0.25">
      <c r="A5" t="s">
        <v>199</v>
      </c>
      <c r="B5" t="s">
        <v>53</v>
      </c>
      <c r="C5">
        <v>2</v>
      </c>
      <c r="D5">
        <v>1</v>
      </c>
      <c r="E5">
        <v>2</v>
      </c>
      <c r="F5" t="s">
        <v>114</v>
      </c>
      <c r="G5" t="s">
        <v>55</v>
      </c>
      <c r="J5" t="s">
        <v>56</v>
      </c>
      <c r="K5">
        <v>2</v>
      </c>
      <c r="M5">
        <v>1</v>
      </c>
      <c r="N5" t="s">
        <v>123</v>
      </c>
      <c r="R5" t="s">
        <v>48</v>
      </c>
      <c r="S5">
        <v>2</v>
      </c>
      <c r="U5">
        <v>2</v>
      </c>
      <c r="V5" t="s">
        <v>49</v>
      </c>
      <c r="Z5" t="s">
        <v>63</v>
      </c>
      <c r="AA5">
        <v>3</v>
      </c>
      <c r="AC5">
        <v>1</v>
      </c>
      <c r="AD5" t="s">
        <v>72</v>
      </c>
      <c r="AE5" t="s">
        <v>95</v>
      </c>
      <c r="AF5" t="s">
        <v>104</v>
      </c>
      <c r="AH5">
        <v>10</v>
      </c>
      <c r="AI5">
        <v>49</v>
      </c>
      <c r="AJ5">
        <v>30</v>
      </c>
      <c r="AK5">
        <v>2</v>
      </c>
    </row>
    <row r="6" spans="1:37" x14ac:dyDescent="0.25">
      <c r="A6" t="s">
        <v>200</v>
      </c>
      <c r="B6" t="s">
        <v>48</v>
      </c>
      <c r="C6">
        <v>1</v>
      </c>
      <c r="E6">
        <v>2</v>
      </c>
      <c r="F6" t="s">
        <v>49</v>
      </c>
      <c r="G6" t="s">
        <v>50</v>
      </c>
      <c r="H6" t="s">
        <v>51</v>
      </c>
      <c r="I6" t="s">
        <v>52</v>
      </c>
      <c r="J6" t="s">
        <v>38</v>
      </c>
      <c r="K6">
        <v>2</v>
      </c>
      <c r="L6">
        <v>1</v>
      </c>
      <c r="M6">
        <v>3</v>
      </c>
      <c r="N6" t="s">
        <v>67</v>
      </c>
      <c r="O6" t="s">
        <v>96</v>
      </c>
      <c r="R6" t="s">
        <v>53</v>
      </c>
      <c r="S6">
        <v>2</v>
      </c>
      <c r="T6">
        <v>1</v>
      </c>
      <c r="U6">
        <v>3</v>
      </c>
      <c r="V6" t="s">
        <v>54</v>
      </c>
      <c r="W6" t="s">
        <v>83</v>
      </c>
      <c r="Z6" t="s">
        <v>56</v>
      </c>
      <c r="AA6">
        <v>1</v>
      </c>
      <c r="AC6">
        <v>1</v>
      </c>
      <c r="AD6" t="s">
        <v>57</v>
      </c>
      <c r="AE6" t="s">
        <v>125</v>
      </c>
      <c r="AH6">
        <v>13</v>
      </c>
      <c r="AI6">
        <v>46</v>
      </c>
      <c r="AJ6">
        <v>30</v>
      </c>
      <c r="AK6">
        <v>2</v>
      </c>
    </row>
    <row r="7" spans="1:37" x14ac:dyDescent="0.25">
      <c r="A7" t="s">
        <v>201</v>
      </c>
      <c r="B7" t="s">
        <v>53</v>
      </c>
      <c r="C7">
        <v>2</v>
      </c>
      <c r="D7">
        <v>1</v>
      </c>
      <c r="E7">
        <v>1</v>
      </c>
      <c r="F7" t="s">
        <v>115</v>
      </c>
      <c r="G7" t="s">
        <v>83</v>
      </c>
      <c r="H7" t="s">
        <v>117</v>
      </c>
      <c r="J7" t="s">
        <v>56</v>
      </c>
      <c r="K7">
        <v>1</v>
      </c>
      <c r="M7">
        <v>1</v>
      </c>
      <c r="N7" t="s">
        <v>123</v>
      </c>
      <c r="R7" t="s">
        <v>33</v>
      </c>
      <c r="S7">
        <v>2</v>
      </c>
      <c r="U7">
        <v>1</v>
      </c>
      <c r="V7" t="s">
        <v>34</v>
      </c>
      <c r="Z7" t="s">
        <v>43</v>
      </c>
      <c r="AA7">
        <v>1</v>
      </c>
      <c r="AC7">
        <v>1</v>
      </c>
      <c r="AD7" t="s">
        <v>73</v>
      </c>
      <c r="AE7" t="s">
        <v>99</v>
      </c>
      <c r="AF7" t="s">
        <v>100</v>
      </c>
      <c r="AH7">
        <v>6</v>
      </c>
      <c r="AI7">
        <v>44</v>
      </c>
      <c r="AJ7">
        <v>30</v>
      </c>
      <c r="AK7">
        <v>2</v>
      </c>
    </row>
    <row r="8" spans="1:37" x14ac:dyDescent="0.25">
      <c r="A8" t="s">
        <v>202</v>
      </c>
      <c r="B8" t="s">
        <v>53</v>
      </c>
      <c r="C8">
        <v>1</v>
      </c>
      <c r="D8">
        <v>2</v>
      </c>
      <c r="E8">
        <v>1</v>
      </c>
      <c r="F8" t="s">
        <v>115</v>
      </c>
      <c r="G8" t="s">
        <v>83</v>
      </c>
      <c r="H8" t="s">
        <v>97</v>
      </c>
      <c r="J8" t="s">
        <v>56</v>
      </c>
      <c r="K8">
        <v>2</v>
      </c>
      <c r="M8">
        <v>2</v>
      </c>
      <c r="N8" t="s">
        <v>68</v>
      </c>
      <c r="O8" t="s">
        <v>69</v>
      </c>
      <c r="R8" t="s">
        <v>33</v>
      </c>
      <c r="S8">
        <v>2</v>
      </c>
      <c r="U8">
        <v>3</v>
      </c>
      <c r="V8" t="s">
        <v>34</v>
      </c>
      <c r="W8" t="s">
        <v>35</v>
      </c>
      <c r="Z8" t="s">
        <v>45</v>
      </c>
      <c r="AA8">
        <v>2</v>
      </c>
      <c r="AC8">
        <v>1</v>
      </c>
      <c r="AD8" t="s">
        <v>86</v>
      </c>
      <c r="AE8" t="s">
        <v>144</v>
      </c>
      <c r="AH8">
        <v>12</v>
      </c>
      <c r="AI8">
        <v>60</v>
      </c>
      <c r="AJ8">
        <v>30</v>
      </c>
      <c r="AK8">
        <v>2</v>
      </c>
    </row>
    <row r="9" spans="1:37" x14ac:dyDescent="0.25">
      <c r="A9" t="s">
        <v>203</v>
      </c>
      <c r="B9" t="s">
        <v>33</v>
      </c>
      <c r="C9">
        <v>2</v>
      </c>
      <c r="E9">
        <v>3</v>
      </c>
      <c r="F9" t="s">
        <v>34</v>
      </c>
      <c r="G9" t="s">
        <v>35</v>
      </c>
      <c r="J9" t="s">
        <v>63</v>
      </c>
      <c r="K9">
        <v>2</v>
      </c>
      <c r="M9">
        <v>1</v>
      </c>
      <c r="N9" t="s">
        <v>72</v>
      </c>
      <c r="R9" t="s">
        <v>53</v>
      </c>
      <c r="S9">
        <v>2</v>
      </c>
      <c r="T9">
        <v>1</v>
      </c>
      <c r="U9">
        <v>1</v>
      </c>
      <c r="V9" t="s">
        <v>54</v>
      </c>
      <c r="W9" t="s">
        <v>83</v>
      </c>
      <c r="X9" t="s">
        <v>97</v>
      </c>
      <c r="Z9" t="s">
        <v>56</v>
      </c>
      <c r="AA9">
        <v>1</v>
      </c>
      <c r="AC9">
        <v>1</v>
      </c>
      <c r="AD9" t="s">
        <v>57</v>
      </c>
      <c r="AH9">
        <v>8</v>
      </c>
      <c r="AI9">
        <v>26</v>
      </c>
      <c r="AJ9">
        <v>30</v>
      </c>
      <c r="AK9">
        <v>2</v>
      </c>
    </row>
    <row r="10" spans="1:37" x14ac:dyDescent="0.25">
      <c r="A10" t="s">
        <v>204</v>
      </c>
      <c r="B10" t="s">
        <v>53</v>
      </c>
      <c r="C10">
        <v>3</v>
      </c>
      <c r="D10">
        <v>1</v>
      </c>
      <c r="E10">
        <v>1</v>
      </c>
      <c r="F10" t="s">
        <v>114</v>
      </c>
      <c r="G10" t="s">
        <v>55</v>
      </c>
      <c r="H10" t="s">
        <v>117</v>
      </c>
      <c r="J10" t="s">
        <v>56</v>
      </c>
      <c r="K10">
        <v>1</v>
      </c>
      <c r="M10">
        <v>1</v>
      </c>
      <c r="N10" t="s">
        <v>57</v>
      </c>
      <c r="R10" t="s">
        <v>33</v>
      </c>
      <c r="S10">
        <v>3</v>
      </c>
      <c r="U10">
        <v>1</v>
      </c>
      <c r="V10" t="s">
        <v>34</v>
      </c>
      <c r="Z10" t="s">
        <v>38</v>
      </c>
      <c r="AA10">
        <v>2</v>
      </c>
      <c r="AB10">
        <v>1</v>
      </c>
      <c r="AC10">
        <v>2</v>
      </c>
      <c r="AD10" t="s">
        <v>155</v>
      </c>
      <c r="AH10">
        <v>8</v>
      </c>
      <c r="AI10">
        <v>38</v>
      </c>
      <c r="AJ10">
        <v>30</v>
      </c>
      <c r="AK10">
        <v>2</v>
      </c>
    </row>
    <row r="11" spans="1:37" x14ac:dyDescent="0.25">
      <c r="A11" t="s">
        <v>205</v>
      </c>
      <c r="B11" t="s">
        <v>53</v>
      </c>
      <c r="C11">
        <v>3</v>
      </c>
      <c r="D11">
        <v>3</v>
      </c>
      <c r="E11">
        <v>2</v>
      </c>
      <c r="F11" t="s">
        <v>115</v>
      </c>
      <c r="G11" t="s">
        <v>55</v>
      </c>
      <c r="H11" t="s">
        <v>117</v>
      </c>
      <c r="I11" t="s">
        <v>98</v>
      </c>
      <c r="J11" t="s">
        <v>56</v>
      </c>
      <c r="K11">
        <v>1</v>
      </c>
      <c r="M11">
        <v>1</v>
      </c>
      <c r="N11" t="s">
        <v>68</v>
      </c>
      <c r="R11" t="s">
        <v>43</v>
      </c>
      <c r="S11">
        <v>2</v>
      </c>
      <c r="U11">
        <v>3</v>
      </c>
      <c r="V11" t="s">
        <v>73</v>
      </c>
      <c r="W11" t="s">
        <v>74</v>
      </c>
      <c r="X11" t="s">
        <v>100</v>
      </c>
      <c r="Y11" t="s">
        <v>101</v>
      </c>
      <c r="Z11" t="s">
        <v>45</v>
      </c>
      <c r="AA11">
        <v>2</v>
      </c>
      <c r="AC11">
        <v>1</v>
      </c>
      <c r="AD11" t="s">
        <v>86</v>
      </c>
      <c r="AH11">
        <v>15</v>
      </c>
      <c r="AI11">
        <v>70</v>
      </c>
      <c r="AJ11">
        <v>30</v>
      </c>
      <c r="AK11">
        <v>2</v>
      </c>
    </row>
    <row r="12" spans="1:37" x14ac:dyDescent="0.25">
      <c r="A12" t="s">
        <v>206</v>
      </c>
      <c r="B12" t="s">
        <v>53</v>
      </c>
      <c r="C12">
        <v>2</v>
      </c>
      <c r="D12">
        <v>1</v>
      </c>
      <c r="E12">
        <v>1</v>
      </c>
      <c r="F12" t="s">
        <v>115</v>
      </c>
      <c r="G12" t="s">
        <v>83</v>
      </c>
      <c r="J12" t="s">
        <v>56</v>
      </c>
      <c r="K12">
        <v>1</v>
      </c>
      <c r="M12">
        <v>1</v>
      </c>
      <c r="N12" t="s">
        <v>68</v>
      </c>
      <c r="O12" t="s">
        <v>125</v>
      </c>
      <c r="R12" t="s">
        <v>43</v>
      </c>
      <c r="S12">
        <v>1</v>
      </c>
      <c r="U12">
        <v>2</v>
      </c>
      <c r="V12" t="s">
        <v>73</v>
      </c>
      <c r="Z12" t="s">
        <v>63</v>
      </c>
      <c r="AA12">
        <v>1</v>
      </c>
      <c r="AC12">
        <v>1</v>
      </c>
      <c r="AD12" t="s">
        <v>72</v>
      </c>
      <c r="AH12">
        <v>4</v>
      </c>
      <c r="AI12">
        <v>38</v>
      </c>
      <c r="AJ12">
        <v>30</v>
      </c>
      <c r="AK12">
        <v>2</v>
      </c>
    </row>
    <row r="13" spans="1:37" x14ac:dyDescent="0.25">
      <c r="A13" t="s">
        <v>207</v>
      </c>
      <c r="B13" t="s">
        <v>43</v>
      </c>
      <c r="C13">
        <v>3</v>
      </c>
      <c r="E13">
        <v>2</v>
      </c>
      <c r="F13" t="s">
        <v>73</v>
      </c>
      <c r="G13" t="s">
        <v>99</v>
      </c>
      <c r="J13" t="s">
        <v>38</v>
      </c>
      <c r="K13">
        <v>2</v>
      </c>
      <c r="L13">
        <v>2</v>
      </c>
      <c r="M13">
        <v>2</v>
      </c>
      <c r="N13" t="s">
        <v>67</v>
      </c>
      <c r="O13" t="s">
        <v>40</v>
      </c>
      <c r="R13" t="s">
        <v>53</v>
      </c>
      <c r="S13">
        <v>2</v>
      </c>
      <c r="T13">
        <v>1</v>
      </c>
      <c r="U13">
        <v>1</v>
      </c>
      <c r="V13" t="s">
        <v>54</v>
      </c>
      <c r="Z13" t="s">
        <v>56</v>
      </c>
      <c r="AA13">
        <v>2</v>
      </c>
      <c r="AC13">
        <v>1</v>
      </c>
      <c r="AD13" t="s">
        <v>123</v>
      </c>
      <c r="AE13" t="s">
        <v>69</v>
      </c>
      <c r="AF13" t="s">
        <v>87</v>
      </c>
      <c r="AH13">
        <v>12</v>
      </c>
      <c r="AI13">
        <v>30</v>
      </c>
      <c r="AJ13">
        <v>30</v>
      </c>
      <c r="AK13">
        <v>2</v>
      </c>
    </row>
    <row r="14" spans="1:37" x14ac:dyDescent="0.25">
      <c r="A14" t="s">
        <v>208</v>
      </c>
      <c r="B14" t="s">
        <v>53</v>
      </c>
      <c r="C14">
        <v>2</v>
      </c>
      <c r="D14">
        <v>1</v>
      </c>
      <c r="E14">
        <v>1</v>
      </c>
      <c r="F14" t="s">
        <v>54</v>
      </c>
      <c r="J14" t="s">
        <v>56</v>
      </c>
      <c r="K14">
        <v>1</v>
      </c>
      <c r="M14">
        <v>1</v>
      </c>
      <c r="N14" t="s">
        <v>123</v>
      </c>
      <c r="O14" t="s">
        <v>69</v>
      </c>
      <c r="R14" t="s">
        <v>45</v>
      </c>
      <c r="S14">
        <v>2</v>
      </c>
      <c r="U14">
        <v>1</v>
      </c>
      <c r="V14" t="s">
        <v>86</v>
      </c>
      <c r="Z14" t="s">
        <v>63</v>
      </c>
      <c r="AA14">
        <v>1</v>
      </c>
      <c r="AC14">
        <v>1</v>
      </c>
      <c r="AD14" t="s">
        <v>72</v>
      </c>
      <c r="AE14" t="s">
        <v>149</v>
      </c>
      <c r="AH14">
        <v>4</v>
      </c>
      <c r="AI14">
        <v>30</v>
      </c>
      <c r="AJ14">
        <v>30</v>
      </c>
      <c r="AK14">
        <v>2</v>
      </c>
    </row>
    <row r="15" spans="1:37" x14ac:dyDescent="0.25">
      <c r="A15" t="s">
        <v>209</v>
      </c>
      <c r="B15" t="s">
        <v>45</v>
      </c>
      <c r="C15">
        <v>3</v>
      </c>
      <c r="E15">
        <v>1</v>
      </c>
      <c r="F15" t="s">
        <v>86</v>
      </c>
      <c r="J15" t="s">
        <v>38</v>
      </c>
      <c r="K15">
        <v>3</v>
      </c>
      <c r="L15">
        <v>1</v>
      </c>
      <c r="M15">
        <v>3</v>
      </c>
      <c r="N15" t="s">
        <v>155</v>
      </c>
      <c r="R15" t="s">
        <v>53</v>
      </c>
      <c r="S15">
        <v>2</v>
      </c>
      <c r="T15">
        <v>1</v>
      </c>
      <c r="U15">
        <v>2</v>
      </c>
      <c r="V15" t="s">
        <v>54</v>
      </c>
      <c r="Z15" t="s">
        <v>56</v>
      </c>
      <c r="AA15">
        <v>2</v>
      </c>
      <c r="AC15">
        <v>1</v>
      </c>
      <c r="AD15" t="s">
        <v>57</v>
      </c>
      <c r="AE15" t="s">
        <v>69</v>
      </c>
      <c r="AF15" t="s">
        <v>85</v>
      </c>
      <c r="AH15">
        <v>11</v>
      </c>
      <c r="AI15">
        <v>30</v>
      </c>
      <c r="AJ15">
        <v>30</v>
      </c>
      <c r="AK15">
        <v>2</v>
      </c>
    </row>
    <row r="16" spans="1:37" x14ac:dyDescent="0.25">
      <c r="A16" t="s">
        <v>210</v>
      </c>
      <c r="B16" t="s">
        <v>63</v>
      </c>
      <c r="C16">
        <v>3</v>
      </c>
      <c r="E16">
        <v>2</v>
      </c>
      <c r="F16" t="s">
        <v>72</v>
      </c>
      <c r="J16" t="s">
        <v>38</v>
      </c>
      <c r="K16">
        <v>1</v>
      </c>
      <c r="L16">
        <v>1</v>
      </c>
      <c r="M16">
        <v>1</v>
      </c>
      <c r="N16" t="s">
        <v>67</v>
      </c>
      <c r="O16" t="s">
        <v>40</v>
      </c>
      <c r="P16" t="s">
        <v>156</v>
      </c>
      <c r="R16" t="s">
        <v>53</v>
      </c>
      <c r="S16">
        <v>2</v>
      </c>
      <c r="T16">
        <v>1</v>
      </c>
      <c r="U16">
        <v>1</v>
      </c>
      <c r="V16" t="s">
        <v>114</v>
      </c>
      <c r="W16" t="s">
        <v>83</v>
      </c>
      <c r="Z16" t="s">
        <v>56</v>
      </c>
      <c r="AA16">
        <v>1</v>
      </c>
      <c r="AC16">
        <v>2</v>
      </c>
      <c r="AD16" t="s">
        <v>68</v>
      </c>
      <c r="AE16" t="s">
        <v>69</v>
      </c>
      <c r="AH16">
        <v>9</v>
      </c>
      <c r="AI16">
        <v>38</v>
      </c>
      <c r="AJ16">
        <v>30</v>
      </c>
      <c r="AK16">
        <v>2</v>
      </c>
    </row>
    <row r="17" spans="1:37" x14ac:dyDescent="0.25">
      <c r="A17" t="s">
        <v>211</v>
      </c>
      <c r="B17" t="s">
        <v>56</v>
      </c>
      <c r="C17">
        <v>2</v>
      </c>
      <c r="E17">
        <v>3</v>
      </c>
      <c r="F17" t="s">
        <v>123</v>
      </c>
      <c r="G17" t="s">
        <v>69</v>
      </c>
      <c r="H17" t="s">
        <v>126</v>
      </c>
      <c r="I17" t="s">
        <v>88</v>
      </c>
      <c r="J17" t="s">
        <v>33</v>
      </c>
      <c r="K17">
        <v>3</v>
      </c>
      <c r="M17">
        <v>1</v>
      </c>
      <c r="N17" t="s">
        <v>46</v>
      </c>
      <c r="O17" t="s">
        <v>35</v>
      </c>
      <c r="R17" t="s">
        <v>53</v>
      </c>
      <c r="S17">
        <v>3</v>
      </c>
      <c r="T17">
        <v>1</v>
      </c>
      <c r="U17">
        <v>3</v>
      </c>
      <c r="V17" t="s">
        <v>54</v>
      </c>
      <c r="W17" t="s">
        <v>55</v>
      </c>
      <c r="Z17" t="s">
        <v>48</v>
      </c>
      <c r="AA17">
        <v>1</v>
      </c>
      <c r="AC17">
        <v>1</v>
      </c>
      <c r="AD17" t="s">
        <v>89</v>
      </c>
      <c r="AH17">
        <v>14</v>
      </c>
      <c r="AI17">
        <v>44</v>
      </c>
      <c r="AJ17">
        <v>30</v>
      </c>
      <c r="AK17">
        <v>2</v>
      </c>
    </row>
    <row r="18" spans="1:37" x14ac:dyDescent="0.25">
      <c r="A18" t="s">
        <v>212</v>
      </c>
      <c r="B18" t="s">
        <v>53</v>
      </c>
      <c r="C18">
        <v>2</v>
      </c>
      <c r="D18">
        <v>2</v>
      </c>
      <c r="E18">
        <v>3</v>
      </c>
      <c r="F18" t="s">
        <v>115</v>
      </c>
      <c r="G18" t="s">
        <v>55</v>
      </c>
      <c r="H18" t="s">
        <v>117</v>
      </c>
      <c r="I18" t="s">
        <v>98</v>
      </c>
      <c r="J18" t="s">
        <v>48</v>
      </c>
      <c r="K18">
        <v>2</v>
      </c>
      <c r="M18">
        <v>1</v>
      </c>
      <c r="N18" t="s">
        <v>49</v>
      </c>
      <c r="O18" t="s">
        <v>50</v>
      </c>
      <c r="R18" t="s">
        <v>56</v>
      </c>
      <c r="S18">
        <v>3</v>
      </c>
      <c r="U18">
        <v>3</v>
      </c>
      <c r="V18" t="s">
        <v>57</v>
      </c>
      <c r="W18" t="s">
        <v>69</v>
      </c>
      <c r="X18" t="s">
        <v>87</v>
      </c>
      <c r="Y18" t="s">
        <v>88</v>
      </c>
      <c r="Z18" t="s">
        <v>43</v>
      </c>
      <c r="AA18">
        <v>2</v>
      </c>
      <c r="AC18">
        <v>3</v>
      </c>
      <c r="AD18" t="s">
        <v>73</v>
      </c>
      <c r="AE18" t="s">
        <v>99</v>
      </c>
      <c r="AH18">
        <v>20</v>
      </c>
      <c r="AI18">
        <v>102</v>
      </c>
      <c r="AJ18">
        <v>30</v>
      </c>
      <c r="AK18">
        <v>2</v>
      </c>
    </row>
    <row r="19" spans="1:37" x14ac:dyDescent="0.25">
      <c r="A19" t="s">
        <v>213</v>
      </c>
      <c r="B19" t="s">
        <v>56</v>
      </c>
      <c r="C19">
        <v>1</v>
      </c>
      <c r="E19">
        <v>2</v>
      </c>
      <c r="F19" t="s">
        <v>123</v>
      </c>
      <c r="J19" t="s">
        <v>45</v>
      </c>
      <c r="K19">
        <v>3</v>
      </c>
      <c r="M19">
        <v>2</v>
      </c>
      <c r="N19" t="s">
        <v>86</v>
      </c>
      <c r="R19" t="s">
        <v>53</v>
      </c>
      <c r="S19">
        <v>2</v>
      </c>
      <c r="T19">
        <v>1</v>
      </c>
      <c r="U19">
        <v>1</v>
      </c>
      <c r="V19" t="s">
        <v>114</v>
      </c>
      <c r="W19" t="s">
        <v>83</v>
      </c>
      <c r="Z19" t="s">
        <v>48</v>
      </c>
      <c r="AA19">
        <v>1</v>
      </c>
      <c r="AC19">
        <v>1</v>
      </c>
      <c r="AD19" t="s">
        <v>49</v>
      </c>
      <c r="AE19" t="s">
        <v>84</v>
      </c>
      <c r="AH19">
        <v>7</v>
      </c>
      <c r="AI19">
        <v>39</v>
      </c>
      <c r="AJ19">
        <v>30</v>
      </c>
      <c r="AK19">
        <v>2</v>
      </c>
    </row>
    <row r="20" spans="1:37" x14ac:dyDescent="0.25">
      <c r="A20" t="s">
        <v>214</v>
      </c>
      <c r="B20" t="s">
        <v>56</v>
      </c>
      <c r="C20">
        <v>3</v>
      </c>
      <c r="E20">
        <v>1</v>
      </c>
      <c r="F20" t="s">
        <v>57</v>
      </c>
      <c r="G20" t="s">
        <v>69</v>
      </c>
      <c r="H20" t="s">
        <v>87</v>
      </c>
      <c r="J20" t="s">
        <v>63</v>
      </c>
      <c r="K20">
        <v>3</v>
      </c>
      <c r="M20">
        <v>2</v>
      </c>
      <c r="N20" t="s">
        <v>72</v>
      </c>
      <c r="R20" t="s">
        <v>53</v>
      </c>
      <c r="S20">
        <v>2</v>
      </c>
      <c r="T20">
        <v>1</v>
      </c>
      <c r="U20">
        <v>1</v>
      </c>
      <c r="V20" t="s">
        <v>54</v>
      </c>
      <c r="Z20" t="s">
        <v>48</v>
      </c>
      <c r="AA20">
        <v>1</v>
      </c>
      <c r="AC20">
        <v>2</v>
      </c>
      <c r="AD20" t="s">
        <v>49</v>
      </c>
      <c r="AE20" t="s">
        <v>84</v>
      </c>
      <c r="AF20" t="s">
        <v>90</v>
      </c>
      <c r="AG20" t="s">
        <v>52</v>
      </c>
      <c r="AH20">
        <v>12</v>
      </c>
      <c r="AI20">
        <v>54</v>
      </c>
      <c r="AJ20">
        <v>30</v>
      </c>
      <c r="AK20">
        <v>2</v>
      </c>
    </row>
    <row r="21" spans="1:37" x14ac:dyDescent="0.25">
      <c r="A21" t="s">
        <v>215</v>
      </c>
      <c r="B21" t="s">
        <v>56</v>
      </c>
      <c r="C21">
        <v>1</v>
      </c>
      <c r="E21">
        <v>1</v>
      </c>
      <c r="F21" t="s">
        <v>57</v>
      </c>
      <c r="G21" t="s">
        <v>124</v>
      </c>
      <c r="H21" t="s">
        <v>126</v>
      </c>
      <c r="I21" t="s">
        <v>128</v>
      </c>
      <c r="J21" t="s">
        <v>38</v>
      </c>
      <c r="K21">
        <v>2</v>
      </c>
      <c r="L21">
        <v>2</v>
      </c>
      <c r="M21">
        <v>1</v>
      </c>
      <c r="N21" t="s">
        <v>67</v>
      </c>
      <c r="O21" t="s">
        <v>70</v>
      </c>
      <c r="R21" t="s">
        <v>53</v>
      </c>
      <c r="S21">
        <v>2</v>
      </c>
      <c r="T21">
        <v>1</v>
      </c>
      <c r="U21">
        <v>1</v>
      </c>
      <c r="V21" t="s">
        <v>54</v>
      </c>
      <c r="Z21" t="s">
        <v>48</v>
      </c>
      <c r="AA21">
        <v>1</v>
      </c>
      <c r="AC21">
        <v>1</v>
      </c>
      <c r="AD21" t="s">
        <v>89</v>
      </c>
      <c r="AH21">
        <v>7</v>
      </c>
      <c r="AI21">
        <v>62</v>
      </c>
      <c r="AJ21">
        <v>30</v>
      </c>
      <c r="AK21">
        <v>2</v>
      </c>
    </row>
    <row r="22" spans="1:37" x14ac:dyDescent="0.25">
      <c r="A22" t="s">
        <v>216</v>
      </c>
      <c r="B22" t="s">
        <v>53</v>
      </c>
      <c r="C22">
        <v>1</v>
      </c>
      <c r="D22">
        <v>1</v>
      </c>
      <c r="E22">
        <v>1</v>
      </c>
      <c r="F22" t="s">
        <v>115</v>
      </c>
      <c r="G22" t="s">
        <v>83</v>
      </c>
      <c r="J22" t="s">
        <v>48</v>
      </c>
      <c r="K22">
        <v>3</v>
      </c>
      <c r="M22">
        <v>1</v>
      </c>
      <c r="N22" t="s">
        <v>89</v>
      </c>
      <c r="R22" t="s">
        <v>33</v>
      </c>
      <c r="S22">
        <v>1</v>
      </c>
      <c r="U22">
        <v>3</v>
      </c>
      <c r="V22" t="s">
        <v>34</v>
      </c>
      <c r="W22" t="s">
        <v>35</v>
      </c>
      <c r="Z22" t="s">
        <v>43</v>
      </c>
      <c r="AA22">
        <v>3</v>
      </c>
      <c r="AC22">
        <v>1</v>
      </c>
      <c r="AD22" t="s">
        <v>73</v>
      </c>
      <c r="AE22" t="s">
        <v>74</v>
      </c>
      <c r="AH22">
        <v>9</v>
      </c>
      <c r="AI22">
        <v>50</v>
      </c>
      <c r="AJ22">
        <v>30</v>
      </c>
      <c r="AK22">
        <v>2</v>
      </c>
    </row>
    <row r="23" spans="1:37" x14ac:dyDescent="0.25">
      <c r="A23" t="s">
        <v>217</v>
      </c>
      <c r="B23" t="s">
        <v>53</v>
      </c>
      <c r="C23">
        <v>2</v>
      </c>
      <c r="D23">
        <v>1</v>
      </c>
      <c r="E23">
        <v>1</v>
      </c>
      <c r="F23" t="s">
        <v>115</v>
      </c>
      <c r="G23" t="s">
        <v>55</v>
      </c>
      <c r="H23" t="s">
        <v>117</v>
      </c>
      <c r="J23" t="s">
        <v>48</v>
      </c>
      <c r="K23">
        <v>2</v>
      </c>
      <c r="M23">
        <v>1</v>
      </c>
      <c r="N23" t="s">
        <v>89</v>
      </c>
      <c r="R23" t="s">
        <v>33</v>
      </c>
      <c r="S23">
        <v>3</v>
      </c>
      <c r="U23">
        <v>1</v>
      </c>
      <c r="V23" t="s">
        <v>34</v>
      </c>
      <c r="Z23" t="s">
        <v>45</v>
      </c>
      <c r="AA23">
        <v>1</v>
      </c>
      <c r="AC23">
        <v>1</v>
      </c>
      <c r="AD23" t="s">
        <v>86</v>
      </c>
      <c r="AH23">
        <v>6</v>
      </c>
      <c r="AI23">
        <v>35</v>
      </c>
      <c r="AJ23">
        <v>30</v>
      </c>
      <c r="AK23">
        <v>2</v>
      </c>
    </row>
    <row r="24" spans="1:37" x14ac:dyDescent="0.25">
      <c r="A24" t="s">
        <v>218</v>
      </c>
      <c r="B24" t="s">
        <v>53</v>
      </c>
      <c r="C24">
        <v>2</v>
      </c>
      <c r="D24">
        <v>1</v>
      </c>
      <c r="E24">
        <v>3</v>
      </c>
      <c r="F24" t="s">
        <v>54</v>
      </c>
      <c r="G24" t="s">
        <v>55</v>
      </c>
      <c r="J24" t="s">
        <v>48</v>
      </c>
      <c r="K24">
        <v>1</v>
      </c>
      <c r="M24">
        <v>1</v>
      </c>
      <c r="N24" t="s">
        <v>89</v>
      </c>
      <c r="O24" t="s">
        <v>71</v>
      </c>
      <c r="R24" t="s">
        <v>33</v>
      </c>
      <c r="S24">
        <v>3</v>
      </c>
      <c r="U24">
        <v>1</v>
      </c>
      <c r="V24" t="s">
        <v>34</v>
      </c>
      <c r="Z24" t="s">
        <v>63</v>
      </c>
      <c r="AA24">
        <v>3</v>
      </c>
      <c r="AC24">
        <v>1</v>
      </c>
      <c r="AD24" t="s">
        <v>72</v>
      </c>
      <c r="AE24" t="s">
        <v>95</v>
      </c>
      <c r="AH24">
        <v>10</v>
      </c>
      <c r="AI24">
        <v>41</v>
      </c>
      <c r="AJ24">
        <v>30</v>
      </c>
      <c r="AK24">
        <v>2</v>
      </c>
    </row>
    <row r="25" spans="1:37" x14ac:dyDescent="0.25">
      <c r="A25" t="s">
        <v>219</v>
      </c>
      <c r="B25" t="s">
        <v>53</v>
      </c>
      <c r="C25">
        <v>3</v>
      </c>
      <c r="D25">
        <v>3</v>
      </c>
      <c r="E25">
        <v>3</v>
      </c>
      <c r="F25" t="s">
        <v>54</v>
      </c>
      <c r="G25" t="s">
        <v>83</v>
      </c>
      <c r="H25" t="s">
        <v>117</v>
      </c>
      <c r="I25" t="s">
        <v>118</v>
      </c>
      <c r="J25" t="s">
        <v>48</v>
      </c>
      <c r="K25">
        <v>1</v>
      </c>
      <c r="M25">
        <v>1</v>
      </c>
      <c r="N25" t="s">
        <v>49</v>
      </c>
      <c r="R25" t="s">
        <v>33</v>
      </c>
      <c r="S25">
        <v>1</v>
      </c>
      <c r="U25">
        <v>1</v>
      </c>
      <c r="V25" t="s">
        <v>46</v>
      </c>
      <c r="Z25" t="s">
        <v>38</v>
      </c>
      <c r="AA25">
        <v>3</v>
      </c>
      <c r="AB25">
        <v>1</v>
      </c>
      <c r="AC25">
        <v>3</v>
      </c>
      <c r="AD25" t="s">
        <v>67</v>
      </c>
      <c r="AE25" t="s">
        <v>40</v>
      </c>
      <c r="AF25" t="s">
        <v>41</v>
      </c>
      <c r="AG25" t="s">
        <v>159</v>
      </c>
      <c r="AH25">
        <v>16</v>
      </c>
      <c r="AI25">
        <v>77</v>
      </c>
      <c r="AJ25">
        <v>30</v>
      </c>
      <c r="AK25">
        <v>2</v>
      </c>
    </row>
    <row r="27" spans="1:37" x14ac:dyDescent="0.25">
      <c r="A27" s="4"/>
    </row>
    <row r="50" spans="1:1" x14ac:dyDescent="0.25">
      <c r="A50" s="4"/>
    </row>
    <row r="56" spans="1:1" x14ac:dyDescent="0.25">
      <c r="A56" s="4"/>
    </row>
    <row r="80" spans="1:1" x14ac:dyDescent="0.25">
      <c r="A80" s="4"/>
    </row>
    <row r="137" spans="1:1" x14ac:dyDescent="0.25">
      <c r="A137" s="4"/>
    </row>
    <row r="164" spans="1:1" x14ac:dyDescent="0.25">
      <c r="A164" s="4"/>
    </row>
  </sheetData>
  <phoneticPr fontId="3" type="noConversion"/>
  <conditionalFormatting sqref="A2:A25">
    <cfRule type="duplicateValues" dxfId="265" priority="7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workbookViewId="0">
      <selection activeCell="I14" sqref="I14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189</v>
      </c>
      <c r="I1" t="s">
        <v>185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3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1</v>
      </c>
      <c r="D2" s="3">
        <f>IF(SUM(Table712162024[[#This Row],[takes]]) &gt; 0,Table712162024[[#This Row],[takes]]/SUM(Table712162024[takes]),0)</f>
        <v>0.1875</v>
      </c>
      <c r="E2" s="3">
        <f>IF(Table712162024[[#This Row],[takes]]&gt;0,Table712162024[[#This Row],[wins]]/Table712162024[[#This Row],[takes]],0)</f>
        <v>0.33333333333333331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10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8</v>
      </c>
    </row>
    <row r="3" spans="1:9" x14ac:dyDescent="0.25">
      <c r="A3" t="s">
        <v>138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0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0</v>
      </c>
      <c r="D3" s="3">
        <f>IF(SUM(Table712162024[[#This Row],[takes]]) &gt; 0,Table712162024[[#This Row],[takes]]/SUM(Table712162024[takes]),0)</f>
        <v>0</v>
      </c>
      <c r="E3" s="3">
        <f>IF(Table712162024[[#This Row],[takes]]&gt;0,Table712162024[[#This Row],[wins]]/Table712162024[[#This Row],[takes]],0)</f>
        <v>0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2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4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13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3</v>
      </c>
      <c r="D4" s="3">
        <f>IF(SUM(Table712162024[[#This Row],[takes]]) &gt; 0,Table712162024[[#This Row],[takes]]/SUM(Table712162024[takes]),0)</f>
        <v>0.8125</v>
      </c>
      <c r="E4" s="3">
        <f>IF(Table712162024[[#This Row],[takes]]&gt;0,Table712162024[[#This Row],[wins]]/Table712162024[[#This Row],[takes]],0)</f>
        <v>0.23076923076923078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4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4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7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1</v>
      </c>
      <c r="D7" s="16">
        <f>IF(SUM(Table813172125[[#This Row],[takes]]) &gt; 0,Table813172125[[#This Row],[takes]]/SUM(Table813172125[takes]),0)</f>
        <v>0.5</v>
      </c>
      <c r="E7" s="16">
        <f>IF(Table813172125[[#This Row],[takes]]&gt;0,Table813172125[[#This Row],[wins]]/Table813172125[[#This Row],[takes]],0)</f>
        <v>0.14285714285714285</v>
      </c>
    </row>
    <row r="8" spans="1:9" x14ac:dyDescent="0.25">
      <c r="A8" t="s">
        <v>139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0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0</v>
      </c>
      <c r="D8" s="3">
        <f>IF(SUM(Table813172125[[#This Row],[takes]]) &gt; 0,Table813172125[[#This Row],[takes]]/SUM(Table813172125[takes]),0)</f>
        <v>0</v>
      </c>
      <c r="E8" s="3">
        <f>IF(Table813172125[[#This Row],[takes]]&gt;0,Table813172125[[#This Row],[wins]]/Table813172125[[#This Row],[takes]],0)</f>
        <v>0</v>
      </c>
    </row>
    <row r="9" spans="1:9" x14ac:dyDescent="0.25">
      <c r="A9" s="14" t="s">
        <v>99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7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2</v>
      </c>
      <c r="D9" s="17">
        <f>IF(SUM(Table813172125[[#This Row],[takes]]) &gt; 0,Table813172125[[#This Row],[takes]]/SUM(Table813172125[takes]),0)</f>
        <v>0.5</v>
      </c>
      <c r="E9" s="17">
        <f>IF(Table813172125[[#This Row],[takes]]&gt;0,Table813172125[[#This Row],[wins]]/Table813172125[[#This Row],[takes]],0)</f>
        <v>0.2857142857142857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140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2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</v>
      </c>
      <c r="D12" s="18">
        <f>IF(SUM(Table914182226[[#This Row],[takes]]) &gt; 0,Table914182226[[#This Row],[takes]]/SUM(Table914182226[takes]),0)</f>
        <v>0.2857142857142857</v>
      </c>
      <c r="E12" s="18">
        <f>IF(Table914182226[[#This Row],[takes]]&gt;0,Table914182226[[#This Row],[wins]]/Table914182226[[#This Row],[takes]],0)</f>
        <v>0.5</v>
      </c>
    </row>
    <row r="13" spans="1:9" x14ac:dyDescent="0.25">
      <c r="A13" s="2" t="s">
        <v>100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3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0</v>
      </c>
      <c r="D13" s="16">
        <f>IF(SUM(Table914182226[[#This Row],[takes]]) &gt; 0,Table914182226[[#This Row],[takes]]/SUM(Table914182226[takes]),0)</f>
        <v>0.42857142857142855</v>
      </c>
      <c r="E13" s="16">
        <f>IF(Table914182226[[#This Row],[takes]]&gt;0,Table914182226[[#This Row],[wins]]/Table914182226[[#This Row],[takes]],0)</f>
        <v>0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2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0</v>
      </c>
      <c r="D14" s="19">
        <f>IF(SUM(Table914182226[[#This Row],[takes]]) &gt; 0,Table914182226[[#This Row],[takes]]/SUM(Table914182226[takes]),0)</f>
        <v>0.2857142857142857</v>
      </c>
      <c r="E14" s="19">
        <f>IF(Table914182226[[#This Row],[takes]]&gt;0,Table914182226[[#This Row],[wins]]/Table914182226[[#This Row],[takes]],0)</f>
        <v>0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141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0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0</v>
      </c>
      <c r="D17" s="16">
        <f>IF(SUM(Table1015192327[[#This Row],[takes]]) &gt; 0,Table1015192327[[#This Row],[takes]]/SUM(Table1015192327[takes]),0)</f>
        <v>0</v>
      </c>
      <c r="E17" s="16">
        <f>IF(Table1015192327[[#This Row],[takes]]&gt;0,Table1015192327[[#This Row],[wins]]/Table1015192327[[#This Row],[takes]],0)</f>
        <v>0</v>
      </c>
    </row>
    <row r="18" spans="1:5" x14ac:dyDescent="0.25">
      <c r="A18" s="2" t="s">
        <v>101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3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0</v>
      </c>
      <c r="D18" s="16">
        <f>IF(SUM(Table1015192327[[#This Row],[takes]]) &gt; 0,Table1015192327[[#This Row],[takes]]/SUM(Table1015192327[takes]),0)</f>
        <v>1</v>
      </c>
      <c r="E18" s="16">
        <f>IF(Table1015192327[[#This Row],[takes]]&gt;0,Table1015192327[[#This Row],[wins]]/Table1015192327[[#This Row],[takes]],0)</f>
        <v>0</v>
      </c>
    </row>
    <row r="19" spans="1:5" x14ac:dyDescent="0.25">
      <c r="A19" s="14" t="s">
        <v>142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0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0</v>
      </c>
      <c r="D19" s="17">
        <f>IF(SUM(Table1015192327[[#This Row],[takes]]) &gt; 0,Table1015192327[[#This Row],[takes]]/SUM(Table1015192327[takes]),0)</f>
        <v>0</v>
      </c>
      <c r="E19" s="17">
        <f>IF(Table1015192327[[#This Row],[takes]]&gt;0,Table1015192327[[#This Row],[wins]]/Table1015192327[[#This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G19" sqref="G19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190</v>
      </c>
      <c r="I1" t="s">
        <v>185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0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0</v>
      </c>
      <c r="D2" s="3">
        <f>IF(SUM(Table71216202428[[#This Row],[takes]]) &gt; 0,Table71216202428[[#This Row],[takes]]/SUM(Table71216202428[takes]),0)</f>
        <v>0</v>
      </c>
      <c r="E2" s="3">
        <f>IF(Table71216202428[[#This Row],[takes]]&gt;0,Table71216202428[[#This Row],[wins]]/Table71216202428[[#This Row],[takes]],0)</f>
        <v>0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2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12</v>
      </c>
    </row>
    <row r="3" spans="1:9" x14ac:dyDescent="0.25">
      <c r="A3" t="s">
        <v>86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11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2</v>
      </c>
      <c r="D3" s="3">
        <f>IF(SUM(Table71216202428[[#This Row],[takes]]) &gt; 0,Table71216202428[[#This Row],[takes]]/SUM(Table71216202428[takes]),0)</f>
        <v>0.6875</v>
      </c>
      <c r="E3" s="3">
        <f>IF(Table71216202428[[#This Row],[takes]]&gt;0,Table71216202428[[#This Row],[wins]]/Table71216202428[[#This Row],[takes]],0)</f>
        <v>0.18181818181818182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6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3</v>
      </c>
    </row>
    <row r="4" spans="1:9" x14ac:dyDescent="0.25">
      <c r="A4" t="s">
        <v>143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5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2</v>
      </c>
      <c r="D4" s="3">
        <f>IF(SUM(Table71216202428[[#This Row],[takes]]) &gt; 0,Table71216202428[[#This Row],[takes]]/SUM(Table71216202428[takes]),0)</f>
        <v>0.3125</v>
      </c>
      <c r="E4" s="3">
        <f>IF(Table71216202428[[#This Row],[takes]]&gt;0,Table71216202428[[#This Row],[wins]]/Table71216202428[[#This Row],[takes]],0)</f>
        <v>0.4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8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1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144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5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</v>
      </c>
      <c r="D7" s="16">
        <f>IF(SUM(Table81317212529[[#This Row],[takes]]) &gt; 0,Table81317212529[[#This Row],[takes]]/SUM(Table81317212529[takes]),0)</f>
        <v>0.45454545454545453</v>
      </c>
      <c r="E7" s="16">
        <f>IF(Table81317212529[[#This Row],[takes]]&gt;0,Table81317212529[[#This Row],[wins]]/Table81317212529[[#This Row],[takes]],0)</f>
        <v>0.2</v>
      </c>
    </row>
    <row r="8" spans="1:9" x14ac:dyDescent="0.25">
      <c r="A8" t="s">
        <v>92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3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0</v>
      </c>
      <c r="D8" s="3">
        <f>IF(SUM(Table81317212529[[#This Row],[takes]]) &gt; 0,Table81317212529[[#This Row],[takes]]/SUM(Table81317212529[takes]),0)</f>
        <v>0.27272727272727271</v>
      </c>
      <c r="E8" s="3">
        <f>IF(Table81317212529[[#This Row],[takes]]&gt;0,Table81317212529[[#This Row],[wins]]/Table81317212529[[#This Row],[takes]],0)</f>
        <v>0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3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</v>
      </c>
      <c r="D9" s="17">
        <f>IF(SUM(Table81317212529[[#This Row],[takes]]) &gt; 0,Table81317212529[[#This Row],[takes]]/SUM(Table81317212529[takes]),0)</f>
        <v>0.27272727272727271</v>
      </c>
      <c r="E9" s="17">
        <f>IF(Table81317212529[[#This Row],[takes]]&gt;0,Table81317212529[[#This Row],[wins]]/Table81317212529[[#This Row],[takes]],0)</f>
        <v>0.33333333333333331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102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3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</v>
      </c>
      <c r="D12" s="18">
        <f>IF(SUM(Table91418222630[[#This Row],[takes]]) &gt; 0,Table91418222630[[#This Row],[takes]]/SUM(Table91418222630[takes]),0)</f>
        <v>0.6</v>
      </c>
      <c r="E12" s="18">
        <f>IF(Table91418222630[[#This Row],[takes]]&gt;0,Table91418222630[[#This Row],[wins]]/Table91418222630[[#This Row],[takes]],0)</f>
        <v>0.33333333333333331</v>
      </c>
    </row>
    <row r="13" spans="1:9" x14ac:dyDescent="0.25">
      <c r="A13" s="2" t="s">
        <v>145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1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0</v>
      </c>
      <c r="D13" s="16">
        <f>IF(SUM(Table91418222630[[#This Row],[takes]]) &gt; 0,Table91418222630[[#This Row],[takes]]/SUM(Table91418222630[takes]),0)</f>
        <v>0.2</v>
      </c>
      <c r="E13" s="16">
        <f>IF(Table91418222630[[#This Row],[takes]]&gt;0,Table91418222630[[#This Row],[wins]]/Table91418222630[[#This Row],[takes]],0)</f>
        <v>0</v>
      </c>
    </row>
    <row r="14" spans="1:9" x14ac:dyDescent="0.25">
      <c r="A14" s="15" t="s">
        <v>93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1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0</v>
      </c>
      <c r="D14" s="19">
        <f>IF(SUM(Table91418222630[[#This Row],[takes]]) &gt; 0,Table91418222630[[#This Row],[takes]]/SUM(Table91418222630[takes]),0)</f>
        <v>0.2</v>
      </c>
      <c r="E14" s="19">
        <f>IF(Table91418222630[[#This Row],[takes]]&gt;0,Table91418222630[[#This Row],[wins]]/Table91418222630[[#This Row],[takes]],0)</f>
        <v>0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146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2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0</v>
      </c>
      <c r="D17" s="16">
        <f>IF(SUM(Table101519232731[[#This Row],[takes]]) &gt; 0,Table101519232731[[#This Row],[takes]]/SUM(Table101519232731[takes]),0)</f>
        <v>0.5</v>
      </c>
      <c r="E17" s="16">
        <f>IF(Table101519232731[[#This Row],[takes]]&gt;0,Table101519232731[[#This Row],[wins]]/Table101519232731[[#This Row],[takes]],0)</f>
        <v>0</v>
      </c>
    </row>
    <row r="18" spans="1:5" x14ac:dyDescent="0.25">
      <c r="A18" s="2" t="s">
        <v>147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2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0</v>
      </c>
      <c r="D18" s="16">
        <f>IF(SUM(Table101519232731[[#This Row],[takes]]) &gt; 0,Table101519232731[[#This Row],[takes]]/SUM(Table101519232731[takes]),0)</f>
        <v>0.5</v>
      </c>
      <c r="E18" s="16">
        <f>IF(Table101519232731[[#This Row],[takes]]&gt;0,Table101519232731[[#This Row],[wins]]/Table101519232731[[#This Row],[takes]],0)</f>
        <v>0</v>
      </c>
    </row>
    <row r="19" spans="1:5" x14ac:dyDescent="0.25">
      <c r="A19" s="14" t="s">
        <v>94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0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0</v>
      </c>
      <c r="D19" s="17">
        <f>IF(SUM(Table101519232731[[#This Row],[takes]]) &gt; 0,Table101519232731[[#This Row],[takes]]/SUM(Table101519232731[takes]),0)</f>
        <v>0</v>
      </c>
      <c r="E19" s="17">
        <f>IF(Table101519232731[[#This Row],[takes]]&gt;0,Table101519232731[[#This Row],[wins]]/Table101519232731[[#This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F19" sqref="F19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191</v>
      </c>
      <c r="I1" t="s">
        <v>185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13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6</v>
      </c>
      <c r="D2" s="3">
        <f>IF(SUM(Table7121620242832[[#This Row],[takes]]) &gt; 0,Table7121620242832[[#This Row],[takes]]/SUM(Table7121620242832[takes]),0)</f>
        <v>0.8666666666666667</v>
      </c>
      <c r="E2" s="3">
        <f>IF(Table7121620242832[[#This Row],[takes]]&gt;0,Table7121620242832[[#This Row],[wins]]/Table7121620242832[[#This Row],[takes]],0)</f>
        <v>0.46153846153846156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4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8</v>
      </c>
    </row>
    <row r="3" spans="1:9" x14ac:dyDescent="0.25">
      <c r="A3" t="s">
        <v>148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0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0</v>
      </c>
      <c r="D3" s="3">
        <f>IF(SUM(Table7121620242832[[#This Row],[takes]]) &gt; 0,Table7121620242832[[#This Row],[takes]]/SUM(Table7121620242832[takes]),0)</f>
        <v>0</v>
      </c>
      <c r="E3" s="3">
        <f>IF(Table7121620242832[[#This Row],[takes]]&gt;0,Table7121620242832[[#This Row],[wins]]/Table7121620242832[[#This Row],[takes]],0)</f>
        <v>0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3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4</v>
      </c>
    </row>
    <row r="4" spans="1:9" x14ac:dyDescent="0.25">
      <c r="A4" t="s">
        <v>103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2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0</v>
      </c>
      <c r="D4" s="3">
        <f>IF(SUM(Table7121620242832[[#This Row],[takes]]) &gt; 0,Table7121620242832[[#This Row],[takes]]/SUM(Table7121620242832[takes]),0)</f>
        <v>0.13333333333333333</v>
      </c>
      <c r="E4" s="3">
        <f>IF(Table7121620242832[[#This Row],[takes]]&gt;0,Table7121620242832[[#This Row],[wins]]/Table7121620242832[[#This Row],[takes]],0)</f>
        <v>0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8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3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95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2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0</v>
      </c>
      <c r="D7" s="16">
        <f>IF(SUM(Table8131721252933[[#This Row],[takes]]) &gt; 0,Table8131721252933[[#This Row],[takes]]/SUM(Table8131721252933[takes]),0)</f>
        <v>0.33333333333333331</v>
      </c>
      <c r="E7" s="16">
        <f>IF(Table8131721252933[[#This Row],[takes]]&gt;0,Table8131721252933[[#This Row],[wins]]/Table8131721252933[[#This Row],[takes]],0)</f>
        <v>0</v>
      </c>
    </row>
    <row r="8" spans="1:9" x14ac:dyDescent="0.25">
      <c r="A8" t="s">
        <v>149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1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0</v>
      </c>
      <c r="D8" s="3">
        <f>IF(SUM(Table8131721252933[[#This Row],[takes]]) &gt; 0,Table8131721252933[[#This Row],[takes]]/SUM(Table8131721252933[takes]),0)</f>
        <v>0.16666666666666666</v>
      </c>
      <c r="E8" s="3">
        <f>IF(Table8131721252933[[#This Row],[takes]]&gt;0,Table8131721252933[[#This Row],[wins]]/Table8131721252933[[#This Row],[takes]],0)</f>
        <v>0</v>
      </c>
    </row>
    <row r="9" spans="1:9" x14ac:dyDescent="0.25">
      <c r="A9" s="14" t="s">
        <v>91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3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1</v>
      </c>
      <c r="D9" s="17">
        <f>IF(SUM(Table8131721252933[[#This Row],[takes]]) &gt; 0,Table8131721252933[[#This Row],[takes]]/SUM(Table8131721252933[takes]),0)</f>
        <v>0.5</v>
      </c>
      <c r="E9" s="17">
        <f>IF(Table8131721252933[[#This Row],[takes]]&gt;0,Table8131721252933[[#This Row],[wins]]/Table8131721252933[[#This Row],[takes]],0)</f>
        <v>0.33333333333333331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104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3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0</v>
      </c>
      <c r="D12" s="18">
        <f>IF(SUM(Table9141822263034[[#This Row],[takes]]) &gt; 0,Table9141822263034[[#This Row],[takes]]/SUM(Table9141822263034[takes]),0)</f>
        <v>0.75</v>
      </c>
      <c r="E12" s="18">
        <f>IF(Table9141822263034[[#This Row],[takes]]&gt;0,Table9141822263034[[#This Row],[wins]]/Table9141822263034[[#This Row],[takes]],0)</f>
        <v>0</v>
      </c>
    </row>
    <row r="13" spans="1:9" x14ac:dyDescent="0.25">
      <c r="A13" s="2" t="s">
        <v>150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1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</v>
      </c>
      <c r="D13" s="16">
        <f>IF(SUM(Table9141822263034[[#This Row],[takes]]) &gt; 0,Table9141822263034[[#This Row],[takes]]/SUM(Table9141822263034[takes]),0)</f>
        <v>0.25</v>
      </c>
      <c r="E13" s="16">
        <f>IF(Table9141822263034[[#This Row],[takes]]&gt;0,Table9141822263034[[#This Row],[wins]]/Table9141822263034[[#This Row],[takes]],0)</f>
        <v>1</v>
      </c>
    </row>
    <row r="14" spans="1:9" x14ac:dyDescent="0.25">
      <c r="A14" s="15" t="s">
        <v>151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0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0</v>
      </c>
      <c r="D14" s="19">
        <f>IF(SUM(Table9141822263034[[#This Row],[takes]]) &gt; 0,Table9141822263034[[#This Row],[takes]]/SUM(Table9141822263034[takes]),0)</f>
        <v>0</v>
      </c>
      <c r="E14" s="19">
        <f>IF(Table9141822263034[[#This Row],[takes]]&gt;0,Table9141822263034[[#This Row],[wins]]/Table9141822263034[[#This Row],[takes]],0)</f>
        <v>0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152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0</v>
      </c>
      <c r="D17" s="16">
        <f>IF(SUM(Table10151923273135[[#This Row],[takes]]) &gt; 0,Table10151923273135[[#This Row],[takes]]/SUM(Table10151923273135[takes]),0)</f>
        <v>0.5</v>
      </c>
      <c r="E17" s="16">
        <f>IF(Table10151923273135[[#This Row],[takes]]&gt;0,Table10151923273135[[#This Row],[wins]]/Table10151923273135[[#This Row],[takes]],0)</f>
        <v>0</v>
      </c>
    </row>
    <row r="18" spans="1:5" x14ac:dyDescent="0.25">
      <c r="A18" s="2" t="s">
        <v>153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0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0</v>
      </c>
      <c r="D18" s="16">
        <f>IF(SUM(Table10151923273135[[#This Row],[takes]]) &gt; 0,Table10151923273135[[#This Row],[takes]]/SUM(Table10151923273135[takes]),0)</f>
        <v>0</v>
      </c>
      <c r="E18" s="16">
        <f>IF(Table10151923273135[[#This Row],[takes]]&gt;0,Table10151923273135[[#This Row],[wins]]/Table10151923273135[[#This Row],[takes]],0)</f>
        <v>0</v>
      </c>
    </row>
    <row r="19" spans="1:5" x14ac:dyDescent="0.25">
      <c r="A19" s="14" t="s">
        <v>154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0</v>
      </c>
      <c r="D19" s="17">
        <f>IF(SUM(Table10151923273135[[#This Row],[takes]]) &gt; 0,Table10151923273135[[#This Row],[takes]]/SUM(Table10151923273135[takes]),0)</f>
        <v>0.5</v>
      </c>
      <c r="E19" s="17">
        <f>IF(Table10151923273135[[#This Row],[takes]]&gt;0,Table10151923273135[[#This Row],[wins]]/Table10151923273135[[#This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workbookViewId="0">
      <selection activeCell="I15" sqref="I15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192</v>
      </c>
      <c r="I1" t="s">
        <v>193</v>
      </c>
      <c r="J1" t="s">
        <v>185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12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8</v>
      </c>
      <c r="D2" s="3">
        <f>IF(SUM(Table712162024283236[[#This Row],[takes]]) &gt; 0,Table712162024283236[[#This Row],[takes]]/SUM(Table712162024283236[takes]),0)</f>
        <v>0.8</v>
      </c>
      <c r="E2" s="3">
        <f>IF(Table712162024283236[[#This Row],[takes]]&gt;0,Table712162024283236[[#This Row],[wins]]/Table712162024283236[[#This Row],[takes]],0)</f>
        <v>0.66666666666666663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2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9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4</v>
      </c>
    </row>
    <row r="3" spans="1:10" x14ac:dyDescent="0.25">
      <c r="A3" t="s">
        <v>155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3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2</v>
      </c>
      <c r="D3" s="3">
        <f>IF(SUM(Table712162024283236[[#This Row],[takes]]) &gt; 0,Table712162024283236[[#This Row],[takes]]/SUM(Table712162024283236[takes]),0)</f>
        <v>0.2</v>
      </c>
      <c r="E3" s="3">
        <f>IF(Table712162024283236[[#This Row],[takes]]&gt;0,Table712162024283236[[#This Row],[wins]]/Table712162024283236[[#This Row],[takes]],0)</f>
        <v>0.66666666666666663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8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5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5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0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0</v>
      </c>
      <c r="D4" s="3">
        <f>IF(SUM(Table712162024283236[[#This Row],[takes]]) &gt; 0,Table712162024283236[[#This Row],[takes]]/SUM(Table712162024283236[takes]),0)</f>
        <v>0</v>
      </c>
      <c r="E4" s="3">
        <f>IF(Table712162024283236[[#This Row],[takes]]&gt;0,Table712162024283236[[#This Row],[wins]]/Table712162024283236[[#This Row],[takes]],0)</f>
        <v>0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5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1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6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6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2</v>
      </c>
      <c r="D7" s="16">
        <f>IF(SUM(Table813172125293337[[#This Row],[takes]]) &gt; 0,Table813172125293337[[#This Row],[takes]]/SUM(Table813172125293337[takes]),0)</f>
        <v>0.46153846153846156</v>
      </c>
      <c r="E7" s="16">
        <f>IF(Table813172125293337[[#This Row],[takes]]&gt;0,Table813172125293337[[#This Row],[wins]]/Table813172125293337[[#This Row],[takes]],0)</f>
        <v>0.33333333333333331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4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4</v>
      </c>
      <c r="D8" s="3">
        <f>IF(SUM(Table813172125293337[[#This Row],[takes]]) &gt; 0,Table813172125293337[[#This Row],[takes]]/SUM(Table813172125293337[takes]),0)</f>
        <v>0.30769230769230771</v>
      </c>
      <c r="E8" s="3">
        <f>IF(Table813172125293337[[#This Row],[takes]]&gt;0,Table813172125293337[[#This Row],[wins]]/Table813172125293337[[#This Row],[takes]],0)</f>
        <v>1</v>
      </c>
    </row>
    <row r="9" spans="1:10" x14ac:dyDescent="0.25">
      <c r="A9" s="14" t="s">
        <v>96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3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3</v>
      </c>
      <c r="D9" s="17">
        <f>IF(SUM(Table813172125293337[[#This Row],[takes]]) &gt; 0,Table813172125293337[[#This Row],[takes]]/SUM(Table813172125293337[takes]),0)</f>
        <v>0.23076923076923078</v>
      </c>
      <c r="E9" s="17">
        <f>IF(Table813172125293337[[#This Row],[takes]]&gt;0,Table813172125293337[[#This Row],[wins]]/Table813172125293337[[#This Row],[takes]],0)</f>
        <v>1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3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1</v>
      </c>
      <c r="D12" s="18">
        <f>IF(SUM(Table914182226303438[[#This Row],[takes]]) &gt; 0,Table914182226303438[[#This Row],[takes]]/SUM(Table914182226303438[takes]),0)</f>
        <v>0.375</v>
      </c>
      <c r="E12" s="18">
        <f>IF(Table914182226303438[[#This Row],[takes]]&gt;0,Table914182226303438[[#This Row],[wins]]/Table914182226303438[[#This Row],[takes]],0)</f>
        <v>0.33333333333333331</v>
      </c>
    </row>
    <row r="13" spans="1:10" x14ac:dyDescent="0.25">
      <c r="A13" s="2" t="s">
        <v>156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1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1</v>
      </c>
      <c r="D13" s="16">
        <f>IF(SUM(Table914182226303438[[#This Row],[takes]]) &gt; 0,Table914182226303438[[#This Row],[takes]]/SUM(Table914182226303438[takes]),0)</f>
        <v>0.125</v>
      </c>
      <c r="E13" s="16">
        <f>IF(Table914182226303438[[#This Row],[takes]]&gt;0,Table914182226303438[[#This Row],[wins]]/Table914182226303438[[#This Row],[takes]],0)</f>
        <v>1</v>
      </c>
    </row>
    <row r="14" spans="1:10" x14ac:dyDescent="0.25">
      <c r="A14" s="15" t="s">
        <v>157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4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3</v>
      </c>
      <c r="D14" s="19">
        <f>IF(SUM(Table914182226303438[[#This Row],[takes]]) &gt; 0,Table914182226303438[[#This Row],[takes]]/SUM(Table914182226303438[takes]),0)</f>
        <v>0.5</v>
      </c>
      <c r="E14" s="19">
        <f>IF(Table914182226303438[[#This Row],[takes]]&gt;0,Table914182226303438[[#This Row],[wins]]/Table914182226303438[[#This Row],[takes]],0)</f>
        <v>0.75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158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0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0</v>
      </c>
      <c r="D17" s="16">
        <f>IF(SUM(Table1015192327313539[[#This Row],[takes]]) &gt; 0,Table1015192327313539[[#This Row],[takes]]/SUM(Table1015192327313539[takes]),0)</f>
        <v>0</v>
      </c>
      <c r="E17" s="16">
        <f>IF(Table1015192327313539[[#This Row],[takes]]&gt;0,Table1015192327313539[[#This Row],[wins]]/Table1015192327313539[[#This Row],[takes]],0)</f>
        <v>0</v>
      </c>
    </row>
    <row r="18" spans="1:5" x14ac:dyDescent="0.25">
      <c r="A18" s="2" t="s">
        <v>159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6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3</v>
      </c>
      <c r="D18" s="16">
        <f>IF(SUM(Table1015192327313539[[#This Row],[takes]]) &gt; 0,Table1015192327313539[[#This Row],[takes]]/SUM(Table1015192327313539[takes]),0)</f>
        <v>1</v>
      </c>
      <c r="E18" s="16">
        <f>IF(Table1015192327313539[[#This Row],[takes]]&gt;0,Table1015192327313539[[#This Row],[wins]]/Table1015192327313539[[#This Row],[takes]],0)</f>
        <v>0.5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0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0</v>
      </c>
      <c r="D19" s="17">
        <f>IF(SUM(Table1015192327313539[[#This Row],[takes]]) &gt; 0,Table1015192327313539[[#This Row],[takes]]/SUM(Table1015192327313539[takes]),0)</f>
        <v>0</v>
      </c>
      <c r="E19" s="17">
        <f>IF(Table1015192327313539[[#This Row],[takes]]&gt;0,Table1015192327313539[[#This Row],[wins]]/Table1015192327313539[[#This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topLeftCell="B1" workbookViewId="0">
      <selection activeCell="P9" sqref="P9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178</v>
      </c>
      <c r="P1" s="7">
        <f>MIN(Таблица1[crystals])</f>
        <v>4</v>
      </c>
      <c r="R1" t="s">
        <v>109</v>
      </c>
      <c r="S1" s="10" t="s">
        <v>110</v>
      </c>
      <c r="T1" s="5" t="s">
        <v>111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6" t="s">
        <v>107</v>
      </c>
      <c r="P2" s="7">
        <f>AVERAGE(Таблица1[crystals])</f>
        <v>10.333333333333334</v>
      </c>
      <c r="R2">
        <v>30000</v>
      </c>
      <c r="S2" s="10">
        <f>Table6[[#This Row],[Think Time]]*$P$6/1000/60</f>
        <v>24.354166666666668</v>
      </c>
      <c r="T2" s="10">
        <f>Table6[[#This Row],[Estimated Battle Time (mins)]]*COUNTA(Таблица2[hero-1])/60</f>
        <v>85.239583333333329</v>
      </c>
    </row>
    <row r="3" spans="1:20" ht="15.75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3" s="3">
        <f>IF(Table3[[#This Row],[battles]],Table3[[#This Row],[wins]]/Table3[[#This Row],[battles]],0)</f>
        <v>0.66666666666666663</v>
      </c>
      <c r="O3" s="6" t="s">
        <v>180</v>
      </c>
      <c r="P3" s="7">
        <f>MAX(Таблица1[crystals])</f>
        <v>20</v>
      </c>
      <c r="R3">
        <v>60000</v>
      </c>
      <c r="S3" s="10">
        <f>Table6[[#This Row],[Think Time]]*$P$6/1000/60</f>
        <v>48.708333333333336</v>
      </c>
      <c r="T3" s="10">
        <f>Table6[[#This Row],[Estimated Battle Time (mins)]]*COUNTA(Таблица2[hero-1])/60</f>
        <v>170.47916666666666</v>
      </c>
    </row>
    <row r="4" spans="1:20" ht="15.75" thickBot="1" x14ac:dyDescent="0.3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9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4" s="3">
        <f>IF(Table3[[#This Row],[battles]],Table3[[#This Row],[wins]]/Table3[[#This Row],[battles]],0)</f>
        <v>0.55555555555555558</v>
      </c>
      <c r="R4">
        <v>120000</v>
      </c>
      <c r="S4" s="10">
        <f>Table6[[#This Row],[Think Time]]*$P$6/1000/60</f>
        <v>97.416666666666671</v>
      </c>
      <c r="T4" s="10">
        <f>Table6[[#This Row],[Estimated Battle Time (mins)]]*COUNTA(Таблица2[hero-1])/60</f>
        <v>340.95833333333331</v>
      </c>
    </row>
    <row r="5" spans="1:20" ht="15.75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0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5" s="3">
        <f>IF(Table3[[#This Row],[battles]],Table3[[#This Row],[wins]]/Table3[[#This Row],[battles]],0)</f>
        <v>0</v>
      </c>
      <c r="O5" s="6" t="s">
        <v>179</v>
      </c>
      <c r="P5" s="7">
        <f>MIN(Таблица1[turns])</f>
        <v>26</v>
      </c>
      <c r="T5" s="10"/>
    </row>
    <row r="6" spans="1:20" ht="15.75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0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6" s="3">
        <f>IF(Table3[[#This Row],[battles]],Table3[[#This Row],[wins]]/Table3[[#This Row],[battles]],0)</f>
        <v>0</v>
      </c>
      <c r="O6" s="8" t="s">
        <v>108</v>
      </c>
      <c r="P6" s="9">
        <f>AVERAGE(Таблица1[turns])</f>
        <v>48.708333333333336</v>
      </c>
      <c r="T6" s="10"/>
    </row>
    <row r="7" spans="1:20" ht="15.75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0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7" s="3">
        <f>IF(Table3[[#This Row],[battles]],Table3[[#This Row],[wins]]/Table3[[#This Row],[battles]],0)</f>
        <v>0</v>
      </c>
      <c r="O7" s="8" t="s">
        <v>181</v>
      </c>
      <c r="P7" s="9">
        <f>MAX(Таблица1[turns])</f>
        <v>102</v>
      </c>
    </row>
    <row r="8" spans="1:20" x14ac:dyDescent="0.25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0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8" s="3">
        <f>IF(Table3[[#This Row],[battles]],Table3[[#This Row],[wins]]/Table3[[#This Row],[battles]],0)</f>
        <v>0</v>
      </c>
    </row>
    <row r="9" spans="1:20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0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9" s="3">
        <f>IF(Table3[[#This Row],[battles]],Table3[[#This Row],[wins]]/Table3[[#This Row],[battles]],0)</f>
        <v>0</v>
      </c>
    </row>
    <row r="10" spans="1:20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0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0" s="3">
        <f>IF(Table3[[#This Row],[battles]],Table3[[#This Row],[wins]]/Table3[[#This Row],[battles]],0)</f>
        <v>0</v>
      </c>
    </row>
    <row r="11" spans="1:20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1" s="3">
        <f>IF(Table3[[#This Row],[battles]],Table3[[#This Row],[wins]]/Table3[[#This Row],[battles]],0)</f>
        <v>1</v>
      </c>
    </row>
    <row r="12" spans="1:20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2" s="3">
        <f>IF(Table3[[#This Row],[battles]],Table3[[#This Row],[wins]]/Table3[[#This Row],[battles]],0)</f>
        <v>0</v>
      </c>
    </row>
    <row r="13" spans="1:20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3" s="3">
        <f>IF(Table3[[#This Row],[battles]],Table3[[#This Row],[wins]]/Table3[[#This Row],[battles]],0)</f>
        <v>1</v>
      </c>
    </row>
    <row r="14" spans="1:20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4" s="3">
        <f>IF(Table3[[#This Row],[battles]],Table3[[#This Row],[wins]]/Table3[[#This Row],[battles]],0)</f>
        <v>1</v>
      </c>
    </row>
    <row r="15" spans="1:20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5" s="3">
        <f>IF(Table3[[#This Row],[battles]],Table3[[#This Row],[wins]]/Table3[[#This Row],[battles]],0)</f>
        <v>1</v>
      </c>
    </row>
    <row r="16" spans="1:20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6" s="3">
        <f>IF(Table3[[#This Row],[battles]],Table3[[#This Row],[wins]]/Table3[[#This Row],[battles]],0)</f>
        <v>0</v>
      </c>
    </row>
    <row r="17" spans="1:13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7" s="3">
        <f>IF(Table3[[#This Row],[battles]],Table3[[#This Row],[wins]]/Table3[[#This Row],[battles]],0)</f>
        <v>0</v>
      </c>
    </row>
    <row r="18" spans="1:13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8" s="3">
        <f>IF(Table3[[#This Row],[battles]],Table3[[#This Row],[wins]]/Table3[[#This Row],[battles]],0)</f>
        <v>0</v>
      </c>
    </row>
    <row r="19" spans="1:13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9" s="3">
        <f>IF(Table3[[#This Row],[battles]],Table3[[#This Row],[wins]]/Table3[[#This Row],[battles]],0)</f>
        <v>0</v>
      </c>
    </row>
    <row r="20" spans="1:13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20" s="3">
        <f>IF(Table3[[#This Row],[battles]],Table3[[#This Row],[wins]]/Table3[[#This Row],[battles]],0)</f>
        <v>1</v>
      </c>
    </row>
    <row r="21" spans="1:13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2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1" s="3">
        <f>IF(Table3[[#This Row],[battles]],Table3[[#This Row],[wins]]/Table3[[#This Row],[battles]],0)</f>
        <v>0</v>
      </c>
    </row>
    <row r="22" spans="1:13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2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2" s="3">
        <f>IF(Table3[[#This Row],[battles]],Table3[[#This Row],[wins]]/Table3[[#This Row],[battles]],0)</f>
        <v>0</v>
      </c>
    </row>
    <row r="23" spans="1:13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2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23" s="3">
        <f>IF(Table3[[#This Row],[battles]],Table3[[#This Row],[wins]]/Table3[[#This Row],[battles]],0)</f>
        <v>0.5</v>
      </c>
    </row>
    <row r="24" spans="1:13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2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4" s="3">
        <f>IF(Table3[[#This Row],[battles]],Table3[[#This Row],[wins]]/Table3[[#This Row],[battles]],0)</f>
        <v>0</v>
      </c>
    </row>
    <row r="25" spans="1:13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5" s="3">
        <f>IF(Table3[[#This Row],[battles]],Table3[[#This Row],[wins]]/Table3[[#This Row],[battles]],0)</f>
        <v>0</v>
      </c>
    </row>
    <row r="26" spans="1:13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6" s="3">
        <f>IF(Table3[[#This Row],[battles]],Table3[[#This Row],[wins]]/Table3[[#This Row],[battles]],0)</f>
        <v>0</v>
      </c>
    </row>
    <row r="27" spans="1:13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0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27" s="3">
        <f>IF(Table3[[#This Row],[battles]],Table3[[#This Row],[wins]]/Table3[[#This Row],[battles]],0)</f>
        <v>1</v>
      </c>
    </row>
    <row r="28" spans="1:13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0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8" s="3">
        <f>IF(Table3[[#This Row],[battles]],Table3[[#This Row],[wins]]/Table3[[#This Row],[battles]],0)</f>
        <v>0</v>
      </c>
    </row>
    <row r="29" spans="1:13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0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29" s="3">
        <f>IF(Table3[[#This Row],[battles]],Table3[[#This Row],[wins]]/Table3[[#This Row],[battles]],0)</f>
        <v>1</v>
      </c>
    </row>
    <row r="30" spans="1:13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0">
        <f>Таблица2[[#This Row],[team-1-win]]+Таблица2[[#This Row],[team-2-win]]</f>
        <v>0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30" s="3">
        <f>IF(Table3[[#This Row],[battles]],Table3[[#This Row],[wins]]/Table3[[#This Row],[battles]],0)</f>
        <v>1</v>
      </c>
    </row>
    <row r="31" spans="1:13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1">
        <f>Таблица2[[#This Row],[team-1-win]]+Таблица2[[#This Row],[team-2-win]]</f>
        <v>0</v>
      </c>
    </row>
    <row r="32" spans="1:13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2">
        <f>Таблица2[[#This Row],[team-1-win]]+Таблица2[[#This Row],[team-2-win]]</f>
        <v>0</v>
      </c>
    </row>
    <row r="33" spans="1:7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0</v>
      </c>
    </row>
    <row r="34" spans="1:7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4">
        <f>Таблица2[[#This Row],[team-1-win]]+Таблица2[[#This Row],[team-2-win]]</f>
        <v>0</v>
      </c>
    </row>
    <row r="35" spans="1:7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5">
        <f>Таблица2[[#This Row],[team-1-win]]+Таблица2[[#This Row],[team-2-win]]</f>
        <v>0</v>
      </c>
    </row>
    <row r="36" spans="1:7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6">
        <f>Таблица2[[#This Row],[team-1-win]]+Таблица2[[#This Row],[team-2-win]]</f>
        <v>0</v>
      </c>
    </row>
    <row r="37" spans="1:7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7">
        <f>Таблица2[[#This Row],[team-1-win]]+Таблица2[[#This Row],[team-2-win]]</f>
        <v>0</v>
      </c>
    </row>
    <row r="38" spans="1:7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0</v>
      </c>
    </row>
    <row r="39" spans="1:7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9">
        <f>Таблица2[[#This Row],[team-1-win]]+Таблица2[[#This Row],[team-2-win]]</f>
        <v>0</v>
      </c>
    </row>
    <row r="40" spans="1:7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0">
        <f>Таблица2[[#This Row],[team-1-win]]+Таблица2[[#This Row],[team-2-win]]</f>
        <v>0</v>
      </c>
    </row>
    <row r="41" spans="1:7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1">
        <f>Таблица2[[#This Row],[team-1-win]]+Таблица2[[#This Row],[team-2-win]]</f>
        <v>0</v>
      </c>
    </row>
    <row r="42" spans="1:7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2">
        <f>Таблица2[[#This Row],[team-1-win]]+Таблица2[[#This Row],[team-2-win]]</f>
        <v>0</v>
      </c>
    </row>
    <row r="43" spans="1:7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3">
        <f>Таблица2[[#This Row],[team-1-win]]+Таблица2[[#This Row],[team-2-win]]</f>
        <v>0</v>
      </c>
    </row>
    <row r="44" spans="1:7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4">
        <f>Таблица2[[#This Row],[team-1-win]]+Таблица2[[#This Row],[team-2-win]]</f>
        <v>0</v>
      </c>
    </row>
    <row r="45" spans="1:7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0</v>
      </c>
    </row>
    <row r="46" spans="1:7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6">
        <f>Таблица2[[#This Row],[team-1-win]]+Таблица2[[#This Row],[team-2-win]]</f>
        <v>0</v>
      </c>
    </row>
    <row r="47" spans="1:7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0</v>
      </c>
    </row>
    <row r="48" spans="1:7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8">
        <f>Таблица2[[#This Row],[team-1-win]]+Таблица2[[#This Row],[team-2-win]]</f>
        <v>0</v>
      </c>
    </row>
    <row r="49" spans="1:7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9">
        <f>Таблица2[[#This Row],[team-1-win]]+Таблица2[[#This Row],[team-2-win]]</f>
        <v>0</v>
      </c>
    </row>
    <row r="50" spans="1:7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0">
        <f>Таблица2[[#This Row],[team-1-win]]+Таблица2[[#This Row],[team-2-win]]</f>
        <v>0</v>
      </c>
    </row>
    <row r="51" spans="1:7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1">
        <f>Таблица2[[#This Row],[team-1-win]]+Таблица2[[#This Row],[team-2-win]]</f>
        <v>0</v>
      </c>
    </row>
    <row r="52" spans="1:7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2">
        <f>Таблица2[[#This Row],[team-1-win]]+Таблица2[[#This Row],[team-2-win]]</f>
        <v>0</v>
      </c>
    </row>
    <row r="53" spans="1:7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3">
        <f>Таблица2[[#This Row],[team-1-win]]+Таблица2[[#This Row],[team-2-win]]</f>
        <v>0</v>
      </c>
    </row>
    <row r="54" spans="1:7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4">
        <f>Таблица2[[#This Row],[team-1-win]]+Таблица2[[#This Row],[team-2-win]]</f>
        <v>0</v>
      </c>
    </row>
    <row r="55" spans="1:7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5">
        <f>Таблица2[[#This Row],[team-1-win]]+Таблица2[[#This Row],[team-2-win]]</f>
        <v>0</v>
      </c>
    </row>
    <row r="56" spans="1:7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6">
        <f>Таблица2[[#This Row],[team-1-win]]+Таблица2[[#This Row],[team-2-win]]</f>
        <v>0</v>
      </c>
    </row>
    <row r="57" spans="1:7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0</v>
      </c>
    </row>
    <row r="58" spans="1:7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8">
        <f>Таблица2[[#This Row],[team-1-win]]+Таблица2[[#This Row],[team-2-win]]</f>
        <v>0</v>
      </c>
    </row>
    <row r="59" spans="1:7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9">
        <f>Таблица2[[#This Row],[team-1-win]]+Таблица2[[#This Row],[team-2-win]]</f>
        <v>0</v>
      </c>
    </row>
    <row r="60" spans="1:7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0">
        <f>Таблица2[[#This Row],[team-1-win]]+Таблица2[[#This Row],[team-2-win]]</f>
        <v>0</v>
      </c>
    </row>
    <row r="61" spans="1:7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1">
        <f>Таблица2[[#This Row],[team-1-win]]+Таблица2[[#This Row],[team-2-win]]</f>
        <v>0</v>
      </c>
    </row>
    <row r="62" spans="1:7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2">
        <f>Таблица2[[#This Row],[team-1-win]]+Таблица2[[#This Row],[team-2-win]]</f>
        <v>0</v>
      </c>
    </row>
    <row r="63" spans="1:7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3">
        <f>Таблица2[[#This Row],[team-1-win]]+Таблица2[[#This Row],[team-2-win]]</f>
        <v>0</v>
      </c>
    </row>
    <row r="64" spans="1:7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4">
        <f>Таблица2[[#This Row],[team-1-win]]+Таблица2[[#This Row],[team-2-win]]</f>
        <v>0</v>
      </c>
    </row>
    <row r="65" spans="1:7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5">
        <f>Таблица2[[#This Row],[team-1-win]]+Таблица2[[#This Row],[team-2-win]]</f>
        <v>0</v>
      </c>
    </row>
    <row r="66" spans="1:7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0</v>
      </c>
    </row>
    <row r="67" spans="1:7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7">
        <f>Таблица2[[#This Row],[team-1-win]]+Таблица2[[#This Row],[team-2-win]]</f>
        <v>0</v>
      </c>
    </row>
    <row r="68" spans="1:7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0</v>
      </c>
    </row>
    <row r="69" spans="1:7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9">
        <f>Таблица2[[#This Row],[team-1-win]]+Таблица2[[#This Row],[team-2-win]]</f>
        <v>0</v>
      </c>
    </row>
    <row r="70" spans="1:7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0">
        <f>Таблица2[[#This Row],[team-1-win]]+Таблица2[[#This Row],[team-2-win]]</f>
        <v>0</v>
      </c>
    </row>
    <row r="71" spans="1:7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1">
        <f>Таблица2[[#This Row],[team-1-win]]+Таблица2[[#This Row],[team-2-win]]</f>
        <v>0</v>
      </c>
    </row>
    <row r="72" spans="1:7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0</v>
      </c>
    </row>
    <row r="73" spans="1:7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0</v>
      </c>
    </row>
    <row r="74" spans="1:7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0</v>
      </c>
    </row>
    <row r="75" spans="1:7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0</v>
      </c>
    </row>
    <row r="76" spans="1:7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6">
        <f>Таблица2[[#This Row],[team-1-win]]+Таблица2[[#This Row],[team-2-win]]</f>
        <v>0</v>
      </c>
    </row>
    <row r="77" spans="1:7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7">
        <f>Таблица2[[#This Row],[team-1-win]]+Таблица2[[#This Row],[team-2-win]]</f>
        <v>0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8">
        <f>Таблица2[[#This Row],[team-1-win]]+Таблица2[[#This Row],[team-2-win]]</f>
        <v>0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9">
        <f>Таблица2[[#This Row],[team-1-win]]+Таблица2[[#This Row],[team-2-win]]</f>
        <v>0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0">
        <f>Таблица2[[#This Row],[team-1-win]]+Таблица2[[#This Row],[team-2-win]]</f>
        <v>0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1">
        <f>Таблица2[[#This Row],[team-1-win]]+Таблица2[[#This Row],[team-2-win]]</f>
        <v>0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2">
        <f>Таблица2[[#This Row],[team-1-win]]+Таблица2[[#This Row],[team-2-win]]</f>
        <v>0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3">
        <f>Таблица2[[#This Row],[team-1-win]]+Таблица2[[#This Row],[team-2-win]]</f>
        <v>0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4">
        <f>Таблица2[[#This Row],[team-1-win]]+Таблица2[[#This Row],[team-2-win]]</f>
        <v>0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0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6">
        <f>Таблица2[[#This Row],[team-1-win]]+Таблица2[[#This Row],[team-2-win]]</f>
        <v>0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7">
        <f>Таблица2[[#This Row],[team-1-win]]+Таблица2[[#This Row],[team-2-win]]</f>
        <v>0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8">
        <f>Таблица2[[#This Row],[team-1-win]]+Таблица2[[#This Row],[team-2-win]]</f>
        <v>0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9">
        <f>Таблица2[[#This Row],[team-1-win]]+Таблица2[[#This Row],[team-2-win]]</f>
        <v>0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0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1">
        <f>Таблица2[[#This Row],[team-1-win]]+Таблица2[[#This Row],[team-2-win]]</f>
        <v>0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2">
        <f>Таблица2[[#This Row],[team-1-win]]+Таблица2[[#This Row],[team-2-win]]</f>
        <v>0</v>
      </c>
    </row>
    <row r="93" spans="1:7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0</v>
      </c>
    </row>
    <row r="94" spans="1:7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0</v>
      </c>
    </row>
    <row r="95" spans="1:7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0</v>
      </c>
    </row>
    <row r="96" spans="1:7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6">
        <f>Таблица2[[#This Row],[team-1-win]]+Таблица2[[#This Row],[team-2-win]]</f>
        <v>0</v>
      </c>
    </row>
    <row r="97" spans="1:7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7">
        <f>Таблица2[[#This Row],[team-1-win]]+Таблица2[[#This Row],[team-2-win]]</f>
        <v>0</v>
      </c>
    </row>
    <row r="98" spans="1:7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8">
        <f>Таблица2[[#This Row],[team-1-win]]+Таблица2[[#This Row],[team-2-win]]</f>
        <v>0</v>
      </c>
    </row>
    <row r="99" spans="1:7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0</v>
      </c>
    </row>
    <row r="100" spans="1:7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0</v>
      </c>
    </row>
    <row r="101" spans="1:7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0</v>
      </c>
    </row>
    <row r="102" spans="1:7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0</v>
      </c>
    </row>
    <row r="103" spans="1:7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0</v>
      </c>
    </row>
    <row r="104" spans="1:7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4">
        <f>Таблица2[[#This Row],[team-1-win]]+Таблица2[[#This Row],[team-2-win]]</f>
        <v>0</v>
      </c>
    </row>
    <row r="105" spans="1:7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0</v>
      </c>
    </row>
    <row r="106" spans="1:7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0</v>
      </c>
    </row>
    <row r="107" spans="1:7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0</v>
      </c>
    </row>
    <row r="108" spans="1:7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8">
        <f>Таблица2[[#This Row],[team-1-win]]+Таблица2[[#This Row],[team-2-win]]</f>
        <v>0</v>
      </c>
    </row>
    <row r="109" spans="1:7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9">
        <f>Таблица2[[#This Row],[team-1-win]]+Таблица2[[#This Row],[team-2-win]]</f>
        <v>0</v>
      </c>
    </row>
    <row r="110" spans="1:7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0">
        <f>Таблица2[[#This Row],[team-1-win]]+Таблица2[[#This Row],[team-2-win]]</f>
        <v>0</v>
      </c>
    </row>
    <row r="111" spans="1:7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1">
        <f>Таблица2[[#This Row],[team-1-win]]+Таблица2[[#This Row],[team-2-win]]</f>
        <v>0</v>
      </c>
    </row>
    <row r="112" spans="1:7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2">
        <f>Таблица2[[#This Row],[team-1-win]]+Таблица2[[#This Row],[team-2-win]]</f>
        <v>0</v>
      </c>
    </row>
    <row r="113" spans="1:7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3">
        <f>Таблица2[[#This Row],[team-1-win]]+Таблица2[[#This Row],[team-2-win]]</f>
        <v>0</v>
      </c>
    </row>
    <row r="114" spans="1:7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4">
        <f>Таблица2[[#This Row],[team-1-win]]+Таблица2[[#This Row],[team-2-win]]</f>
        <v>0</v>
      </c>
    </row>
    <row r="115" spans="1:7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5">
        <f>Таблица2[[#This Row],[team-1-win]]+Таблица2[[#This Row],[team-2-win]]</f>
        <v>0</v>
      </c>
    </row>
    <row r="116" spans="1:7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6">
        <f>Таблица2[[#This Row],[team-1-win]]+Таблица2[[#This Row],[team-2-win]]</f>
        <v>0</v>
      </c>
    </row>
    <row r="117" spans="1:7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7">
        <f>Таблица2[[#This Row],[team-1-win]]+Таблица2[[#This Row],[team-2-win]]</f>
        <v>0</v>
      </c>
    </row>
    <row r="118" spans="1:7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8">
        <f>Таблица2[[#This Row],[team-1-win]]+Таблица2[[#This Row],[team-2-win]]</f>
        <v>0</v>
      </c>
    </row>
    <row r="119" spans="1:7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9">
        <f>Таблица2[[#This Row],[team-1-win]]+Таблица2[[#This Row],[team-2-win]]</f>
        <v>0</v>
      </c>
    </row>
    <row r="120" spans="1:7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0">
        <f>Таблица2[[#This Row],[team-1-win]]+Таблица2[[#This Row],[team-2-win]]</f>
        <v>0</v>
      </c>
    </row>
    <row r="121" spans="1:7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1">
        <f>Таблица2[[#This Row],[team-1-win]]+Таблица2[[#This Row],[team-2-win]]</f>
        <v>0</v>
      </c>
    </row>
    <row r="122" spans="1:7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2">
        <f>Таблица2[[#This Row],[team-1-win]]+Таблица2[[#This Row],[team-2-win]]</f>
        <v>0</v>
      </c>
    </row>
    <row r="123" spans="1:7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3">
        <f>Таблица2[[#This Row],[team-1-win]]+Таблица2[[#This Row],[team-2-win]]</f>
        <v>0</v>
      </c>
    </row>
    <row r="124" spans="1:7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4">
        <f>Таблица2[[#This Row],[team-1-win]]+Таблица2[[#This Row],[team-2-win]]</f>
        <v>0</v>
      </c>
    </row>
    <row r="125" spans="1:7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5">
        <f>Таблица2[[#This Row],[team-1-win]]+Таблица2[[#This Row],[team-2-win]]</f>
        <v>0</v>
      </c>
    </row>
    <row r="126" spans="1:7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6">
        <f>Таблица2[[#This Row],[team-1-win]]+Таблица2[[#This Row],[team-2-win]]</f>
        <v>0</v>
      </c>
    </row>
    <row r="127" spans="1:7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7">
        <f>Таблица2[[#This Row],[team-1-win]]+Таблица2[[#This Row],[team-2-win]]</f>
        <v>0</v>
      </c>
    </row>
    <row r="128" spans="1:7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8">
        <f>Таблица2[[#This Row],[team-1-win]]+Таблица2[[#This Row],[team-2-win]]</f>
        <v>0</v>
      </c>
    </row>
    <row r="129" spans="1:7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9">
        <f>Таблица2[[#This Row],[team-1-win]]+Таблица2[[#This Row],[team-2-win]]</f>
        <v>0</v>
      </c>
    </row>
    <row r="130" spans="1:7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0">
        <f>Таблица2[[#This Row],[team-1-win]]+Таблица2[[#This Row],[team-2-win]]</f>
        <v>0</v>
      </c>
    </row>
    <row r="131" spans="1:7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1">
        <f>Таблица2[[#This Row],[team-1-win]]+Таблица2[[#This Row],[team-2-win]]</f>
        <v>0</v>
      </c>
    </row>
    <row r="132" spans="1:7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2">
        <f>Таблица2[[#This Row],[team-1-win]]+Таблица2[[#This Row],[team-2-win]]</f>
        <v>0</v>
      </c>
    </row>
    <row r="133" spans="1:7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3">
        <f>Таблица2[[#This Row],[team-1-win]]+Таблица2[[#This Row],[team-2-win]]</f>
        <v>0</v>
      </c>
    </row>
    <row r="134" spans="1:7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4">
        <f>Таблица2[[#This Row],[team-1-win]]+Таблица2[[#This Row],[team-2-win]]</f>
        <v>0</v>
      </c>
    </row>
    <row r="135" spans="1:7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5">
        <f>Таблица2[[#This Row],[team-1-win]]+Таблица2[[#This Row],[team-2-win]]</f>
        <v>0</v>
      </c>
    </row>
    <row r="136" spans="1:7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6">
        <f>Таблица2[[#This Row],[team-1-win]]+Таблица2[[#This Row],[team-2-win]]</f>
        <v>0</v>
      </c>
    </row>
    <row r="137" spans="1:7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7">
        <f>Таблица2[[#This Row],[team-1-win]]+Таблица2[[#This Row],[team-2-win]]</f>
        <v>0</v>
      </c>
    </row>
    <row r="138" spans="1:7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8">
        <f>Таблица2[[#This Row],[team-1-win]]+Таблица2[[#This Row],[team-2-win]]</f>
        <v>0</v>
      </c>
    </row>
    <row r="139" spans="1:7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9">
        <f>Таблица2[[#This Row],[team-1-win]]+Таблица2[[#This Row],[team-2-win]]</f>
        <v>0</v>
      </c>
    </row>
    <row r="140" spans="1:7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0</v>
      </c>
    </row>
    <row r="141" spans="1:7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1">
        <f>Таблица2[[#This Row],[team-1-win]]+Таблица2[[#This Row],[team-2-win]]</f>
        <v>0</v>
      </c>
    </row>
    <row r="142" spans="1:7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2">
        <f>Таблица2[[#This Row],[team-1-win]]+Таблица2[[#This Row],[team-2-win]]</f>
        <v>0</v>
      </c>
    </row>
    <row r="143" spans="1:7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3">
        <f>Таблица2[[#This Row],[team-1-win]]+Таблица2[[#This Row],[team-2-win]]</f>
        <v>0</v>
      </c>
    </row>
    <row r="144" spans="1:7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4">
        <f>Таблица2[[#This Row],[team-1-win]]+Таблица2[[#This Row],[team-2-win]]</f>
        <v>0</v>
      </c>
    </row>
    <row r="145" spans="1:7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0</v>
      </c>
    </row>
    <row r="146" spans="1:7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6">
        <f>Таблица2[[#This Row],[team-1-win]]+Таблица2[[#This Row],[team-2-win]]</f>
        <v>0</v>
      </c>
    </row>
    <row r="147" spans="1:7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7">
        <f>Таблица2[[#This Row],[team-1-win]]+Таблица2[[#This Row],[team-2-win]]</f>
        <v>0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8">
        <f>Таблица2[[#This Row],[team-1-win]]+Таблица2[[#This Row],[team-2-win]]</f>
        <v>0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9">
        <f>Таблица2[[#This Row],[team-1-win]]+Таблица2[[#This Row],[team-2-win]]</f>
        <v>0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0">
        <f>Таблица2[[#This Row],[team-1-win]]+Таблица2[[#This Row],[team-2-win]]</f>
        <v>0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1">
        <f>Таблица2[[#This Row],[team-1-win]]+Таблица2[[#This Row],[team-2-win]]</f>
        <v>0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2">
        <f>Таблица2[[#This Row],[team-1-win]]+Таблица2[[#This Row],[team-2-win]]</f>
        <v>0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3">
        <f>Таблица2[[#This Row],[team-1-win]]+Таблица2[[#This Row],[team-2-win]]</f>
        <v>0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4">
        <f>Таблица2[[#This Row],[team-1-win]]+Таблица2[[#This Row],[team-2-win]]</f>
        <v>0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0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6">
        <f>Таблица2[[#This Row],[team-1-win]]+Таблица2[[#This Row],[team-2-win]]</f>
        <v>0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7">
        <f>Таблица2[[#This Row],[team-1-win]]+Таблица2[[#This Row],[team-2-win]]</f>
        <v>0</v>
      </c>
    </row>
    <row r="158" spans="1:7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8">
        <f>Таблица2[[#This Row],[team-1-win]]+Таблица2[[#This Row],[team-2-win]]</f>
        <v>0</v>
      </c>
    </row>
    <row r="159" spans="1:7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0</v>
      </c>
    </row>
    <row r="160" spans="1:7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0</v>
      </c>
    </row>
    <row r="161" spans="1:7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1">
        <f>Таблица2[[#This Row],[team-1-win]]+Таблица2[[#This Row],[team-2-win]]</f>
        <v>0</v>
      </c>
    </row>
    <row r="162" spans="1:7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2">
        <f>Таблица2[[#This Row],[team-1-win]]+Таблица2[[#This Row],[team-2-win]]</f>
        <v>0</v>
      </c>
    </row>
    <row r="163" spans="1:7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3">
        <f>Таблица2[[#This Row],[team-1-win]]+Таблица2[[#This Row],[team-2-win]]</f>
        <v>0</v>
      </c>
    </row>
    <row r="164" spans="1:7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4">
        <f>Таблица2[[#This Row],[team-1-win]]+Таблица2[[#This Row],[team-2-win]]</f>
        <v>0</v>
      </c>
    </row>
    <row r="165" spans="1:7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0</v>
      </c>
    </row>
    <row r="166" spans="1:7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6">
        <f>Таблица2[[#This Row],[team-1-win]]+Таблица2[[#This Row],[team-2-win]]</f>
        <v>0</v>
      </c>
    </row>
    <row r="167" spans="1:7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7">
        <f>Таблица2[[#This Row],[team-1-win]]+Таблица2[[#This Row],[team-2-win]]</f>
        <v>0</v>
      </c>
    </row>
    <row r="168" spans="1:7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8">
        <f>Таблица2[[#This Row],[team-1-win]]+Таблица2[[#This Row],[team-2-win]]</f>
        <v>0</v>
      </c>
    </row>
    <row r="169" spans="1:7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9">
        <f>Таблица2[[#This Row],[team-1-win]]+Таблица2[[#This Row],[team-2-win]]</f>
        <v>0</v>
      </c>
    </row>
    <row r="170" spans="1:7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0">
        <f>Таблица2[[#This Row],[team-1-win]]+Таблица2[[#This Row],[team-2-win]]</f>
        <v>0</v>
      </c>
    </row>
    <row r="171" spans="1:7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1">
        <f>Таблица2[[#This Row],[team-1-win]]+Таблица2[[#This Row],[team-2-win]]</f>
        <v>0</v>
      </c>
    </row>
    <row r="172" spans="1:7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2">
        <f>Таблица2[[#This Row],[team-1-win]]+Таблица2[[#This Row],[team-2-win]]</f>
        <v>0</v>
      </c>
    </row>
    <row r="173" spans="1:7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3">
        <f>Таблица2[[#This Row],[team-1-win]]+Таблица2[[#This Row],[team-2-win]]</f>
        <v>0</v>
      </c>
    </row>
    <row r="174" spans="1:7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4">
        <f>Таблица2[[#This Row],[team-1-win]]+Таблица2[[#This Row],[team-2-win]]</f>
        <v>0</v>
      </c>
    </row>
    <row r="175" spans="1:7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5">
        <f>Таблица2[[#This Row],[team-1-win]]+Таблица2[[#This Row],[team-2-win]]</f>
        <v>0</v>
      </c>
    </row>
    <row r="176" spans="1:7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6">
        <f>Таблица2[[#This Row],[team-1-win]]+Таблица2[[#This Row],[team-2-win]]</f>
        <v>0</v>
      </c>
    </row>
    <row r="177" spans="1:7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7">
        <f>Таблица2[[#This Row],[team-1-win]]+Таблица2[[#This Row],[team-2-win]]</f>
        <v>0</v>
      </c>
    </row>
    <row r="178" spans="1:7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8">
        <f>Таблица2[[#This Row],[team-1-win]]+Таблица2[[#This Row],[team-2-win]]</f>
        <v>0</v>
      </c>
    </row>
    <row r="179" spans="1:7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9">
        <f>Таблица2[[#This Row],[team-1-win]]+Таблица2[[#This Row],[team-2-win]]</f>
        <v>0</v>
      </c>
    </row>
    <row r="180" spans="1:7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0">
        <f>Таблица2[[#This Row],[team-1-win]]+Таблица2[[#This Row],[team-2-win]]</f>
        <v>0</v>
      </c>
    </row>
    <row r="181" spans="1:7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1">
        <f>Таблица2[[#This Row],[team-1-win]]+Таблица2[[#This Row],[team-2-win]]</f>
        <v>0</v>
      </c>
    </row>
    <row r="182" spans="1:7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2">
        <f>Таблица2[[#This Row],[team-1-win]]+Таблица2[[#This Row],[team-2-win]]</f>
        <v>0</v>
      </c>
    </row>
    <row r="183" spans="1:7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3">
        <f>Таблица2[[#This Row],[team-1-win]]+Таблица2[[#This Row],[team-2-win]]</f>
        <v>0</v>
      </c>
    </row>
    <row r="184" spans="1:7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4">
        <f>Таблица2[[#This Row],[team-1-win]]+Таблица2[[#This Row],[team-2-win]]</f>
        <v>0</v>
      </c>
    </row>
    <row r="185" spans="1:7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5">
        <f>Таблица2[[#This Row],[team-1-win]]+Таблица2[[#This Row],[team-2-win]]</f>
        <v>0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6">
        <f>Таблица2[[#This Row],[team-1-win]]+Таблица2[[#This Row],[team-2-win]]</f>
        <v>0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7">
        <f>Таблица2[[#This Row],[team-1-win]]+Таблица2[[#This Row],[team-2-win]]</f>
        <v>0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8">
        <f>Таблица2[[#This Row],[team-1-win]]+Таблица2[[#This Row],[team-2-win]]</f>
        <v>0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9">
        <f>Таблица2[[#This Row],[team-1-win]]+Таблица2[[#This Row],[team-2-win]]</f>
        <v>0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0">
        <f>Таблица2[[#This Row],[team-1-win]]+Таблица2[[#This Row],[team-2-win]]</f>
        <v>0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1">
        <f>Таблица2[[#This Row],[team-1-win]]+Таблица2[[#This Row],[team-2-win]]</f>
        <v>0</v>
      </c>
    </row>
    <row r="192" spans="1:7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2">
        <f>Таблица2[[#This Row],[team-1-win]]+Таблица2[[#This Row],[team-2-win]]</f>
        <v>0</v>
      </c>
    </row>
    <row r="193" spans="1:7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3">
        <f>Таблица2[[#This Row],[team-1-win]]+Таблица2[[#This Row],[team-2-win]]</f>
        <v>0</v>
      </c>
    </row>
    <row r="194" spans="1:7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0</v>
      </c>
    </row>
    <row r="195" spans="1:7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5">
        <f>Таблица2[[#This Row],[team-1-win]]+Таблица2[[#This Row],[team-2-win]]</f>
        <v>0</v>
      </c>
    </row>
    <row r="196" spans="1:7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0</v>
      </c>
    </row>
    <row r="197" spans="1:7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0</v>
      </c>
    </row>
    <row r="198" spans="1:7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8">
        <f>Таблица2[[#This Row],[team-1-win]]+Таблица2[[#This Row],[team-2-win]]</f>
        <v>0</v>
      </c>
    </row>
    <row r="199" spans="1:7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9">
        <f>Таблица2[[#This Row],[team-1-win]]+Таблица2[[#This Row],[team-2-win]]</f>
        <v>0</v>
      </c>
    </row>
    <row r="200" spans="1:7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0">
        <f>Таблица2[[#This Row],[team-1-win]]+Таблица2[[#This Row],[team-2-win]]</f>
        <v>0</v>
      </c>
    </row>
    <row r="201" spans="1:7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1">
        <f>Таблица2[[#This Row],[team-1-win]]+Таблица2[[#This Row],[team-2-win]]</f>
        <v>0</v>
      </c>
    </row>
    <row r="202" spans="1:7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2">
        <f>Таблица2[[#This Row],[team-1-win]]+Таблица2[[#This Row],[team-2-win]]</f>
        <v>0</v>
      </c>
    </row>
    <row r="203" spans="1:7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3">
        <f>Таблица2[[#This Row],[team-1-win]]+Таблица2[[#This Row],[team-2-win]]</f>
        <v>0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4">
        <f>Таблица2[[#This Row],[team-1-win]]+Таблица2[[#This Row],[team-2-win]]</f>
        <v>0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5">
        <f>Таблица2[[#This Row],[team-1-win]]+Таблица2[[#This Row],[team-2-win]]</f>
        <v>0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6">
        <f>Таблица2[[#This Row],[team-1-win]]+Таблица2[[#This Row],[team-2-win]]</f>
        <v>0</v>
      </c>
    </row>
    <row r="207" spans="1:7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7">
        <f>Таблица2[[#This Row],[team-1-win]]+Таблица2[[#This Row],[team-2-win]]</f>
        <v>0</v>
      </c>
    </row>
    <row r="208" spans="1:7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8">
        <f>Таблица2[[#This Row],[team-1-win]]+Таблица2[[#This Row],[team-2-win]]</f>
        <v>0</v>
      </c>
    </row>
    <row r="209" spans="1:7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9">
        <f>Таблица2[[#This Row],[team-1-win]]+Таблица2[[#This Row],[team-2-win]]</f>
        <v>0</v>
      </c>
    </row>
    <row r="210" spans="1:7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0">
        <f>Таблица2[[#This Row],[team-1-win]]+Таблица2[[#This Row],[team-2-win]]</f>
        <v>0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1">
        <f>Таблица2[[#This Row],[team-1-win]]+Таблица2[[#This Row],[team-2-win]]</f>
        <v>0</v>
      </c>
    </row>
    <row r="212" spans="1:7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2">
        <f>Таблица2[[#This Row],[team-1-win]]+Таблица2[[#This Row],[team-2-win]]</f>
        <v>0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A114"/>
  <sheetViews>
    <sheetView tabSelected="1" workbookViewId="0">
      <selection activeCell="A19" sqref="A19"/>
    </sheetView>
  </sheetViews>
  <sheetFormatPr defaultRowHeight="15" x14ac:dyDescent="0.25"/>
  <cols>
    <col min="1" max="1" width="36.85546875" bestFit="1" customWidth="1"/>
    <col min="2" max="2" width="10.5703125" bestFit="1" customWidth="1"/>
    <col min="3" max="3" width="14" bestFit="1" customWidth="1"/>
    <col min="4" max="4" width="13.7109375" bestFit="1" customWidth="1"/>
    <col min="5" max="5" width="13.28515625" bestFit="1" customWidth="1"/>
    <col min="6" max="9" width="18" bestFit="1" customWidth="1"/>
    <col min="10" max="10" width="10.5703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" bestFit="1" customWidth="1"/>
    <col min="15" max="15" width="18.28515625" bestFit="1" customWidth="1"/>
    <col min="16" max="17" width="18" bestFit="1" customWidth="1"/>
    <col min="18" max="18" width="10.5703125" bestFit="1" customWidth="1"/>
    <col min="19" max="19" width="14" bestFit="1" customWidth="1"/>
    <col min="20" max="20" width="13.7109375" bestFit="1" customWidth="1"/>
    <col min="21" max="21" width="13.28515625" bestFit="1" customWidth="1"/>
    <col min="22" max="22" width="18.42578125" bestFit="1" customWidth="1"/>
    <col min="23" max="23" width="18.7109375" bestFit="1" customWidth="1"/>
    <col min="24" max="24" width="18" bestFit="1" customWidth="1"/>
    <col min="25" max="25" width="18.28515625" bestFit="1" customWidth="1"/>
    <col min="26" max="26" width="8.710937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16.140625" bestFit="1" customWidth="1"/>
    <col min="31" max="31" width="18.85546875" bestFit="1" customWidth="1"/>
    <col min="32" max="33" width="16.140625" bestFit="1" customWidth="1"/>
    <col min="34" max="34" width="8.7109375" bestFit="1" customWidth="1"/>
    <col min="35" max="35" width="12.140625" bestFit="1" customWidth="1"/>
    <col min="36" max="36" width="11.85546875" bestFit="1" customWidth="1"/>
    <col min="37" max="37" width="11.42578125" bestFit="1" customWidth="1"/>
    <col min="38" max="39" width="16.140625" bestFit="1" customWidth="1"/>
    <col min="40" max="40" width="19.42578125" bestFit="1" customWidth="1"/>
    <col min="41" max="41" width="16.140625" bestFit="1" customWidth="1"/>
    <col min="42" max="42" width="11.42578125" bestFit="1" customWidth="1"/>
    <col min="43" max="43" width="12.140625" bestFit="1" customWidth="1"/>
    <col min="44" max="44" width="11.85546875" bestFit="1" customWidth="1"/>
    <col min="45" max="45" width="11.42578125" bestFit="1" customWidth="1"/>
    <col min="46" max="46" width="16.140625" bestFit="1" customWidth="1"/>
    <col min="47" max="47" width="19.140625" bestFit="1" customWidth="1"/>
    <col min="48" max="48" width="16.140625" bestFit="1" customWidth="1"/>
    <col min="49" max="49" width="19.85546875" bestFit="1" customWidth="1"/>
    <col min="50" max="50" width="9.85546875" bestFit="1" customWidth="1"/>
    <col min="51" max="51" width="7.85546875" bestFit="1" customWidth="1"/>
    <col min="52" max="52" width="12.7109375" bestFit="1" customWidth="1"/>
    <col min="53" max="53" width="9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122</v>
      </c>
      <c r="AN1" t="s">
        <v>30</v>
      </c>
      <c r="AO1" t="s">
        <v>31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64</v>
      </c>
      <c r="AY1" t="s">
        <v>32</v>
      </c>
      <c r="AZ1" t="s">
        <v>194</v>
      </c>
      <c r="BA1" t="s">
        <v>195</v>
      </c>
    </row>
    <row r="2" spans="1:53" x14ac:dyDescent="0.25">
      <c r="A2" t="s">
        <v>220</v>
      </c>
      <c r="B2" t="s">
        <v>53</v>
      </c>
      <c r="C2">
        <v>3</v>
      </c>
      <c r="D2">
        <v>1</v>
      </c>
      <c r="E2">
        <v>1</v>
      </c>
      <c r="F2" t="s">
        <v>54</v>
      </c>
      <c r="J2" t="s">
        <v>56</v>
      </c>
      <c r="K2">
        <v>1</v>
      </c>
      <c r="M2">
        <v>1</v>
      </c>
      <c r="N2" t="s">
        <v>68</v>
      </c>
      <c r="O2" t="s">
        <v>69</v>
      </c>
      <c r="P2" t="s">
        <v>126</v>
      </c>
      <c r="R2" t="s">
        <v>48</v>
      </c>
      <c r="S2">
        <v>1</v>
      </c>
      <c r="U2">
        <v>1</v>
      </c>
      <c r="V2" t="s">
        <v>89</v>
      </c>
      <c r="W2" t="s">
        <v>84</v>
      </c>
      <c r="X2" t="s">
        <v>90</v>
      </c>
      <c r="Y2" t="s">
        <v>131</v>
      </c>
      <c r="Z2" t="s">
        <v>33</v>
      </c>
      <c r="AA2">
        <v>1</v>
      </c>
      <c r="AC2">
        <v>2</v>
      </c>
      <c r="AD2" t="s">
        <v>65</v>
      </c>
      <c r="AE2" t="s">
        <v>133</v>
      </c>
      <c r="AH2" t="s">
        <v>43</v>
      </c>
      <c r="AI2">
        <v>1</v>
      </c>
      <c r="AK2">
        <v>2</v>
      </c>
      <c r="AL2" t="s">
        <v>73</v>
      </c>
      <c r="AM2" t="s">
        <v>99</v>
      </c>
      <c r="AP2" t="s">
        <v>45</v>
      </c>
      <c r="AQ2">
        <v>2</v>
      </c>
      <c r="AS2">
        <v>2</v>
      </c>
      <c r="AT2" t="s">
        <v>86</v>
      </c>
      <c r="AU2" t="s">
        <v>144</v>
      </c>
      <c r="AV2" t="s">
        <v>145</v>
      </c>
      <c r="AW2" t="s">
        <v>146</v>
      </c>
      <c r="AX2">
        <v>16</v>
      </c>
      <c r="AY2">
        <v>70</v>
      </c>
      <c r="AZ2">
        <v>30</v>
      </c>
      <c r="BA2">
        <v>2</v>
      </c>
    </row>
    <row r="3" spans="1:53" x14ac:dyDescent="0.25">
      <c r="A3" t="s">
        <v>221</v>
      </c>
      <c r="B3" t="s">
        <v>53</v>
      </c>
      <c r="C3">
        <v>2</v>
      </c>
      <c r="D3">
        <v>1</v>
      </c>
      <c r="E3">
        <v>3</v>
      </c>
      <c r="F3" t="s">
        <v>114</v>
      </c>
      <c r="G3" t="s">
        <v>55</v>
      </c>
      <c r="H3" t="s">
        <v>97</v>
      </c>
      <c r="J3" t="s">
        <v>56</v>
      </c>
      <c r="K3">
        <v>2</v>
      </c>
      <c r="M3">
        <v>1</v>
      </c>
      <c r="N3" t="s">
        <v>57</v>
      </c>
      <c r="R3" t="s">
        <v>48</v>
      </c>
      <c r="S3">
        <v>3</v>
      </c>
      <c r="U3">
        <v>2</v>
      </c>
      <c r="V3" t="s">
        <v>89</v>
      </c>
      <c r="Z3" t="s">
        <v>33</v>
      </c>
      <c r="AA3">
        <v>2</v>
      </c>
      <c r="AC3">
        <v>1</v>
      </c>
      <c r="AD3" t="s">
        <v>46</v>
      </c>
      <c r="AH3" t="s">
        <v>43</v>
      </c>
      <c r="AI3">
        <v>3</v>
      </c>
      <c r="AK3">
        <v>3</v>
      </c>
      <c r="AL3" t="s">
        <v>44</v>
      </c>
      <c r="AM3" t="s">
        <v>74</v>
      </c>
      <c r="AN3" t="s">
        <v>75</v>
      </c>
      <c r="AO3" t="s">
        <v>101</v>
      </c>
      <c r="AP3" t="s">
        <v>63</v>
      </c>
      <c r="AQ3">
        <v>2</v>
      </c>
      <c r="AS3">
        <v>1</v>
      </c>
      <c r="AT3" t="s">
        <v>72</v>
      </c>
      <c r="AX3">
        <v>18</v>
      </c>
      <c r="AY3">
        <v>75</v>
      </c>
      <c r="AZ3">
        <v>30</v>
      </c>
      <c r="BA3">
        <v>2</v>
      </c>
    </row>
    <row r="4" spans="1:53" x14ac:dyDescent="0.25">
      <c r="A4" t="s">
        <v>222</v>
      </c>
      <c r="B4" t="s">
        <v>33</v>
      </c>
      <c r="C4">
        <v>2</v>
      </c>
      <c r="E4">
        <v>1</v>
      </c>
      <c r="F4" t="s">
        <v>34</v>
      </c>
      <c r="J4" t="s">
        <v>43</v>
      </c>
      <c r="K4">
        <v>1</v>
      </c>
      <c r="M4">
        <v>1</v>
      </c>
      <c r="N4" t="s">
        <v>73</v>
      </c>
      <c r="R4" t="s">
        <v>38</v>
      </c>
      <c r="S4">
        <v>3</v>
      </c>
      <c r="T4">
        <v>2</v>
      </c>
      <c r="U4">
        <v>3</v>
      </c>
      <c r="V4" t="s">
        <v>67</v>
      </c>
      <c r="W4" t="s">
        <v>96</v>
      </c>
      <c r="X4" t="s">
        <v>157</v>
      </c>
      <c r="Y4" t="s">
        <v>159</v>
      </c>
      <c r="Z4" t="s">
        <v>53</v>
      </c>
      <c r="AA4">
        <v>2</v>
      </c>
      <c r="AB4">
        <v>1</v>
      </c>
      <c r="AC4">
        <v>1</v>
      </c>
      <c r="AD4" t="s">
        <v>54</v>
      </c>
      <c r="AE4" t="s">
        <v>83</v>
      </c>
      <c r="AF4" t="s">
        <v>97</v>
      </c>
      <c r="AG4" t="s">
        <v>98</v>
      </c>
      <c r="AH4" t="s">
        <v>56</v>
      </c>
      <c r="AI4">
        <v>1</v>
      </c>
      <c r="AK4">
        <v>1</v>
      </c>
      <c r="AL4" t="s">
        <v>123</v>
      </c>
      <c r="AM4" t="s">
        <v>69</v>
      </c>
      <c r="AN4" t="s">
        <v>87</v>
      </c>
      <c r="AP4" t="s">
        <v>48</v>
      </c>
      <c r="AQ4">
        <v>1</v>
      </c>
      <c r="AS4">
        <v>2</v>
      </c>
      <c r="AT4" t="s">
        <v>89</v>
      </c>
      <c r="AU4" t="s">
        <v>84</v>
      </c>
      <c r="AV4" t="s">
        <v>51</v>
      </c>
      <c r="AX4">
        <v>18</v>
      </c>
      <c r="AY4">
        <v>67</v>
      </c>
      <c r="AZ4">
        <v>30</v>
      </c>
      <c r="BA4">
        <v>2</v>
      </c>
    </row>
    <row r="5" spans="1:53" x14ac:dyDescent="0.25">
      <c r="A5" t="s">
        <v>223</v>
      </c>
      <c r="B5" t="s">
        <v>53</v>
      </c>
      <c r="C5">
        <v>2</v>
      </c>
      <c r="D5">
        <v>1</v>
      </c>
      <c r="E5">
        <v>1</v>
      </c>
      <c r="F5" t="s">
        <v>114</v>
      </c>
      <c r="J5" t="s">
        <v>56</v>
      </c>
      <c r="K5">
        <v>3</v>
      </c>
      <c r="M5">
        <v>1</v>
      </c>
      <c r="N5" t="s">
        <v>57</v>
      </c>
      <c r="O5" t="s">
        <v>125</v>
      </c>
      <c r="P5" t="s">
        <v>87</v>
      </c>
      <c r="R5" t="s">
        <v>48</v>
      </c>
      <c r="S5">
        <v>3</v>
      </c>
      <c r="U5">
        <v>1</v>
      </c>
      <c r="V5" t="s">
        <v>89</v>
      </c>
      <c r="W5" t="s">
        <v>84</v>
      </c>
      <c r="Z5" t="s">
        <v>33</v>
      </c>
      <c r="AA5">
        <v>2</v>
      </c>
      <c r="AC5">
        <v>1</v>
      </c>
      <c r="AD5" t="s">
        <v>34</v>
      </c>
      <c r="AE5" t="s">
        <v>66</v>
      </c>
      <c r="AF5" t="s">
        <v>36</v>
      </c>
      <c r="AH5" t="s">
        <v>45</v>
      </c>
      <c r="AI5">
        <v>3</v>
      </c>
      <c r="AK5">
        <v>1</v>
      </c>
      <c r="AL5" t="s">
        <v>143</v>
      </c>
      <c r="AM5" t="s">
        <v>76</v>
      </c>
      <c r="AN5" t="s">
        <v>102</v>
      </c>
      <c r="AO5" t="s">
        <v>147</v>
      </c>
      <c r="AP5" t="s">
        <v>63</v>
      </c>
      <c r="AQ5">
        <v>1</v>
      </c>
      <c r="AS5">
        <v>1</v>
      </c>
      <c r="AT5" t="s">
        <v>103</v>
      </c>
      <c r="AX5">
        <v>16</v>
      </c>
      <c r="AY5">
        <v>63</v>
      </c>
      <c r="AZ5">
        <v>30</v>
      </c>
      <c r="BA5">
        <v>2</v>
      </c>
    </row>
    <row r="6" spans="1:53" x14ac:dyDescent="0.25">
      <c r="A6" t="s">
        <v>224</v>
      </c>
      <c r="B6" t="s">
        <v>53</v>
      </c>
      <c r="C6">
        <v>2</v>
      </c>
      <c r="D6">
        <v>2</v>
      </c>
      <c r="E6">
        <v>1</v>
      </c>
      <c r="F6" t="s">
        <v>115</v>
      </c>
      <c r="G6" t="s">
        <v>55</v>
      </c>
      <c r="J6" t="s">
        <v>56</v>
      </c>
      <c r="K6">
        <v>2</v>
      </c>
      <c r="M6">
        <v>2</v>
      </c>
      <c r="N6" t="s">
        <v>57</v>
      </c>
      <c r="O6" t="s">
        <v>69</v>
      </c>
      <c r="P6" t="s">
        <v>87</v>
      </c>
      <c r="R6" t="s">
        <v>48</v>
      </c>
      <c r="S6">
        <v>1</v>
      </c>
      <c r="U6">
        <v>3</v>
      </c>
      <c r="V6" t="s">
        <v>89</v>
      </c>
      <c r="Z6" t="s">
        <v>33</v>
      </c>
      <c r="AA6">
        <v>2</v>
      </c>
      <c r="AC6">
        <v>1</v>
      </c>
      <c r="AD6" t="s">
        <v>46</v>
      </c>
      <c r="AE6" t="s">
        <v>66</v>
      </c>
      <c r="AH6" t="s">
        <v>45</v>
      </c>
      <c r="AI6">
        <v>1</v>
      </c>
      <c r="AK6">
        <v>1</v>
      </c>
      <c r="AL6" t="s">
        <v>143</v>
      </c>
      <c r="AM6" t="s">
        <v>92</v>
      </c>
      <c r="AP6" t="s">
        <v>38</v>
      </c>
      <c r="AQ6">
        <v>2</v>
      </c>
      <c r="AR6">
        <v>1</v>
      </c>
      <c r="AS6">
        <v>2</v>
      </c>
      <c r="AT6" t="s">
        <v>67</v>
      </c>
      <c r="AU6" t="s">
        <v>40</v>
      </c>
      <c r="AV6" t="s">
        <v>41</v>
      </c>
      <c r="AW6" t="s">
        <v>159</v>
      </c>
      <c r="AX6">
        <v>17</v>
      </c>
      <c r="AY6">
        <v>81</v>
      </c>
      <c r="AZ6">
        <v>30</v>
      </c>
      <c r="BA6">
        <v>2</v>
      </c>
    </row>
    <row r="7" spans="1:53" x14ac:dyDescent="0.25">
      <c r="A7" t="s">
        <v>225</v>
      </c>
      <c r="B7" t="s">
        <v>33</v>
      </c>
      <c r="C7">
        <v>1</v>
      </c>
      <c r="E7">
        <v>1</v>
      </c>
      <c r="F7" t="s">
        <v>65</v>
      </c>
      <c r="G7" t="s">
        <v>35</v>
      </c>
      <c r="J7" t="s">
        <v>63</v>
      </c>
      <c r="K7">
        <v>3</v>
      </c>
      <c r="M7">
        <v>3</v>
      </c>
      <c r="N7" t="s">
        <v>72</v>
      </c>
      <c r="R7" t="s">
        <v>38</v>
      </c>
      <c r="S7">
        <v>2</v>
      </c>
      <c r="T7">
        <v>2</v>
      </c>
      <c r="U7">
        <v>2</v>
      </c>
      <c r="V7" t="s">
        <v>67</v>
      </c>
      <c r="W7" t="s">
        <v>70</v>
      </c>
      <c r="X7" t="s">
        <v>157</v>
      </c>
      <c r="Y7" t="s">
        <v>159</v>
      </c>
      <c r="Z7" t="s">
        <v>53</v>
      </c>
      <c r="AA7">
        <v>2</v>
      </c>
      <c r="AB7">
        <v>1</v>
      </c>
      <c r="AC7">
        <v>1</v>
      </c>
      <c r="AD7" t="s">
        <v>54</v>
      </c>
      <c r="AE7" t="s">
        <v>83</v>
      </c>
      <c r="AH7" t="s">
        <v>56</v>
      </c>
      <c r="AI7">
        <v>2</v>
      </c>
      <c r="AK7">
        <v>3</v>
      </c>
      <c r="AL7" t="s">
        <v>123</v>
      </c>
      <c r="AM7" t="s">
        <v>69</v>
      </c>
      <c r="AN7" t="s">
        <v>126</v>
      </c>
      <c r="AO7" t="s">
        <v>127</v>
      </c>
      <c r="AP7" t="s">
        <v>48</v>
      </c>
      <c r="AQ7">
        <v>1</v>
      </c>
      <c r="AS7">
        <v>1</v>
      </c>
      <c r="AT7" t="s">
        <v>89</v>
      </c>
      <c r="AX7">
        <v>19</v>
      </c>
      <c r="AY7">
        <v>91</v>
      </c>
      <c r="AZ7">
        <v>30</v>
      </c>
      <c r="BA7">
        <v>2</v>
      </c>
    </row>
    <row r="8" spans="1:53" x14ac:dyDescent="0.25">
      <c r="A8" t="s">
        <v>226</v>
      </c>
      <c r="B8" t="s">
        <v>53</v>
      </c>
      <c r="C8">
        <v>2</v>
      </c>
      <c r="D8">
        <v>2</v>
      </c>
      <c r="E8">
        <v>3</v>
      </c>
      <c r="F8" t="s">
        <v>115</v>
      </c>
      <c r="G8" t="s">
        <v>83</v>
      </c>
      <c r="H8" t="s">
        <v>117</v>
      </c>
      <c r="I8" t="s">
        <v>98</v>
      </c>
      <c r="J8" t="s">
        <v>56</v>
      </c>
      <c r="K8">
        <v>1</v>
      </c>
      <c r="M8">
        <v>1</v>
      </c>
      <c r="N8" t="s">
        <v>68</v>
      </c>
      <c r="R8" t="s">
        <v>48</v>
      </c>
      <c r="S8">
        <v>1</v>
      </c>
      <c r="U8">
        <v>1</v>
      </c>
      <c r="V8" t="s">
        <v>89</v>
      </c>
      <c r="W8" t="s">
        <v>71</v>
      </c>
      <c r="Z8" t="s">
        <v>43</v>
      </c>
      <c r="AA8">
        <v>1</v>
      </c>
      <c r="AC8">
        <v>1</v>
      </c>
      <c r="AD8" t="s">
        <v>44</v>
      </c>
      <c r="AE8" t="s">
        <v>74</v>
      </c>
      <c r="AF8" t="s">
        <v>75</v>
      </c>
      <c r="AH8" t="s">
        <v>45</v>
      </c>
      <c r="AI8">
        <v>3</v>
      </c>
      <c r="AK8">
        <v>3</v>
      </c>
      <c r="AL8" t="s">
        <v>86</v>
      </c>
      <c r="AM8" t="s">
        <v>92</v>
      </c>
      <c r="AN8" t="s">
        <v>102</v>
      </c>
      <c r="AO8" t="s">
        <v>146</v>
      </c>
      <c r="AP8" t="s">
        <v>63</v>
      </c>
      <c r="AQ8">
        <v>1</v>
      </c>
      <c r="AS8">
        <v>2</v>
      </c>
      <c r="AT8" t="s">
        <v>103</v>
      </c>
      <c r="AX8">
        <v>19</v>
      </c>
      <c r="AY8">
        <v>91</v>
      </c>
      <c r="AZ8">
        <v>30</v>
      </c>
      <c r="BA8">
        <v>2</v>
      </c>
    </row>
    <row r="9" spans="1:53" x14ac:dyDescent="0.25">
      <c r="A9" t="s">
        <v>227</v>
      </c>
      <c r="B9" t="s">
        <v>43</v>
      </c>
      <c r="C9">
        <v>1</v>
      </c>
      <c r="E9">
        <v>1</v>
      </c>
      <c r="F9" t="s">
        <v>44</v>
      </c>
      <c r="G9" t="s">
        <v>99</v>
      </c>
      <c r="H9" t="s">
        <v>140</v>
      </c>
      <c r="J9" t="s">
        <v>45</v>
      </c>
      <c r="K9">
        <v>3</v>
      </c>
      <c r="M9">
        <v>1</v>
      </c>
      <c r="N9" t="s">
        <v>143</v>
      </c>
      <c r="O9" t="s">
        <v>76</v>
      </c>
      <c r="P9" t="s">
        <v>102</v>
      </c>
      <c r="R9" t="s">
        <v>38</v>
      </c>
      <c r="S9">
        <v>2</v>
      </c>
      <c r="T9">
        <v>1</v>
      </c>
      <c r="U9">
        <v>1</v>
      </c>
      <c r="V9" t="s">
        <v>67</v>
      </c>
      <c r="W9" t="s">
        <v>96</v>
      </c>
      <c r="X9" t="s">
        <v>157</v>
      </c>
      <c r="Z9" t="s">
        <v>53</v>
      </c>
      <c r="AA9">
        <v>2</v>
      </c>
      <c r="AB9">
        <v>1</v>
      </c>
      <c r="AC9">
        <v>1</v>
      </c>
      <c r="AD9" t="s">
        <v>114</v>
      </c>
      <c r="AE9" t="s">
        <v>116</v>
      </c>
      <c r="AH9" t="s">
        <v>56</v>
      </c>
      <c r="AI9">
        <v>1</v>
      </c>
      <c r="AK9">
        <v>1</v>
      </c>
      <c r="AL9" t="s">
        <v>68</v>
      </c>
      <c r="AM9" t="s">
        <v>69</v>
      </c>
      <c r="AN9" t="s">
        <v>85</v>
      </c>
      <c r="AP9" t="s">
        <v>48</v>
      </c>
      <c r="AQ9">
        <v>1</v>
      </c>
      <c r="AS9">
        <v>2</v>
      </c>
      <c r="AT9" t="s">
        <v>89</v>
      </c>
      <c r="AU9" t="s">
        <v>71</v>
      </c>
      <c r="AX9">
        <v>15</v>
      </c>
      <c r="AY9">
        <v>62</v>
      </c>
      <c r="AZ9">
        <v>30</v>
      </c>
      <c r="BA9">
        <v>2</v>
      </c>
    </row>
    <row r="10" spans="1:53" x14ac:dyDescent="0.25">
      <c r="A10" t="s">
        <v>228</v>
      </c>
      <c r="B10" t="s">
        <v>43</v>
      </c>
      <c r="C10">
        <v>1</v>
      </c>
      <c r="E10">
        <v>1</v>
      </c>
      <c r="F10" t="s">
        <v>73</v>
      </c>
      <c r="G10" t="s">
        <v>74</v>
      </c>
      <c r="J10" t="s">
        <v>63</v>
      </c>
      <c r="K10">
        <v>3</v>
      </c>
      <c r="M10">
        <v>2</v>
      </c>
      <c r="N10" t="s">
        <v>72</v>
      </c>
      <c r="O10" t="s">
        <v>91</v>
      </c>
      <c r="P10" t="s">
        <v>150</v>
      </c>
      <c r="R10" t="s">
        <v>38</v>
      </c>
      <c r="S10">
        <v>3</v>
      </c>
      <c r="T10">
        <v>3</v>
      </c>
      <c r="U10">
        <v>3</v>
      </c>
      <c r="V10" t="s">
        <v>67</v>
      </c>
      <c r="W10" t="s">
        <v>70</v>
      </c>
      <c r="X10" t="s">
        <v>41</v>
      </c>
      <c r="Y10" t="s">
        <v>159</v>
      </c>
      <c r="Z10" t="s">
        <v>53</v>
      </c>
      <c r="AA10">
        <v>2</v>
      </c>
      <c r="AB10">
        <v>3</v>
      </c>
      <c r="AC10">
        <v>1</v>
      </c>
      <c r="AD10" t="s">
        <v>54</v>
      </c>
      <c r="AE10" t="s">
        <v>55</v>
      </c>
      <c r="AF10" t="s">
        <v>97</v>
      </c>
      <c r="AG10" t="s">
        <v>98</v>
      </c>
      <c r="AH10" t="s">
        <v>56</v>
      </c>
      <c r="AI10">
        <v>3</v>
      </c>
      <c r="AK10">
        <v>2</v>
      </c>
      <c r="AL10" t="s">
        <v>57</v>
      </c>
      <c r="AM10" t="s">
        <v>124</v>
      </c>
      <c r="AN10" t="s">
        <v>87</v>
      </c>
      <c r="AO10" t="s">
        <v>88</v>
      </c>
      <c r="AP10" t="s">
        <v>48</v>
      </c>
      <c r="AQ10">
        <v>1</v>
      </c>
      <c r="AS10">
        <v>1</v>
      </c>
      <c r="AT10" t="s">
        <v>89</v>
      </c>
      <c r="AU10" t="s">
        <v>84</v>
      </c>
      <c r="AX10">
        <v>28</v>
      </c>
      <c r="AY10">
        <v>109</v>
      </c>
      <c r="AZ10">
        <v>30</v>
      </c>
      <c r="BA10">
        <v>2</v>
      </c>
    </row>
    <row r="11" spans="1:53" x14ac:dyDescent="0.25">
      <c r="A11" t="s">
        <v>229</v>
      </c>
      <c r="B11" t="s">
        <v>45</v>
      </c>
      <c r="C11">
        <v>3</v>
      </c>
      <c r="E11">
        <v>1</v>
      </c>
      <c r="F11" t="s">
        <v>143</v>
      </c>
      <c r="G11" t="s">
        <v>144</v>
      </c>
      <c r="J11" t="s">
        <v>63</v>
      </c>
      <c r="K11">
        <v>2</v>
      </c>
      <c r="M11">
        <v>1</v>
      </c>
      <c r="N11" t="s">
        <v>72</v>
      </c>
      <c r="R11" t="s">
        <v>38</v>
      </c>
      <c r="S11">
        <v>1</v>
      </c>
      <c r="T11">
        <v>2</v>
      </c>
      <c r="U11">
        <v>1</v>
      </c>
      <c r="V11" t="s">
        <v>155</v>
      </c>
      <c r="W11" t="s">
        <v>70</v>
      </c>
      <c r="Z11" t="s">
        <v>53</v>
      </c>
      <c r="AA11">
        <v>2</v>
      </c>
      <c r="AB11">
        <v>1</v>
      </c>
      <c r="AC11">
        <v>1</v>
      </c>
      <c r="AD11" t="s">
        <v>54</v>
      </c>
      <c r="AE11" t="s">
        <v>55</v>
      </c>
      <c r="AF11" t="s">
        <v>97</v>
      </c>
      <c r="AH11" t="s">
        <v>56</v>
      </c>
      <c r="AI11">
        <v>1</v>
      </c>
      <c r="AK11">
        <v>1</v>
      </c>
      <c r="AL11" t="s">
        <v>68</v>
      </c>
      <c r="AP11" t="s">
        <v>48</v>
      </c>
      <c r="AQ11">
        <v>1</v>
      </c>
      <c r="AS11">
        <v>1</v>
      </c>
      <c r="AT11" t="s">
        <v>49</v>
      </c>
      <c r="AX11">
        <v>9</v>
      </c>
      <c r="AY11">
        <v>42</v>
      </c>
      <c r="AZ11">
        <v>30</v>
      </c>
      <c r="BA11">
        <v>2</v>
      </c>
    </row>
    <row r="12" spans="1:53" x14ac:dyDescent="0.25">
      <c r="A12" t="s">
        <v>230</v>
      </c>
      <c r="B12" t="s">
        <v>53</v>
      </c>
      <c r="C12">
        <v>2</v>
      </c>
      <c r="D12">
        <v>2</v>
      </c>
      <c r="E12">
        <v>2</v>
      </c>
      <c r="F12" t="s">
        <v>114</v>
      </c>
      <c r="G12" t="s">
        <v>55</v>
      </c>
      <c r="H12" t="s">
        <v>117</v>
      </c>
      <c r="J12" t="s">
        <v>56</v>
      </c>
      <c r="K12">
        <v>2</v>
      </c>
      <c r="M12">
        <v>1</v>
      </c>
      <c r="N12" t="s">
        <v>57</v>
      </c>
      <c r="O12" t="s">
        <v>69</v>
      </c>
      <c r="P12" t="s">
        <v>87</v>
      </c>
      <c r="R12" t="s">
        <v>33</v>
      </c>
      <c r="S12">
        <v>1</v>
      </c>
      <c r="U12">
        <v>2</v>
      </c>
      <c r="V12" t="s">
        <v>46</v>
      </c>
      <c r="Z12" t="s">
        <v>48</v>
      </c>
      <c r="AA12">
        <v>1</v>
      </c>
      <c r="AC12">
        <v>1</v>
      </c>
      <c r="AD12" t="s">
        <v>89</v>
      </c>
      <c r="AE12" t="s">
        <v>50</v>
      </c>
      <c r="AH12" t="s">
        <v>43</v>
      </c>
      <c r="AI12">
        <v>3</v>
      </c>
      <c r="AK12">
        <v>1</v>
      </c>
      <c r="AL12" t="s">
        <v>73</v>
      </c>
      <c r="AM12" t="s">
        <v>99</v>
      </c>
      <c r="AP12" t="s">
        <v>45</v>
      </c>
      <c r="AQ12">
        <v>3</v>
      </c>
      <c r="AS12">
        <v>2</v>
      </c>
      <c r="AT12" t="s">
        <v>143</v>
      </c>
      <c r="AU12" t="s">
        <v>76</v>
      </c>
      <c r="AX12">
        <v>17</v>
      </c>
      <c r="AY12">
        <v>72</v>
      </c>
      <c r="AZ12">
        <v>30</v>
      </c>
      <c r="BA12">
        <v>2</v>
      </c>
    </row>
    <row r="13" spans="1:53" x14ac:dyDescent="0.25">
      <c r="A13" t="s">
        <v>231</v>
      </c>
      <c r="B13" t="s">
        <v>53</v>
      </c>
      <c r="C13">
        <v>1</v>
      </c>
      <c r="D13">
        <v>3</v>
      </c>
      <c r="E13">
        <v>1</v>
      </c>
      <c r="F13" t="s">
        <v>115</v>
      </c>
      <c r="G13" t="s">
        <v>83</v>
      </c>
      <c r="H13" t="s">
        <v>117</v>
      </c>
      <c r="I13" t="s">
        <v>98</v>
      </c>
      <c r="J13" t="s">
        <v>56</v>
      </c>
      <c r="K13">
        <v>2</v>
      </c>
      <c r="M13">
        <v>1</v>
      </c>
      <c r="N13" t="s">
        <v>123</v>
      </c>
      <c r="O13" t="s">
        <v>69</v>
      </c>
      <c r="P13" t="s">
        <v>126</v>
      </c>
      <c r="Q13" t="s">
        <v>88</v>
      </c>
      <c r="R13" t="s">
        <v>33</v>
      </c>
      <c r="S13">
        <v>2</v>
      </c>
      <c r="U13">
        <v>1</v>
      </c>
      <c r="V13" t="s">
        <v>34</v>
      </c>
      <c r="Z13" t="s">
        <v>48</v>
      </c>
      <c r="AA13">
        <v>1</v>
      </c>
      <c r="AC13">
        <v>1</v>
      </c>
      <c r="AD13" t="s">
        <v>89</v>
      </c>
      <c r="AE13" t="s">
        <v>84</v>
      </c>
      <c r="AH13" t="s">
        <v>43</v>
      </c>
      <c r="AI13">
        <v>1</v>
      </c>
      <c r="AK13">
        <v>1</v>
      </c>
      <c r="AL13" t="s">
        <v>73</v>
      </c>
      <c r="AM13" t="s">
        <v>74</v>
      </c>
      <c r="AN13" t="s">
        <v>100</v>
      </c>
      <c r="AP13" t="s">
        <v>63</v>
      </c>
      <c r="AQ13">
        <v>3</v>
      </c>
      <c r="AS13">
        <v>3</v>
      </c>
      <c r="AT13" t="s">
        <v>72</v>
      </c>
      <c r="AU13" t="s">
        <v>91</v>
      </c>
      <c r="AV13" t="s">
        <v>104</v>
      </c>
      <c r="AW13" t="s">
        <v>154</v>
      </c>
      <c r="AX13">
        <v>20</v>
      </c>
      <c r="AY13">
        <v>165</v>
      </c>
      <c r="AZ13">
        <v>30</v>
      </c>
      <c r="BA13">
        <v>2</v>
      </c>
    </row>
    <row r="14" spans="1:53" x14ac:dyDescent="0.25">
      <c r="A14" t="s">
        <v>232</v>
      </c>
      <c r="B14" t="s">
        <v>53</v>
      </c>
      <c r="C14">
        <v>3</v>
      </c>
      <c r="D14">
        <v>2</v>
      </c>
      <c r="E14">
        <v>1</v>
      </c>
      <c r="F14" t="s">
        <v>115</v>
      </c>
      <c r="G14" t="s">
        <v>83</v>
      </c>
      <c r="H14" t="s">
        <v>117</v>
      </c>
      <c r="I14" t="s">
        <v>98</v>
      </c>
      <c r="J14" t="s">
        <v>56</v>
      </c>
      <c r="K14">
        <v>1</v>
      </c>
      <c r="M14">
        <v>1</v>
      </c>
      <c r="N14" t="s">
        <v>68</v>
      </c>
      <c r="O14" t="s">
        <v>124</v>
      </c>
      <c r="R14" t="s">
        <v>33</v>
      </c>
      <c r="S14">
        <v>1</v>
      </c>
      <c r="U14">
        <v>1</v>
      </c>
      <c r="V14" t="s">
        <v>65</v>
      </c>
      <c r="W14" t="s">
        <v>66</v>
      </c>
      <c r="X14" t="s">
        <v>36</v>
      </c>
      <c r="Z14" t="s">
        <v>48</v>
      </c>
      <c r="AA14">
        <v>1</v>
      </c>
      <c r="AC14">
        <v>1</v>
      </c>
      <c r="AD14" t="s">
        <v>89</v>
      </c>
      <c r="AH14" t="s">
        <v>43</v>
      </c>
      <c r="AI14">
        <v>1</v>
      </c>
      <c r="AK14">
        <v>2</v>
      </c>
      <c r="AL14" t="s">
        <v>73</v>
      </c>
      <c r="AM14" t="s">
        <v>99</v>
      </c>
      <c r="AP14" t="s">
        <v>38</v>
      </c>
      <c r="AQ14">
        <v>2</v>
      </c>
      <c r="AR14">
        <v>1</v>
      </c>
      <c r="AS14">
        <v>3</v>
      </c>
      <c r="AT14" t="s">
        <v>67</v>
      </c>
      <c r="AU14" t="s">
        <v>40</v>
      </c>
      <c r="AV14" t="s">
        <v>157</v>
      </c>
      <c r="AW14" t="s">
        <v>159</v>
      </c>
      <c r="AX14">
        <v>17</v>
      </c>
      <c r="AY14">
        <v>75</v>
      </c>
      <c r="AZ14">
        <v>30</v>
      </c>
      <c r="BA14">
        <v>2</v>
      </c>
    </row>
    <row r="15" spans="1:53" x14ac:dyDescent="0.25">
      <c r="A15" t="s">
        <v>233</v>
      </c>
      <c r="B15" t="s">
        <v>53</v>
      </c>
      <c r="C15">
        <v>3</v>
      </c>
      <c r="D15">
        <v>3</v>
      </c>
      <c r="E15">
        <v>3</v>
      </c>
      <c r="F15" t="s">
        <v>114</v>
      </c>
      <c r="G15" t="s">
        <v>55</v>
      </c>
      <c r="H15" t="s">
        <v>97</v>
      </c>
      <c r="I15" t="s">
        <v>98</v>
      </c>
      <c r="J15" t="s">
        <v>56</v>
      </c>
      <c r="K15">
        <v>1</v>
      </c>
      <c r="M15">
        <v>1</v>
      </c>
      <c r="N15" t="s">
        <v>68</v>
      </c>
      <c r="O15" t="s">
        <v>125</v>
      </c>
      <c r="R15" t="s">
        <v>33</v>
      </c>
      <c r="S15">
        <v>3</v>
      </c>
      <c r="U15">
        <v>1</v>
      </c>
      <c r="V15" t="s">
        <v>34</v>
      </c>
      <c r="W15" t="s">
        <v>66</v>
      </c>
      <c r="X15" t="s">
        <v>36</v>
      </c>
      <c r="Z15" t="s">
        <v>48</v>
      </c>
      <c r="AA15">
        <v>1</v>
      </c>
      <c r="AC15">
        <v>2</v>
      </c>
      <c r="AD15" t="s">
        <v>89</v>
      </c>
      <c r="AH15" t="s">
        <v>45</v>
      </c>
      <c r="AI15">
        <v>2</v>
      </c>
      <c r="AK15">
        <v>1</v>
      </c>
      <c r="AL15" t="s">
        <v>86</v>
      </c>
      <c r="AM15" t="s">
        <v>92</v>
      </c>
      <c r="AP15" t="s">
        <v>63</v>
      </c>
      <c r="AQ15">
        <v>3</v>
      </c>
      <c r="AS15">
        <v>3</v>
      </c>
      <c r="AT15" t="s">
        <v>72</v>
      </c>
      <c r="AU15" t="s">
        <v>91</v>
      </c>
      <c r="AV15" t="s">
        <v>104</v>
      </c>
      <c r="AW15" t="s">
        <v>152</v>
      </c>
      <c r="AX15">
        <v>25</v>
      </c>
      <c r="AY15">
        <v>97</v>
      </c>
      <c r="AZ15">
        <v>30</v>
      </c>
      <c r="BA15">
        <v>2</v>
      </c>
    </row>
    <row r="16" spans="1:53" x14ac:dyDescent="0.25">
      <c r="A16" t="s">
        <v>234</v>
      </c>
      <c r="B16" t="s">
        <v>53</v>
      </c>
      <c r="C16">
        <v>2</v>
      </c>
      <c r="D16">
        <v>1</v>
      </c>
      <c r="E16">
        <v>1</v>
      </c>
      <c r="F16" t="s">
        <v>114</v>
      </c>
      <c r="G16" t="s">
        <v>55</v>
      </c>
      <c r="J16" t="s">
        <v>56</v>
      </c>
      <c r="K16">
        <v>2</v>
      </c>
      <c r="M16">
        <v>3</v>
      </c>
      <c r="N16" t="s">
        <v>57</v>
      </c>
      <c r="O16" t="s">
        <v>69</v>
      </c>
      <c r="P16" t="s">
        <v>87</v>
      </c>
      <c r="Q16" t="s">
        <v>128</v>
      </c>
      <c r="R16" t="s">
        <v>33</v>
      </c>
      <c r="S16">
        <v>2</v>
      </c>
      <c r="U16">
        <v>1</v>
      </c>
      <c r="V16" t="s">
        <v>65</v>
      </c>
      <c r="Z16" t="s">
        <v>48</v>
      </c>
      <c r="AA16">
        <v>3</v>
      </c>
      <c r="AC16">
        <v>1</v>
      </c>
      <c r="AD16" t="s">
        <v>89</v>
      </c>
      <c r="AH16" t="s">
        <v>45</v>
      </c>
      <c r="AI16">
        <v>2</v>
      </c>
      <c r="AK16">
        <v>1</v>
      </c>
      <c r="AL16" t="s">
        <v>86</v>
      </c>
      <c r="AM16" t="s">
        <v>144</v>
      </c>
      <c r="AN16" t="s">
        <v>93</v>
      </c>
      <c r="AO16" t="s">
        <v>147</v>
      </c>
      <c r="AP16" t="s">
        <v>38</v>
      </c>
      <c r="AQ16">
        <v>3</v>
      </c>
      <c r="AR16">
        <v>1</v>
      </c>
      <c r="AS16">
        <v>2</v>
      </c>
      <c r="AT16" t="s">
        <v>67</v>
      </c>
      <c r="AU16" t="s">
        <v>40</v>
      </c>
      <c r="AX16">
        <v>19</v>
      </c>
      <c r="AY16">
        <v>71</v>
      </c>
      <c r="AZ16">
        <v>30</v>
      </c>
      <c r="BA16">
        <v>2</v>
      </c>
    </row>
    <row r="21" spans="1:1" x14ac:dyDescent="0.25">
      <c r="A21" s="4"/>
    </row>
    <row r="114" spans="1:1" x14ac:dyDescent="0.25">
      <c r="A114" s="4"/>
    </row>
  </sheetData>
  <conditionalFormatting sqref="A1:A1048576">
    <cfRule type="duplicateValues" dxfId="25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topLeftCell="C1" workbookViewId="0">
      <selection activeCell="R23" sqref="R23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hidden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178</v>
      </c>
      <c r="S1" s="7">
        <f>MIN(Table41[crystals])</f>
        <v>9</v>
      </c>
      <c r="U1" t="s">
        <v>109</v>
      </c>
      <c r="V1" s="10" t="s">
        <v>110</v>
      </c>
      <c r="W1" s="5" t="s">
        <v>111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161</v>
      </c>
      <c r="G2" t="s">
        <v>160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6" t="s">
        <v>107</v>
      </c>
      <c r="S2" s="7">
        <f>AVERAGE(Table41[crystals])</f>
        <v>18.2</v>
      </c>
      <c r="U2">
        <v>30000</v>
      </c>
      <c r="V2" s="10">
        <f>Table641[[#This Row],[Think Time]]*$S$6/1000/60</f>
        <v>41.033333333333331</v>
      </c>
      <c r="W2" s="10">
        <f>Table641[[#This Row],[Estimated Battle Time (mins)]]*COUNTA(Таблица26[hero-1])/60</f>
        <v>191.48888888888888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" s="3">
        <f>IF(Table340[[#This Row],[battles]],Table340[[#This Row],[wins]]/Table340[[#This Row],[battles]],0)</f>
        <v>0.5</v>
      </c>
      <c r="R3" s="6" t="s">
        <v>180</v>
      </c>
      <c r="S3" s="7">
        <f>MAX(Table41[crystals])</f>
        <v>28</v>
      </c>
      <c r="U3">
        <v>60000</v>
      </c>
      <c r="V3" s="10">
        <f>Table641[[#This Row],[Think Time]]*$S$6/1000/60</f>
        <v>82.066666666666663</v>
      </c>
      <c r="W3" s="10">
        <f>Table641[[#This Row],[Estimated Battle Time (mins)]]*COUNTA(Таблица26[hero-1])/60</f>
        <v>382.97777777777776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5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4" s="3">
        <f>IF(Table340[[#This Row],[battles]],Table340[[#This Row],[wins]]/Table340[[#This Row],[battles]],0)</f>
        <v>1</v>
      </c>
      <c r="U4">
        <v>120000</v>
      </c>
      <c r="V4" s="10">
        <f>Table641[[#This Row],[Think Time]]*$S$6/1000/60</f>
        <v>164.13333333333333</v>
      </c>
      <c r="W4" s="10">
        <f>Table641[[#This Row],[Estimated Battle Time (mins)]]*COUNTA(Таблица26[hero-1])/60</f>
        <v>765.95555555555552</v>
      </c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" s="3">
        <f>IF(Table340[[#This Row],[battles]],Table340[[#This Row],[wins]]/Table340[[#This Row],[battles]],0)</f>
        <v>0</v>
      </c>
      <c r="R5" s="6" t="s">
        <v>179</v>
      </c>
      <c r="S5" s="7">
        <f>MIN(Table41[turns])</f>
        <v>42</v>
      </c>
      <c r="W5" s="10"/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6" s="3">
        <f>IF(Table340[[#This Row],[battles]],Table340[[#This Row],[wins]]/Table340[[#This Row],[battles]],0)</f>
        <v>0</v>
      </c>
      <c r="R6" s="8" t="s">
        <v>108</v>
      </c>
      <c r="S6" s="9">
        <f>AVERAGE(Table41[turns])</f>
        <v>82.066666666666663</v>
      </c>
      <c r="W6" s="10"/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7" s="3">
        <f>IF(Table340[[#This Row],[battles]],Table340[[#This Row],[wins]]/Table340[[#This Row],[battles]],0)</f>
        <v>0</v>
      </c>
      <c r="R7" s="8" t="s">
        <v>181</v>
      </c>
      <c r="S7" s="9">
        <f>MAX(Table41[turns])</f>
        <v>165</v>
      </c>
    </row>
    <row r="8" spans="1:23" x14ac:dyDescent="0.25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8" s="3">
        <f>IF(Table340[[#This Row],[battles]],Table340[[#This Row],[wins]]/Table340[[#This Row],[battles]],0)</f>
        <v>0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9" s="3">
        <f>IF(Table340[[#This Row],[battles]],Table340[[#This Row],[wins]]/Table340[[#This Row],[battles]],0)</f>
        <v>0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0" s="3">
        <f>IF(Table340[[#This Row],[battles]],Table340[[#This Row],[wins]]/Table340[[#This Row],[battles]],0)</f>
        <v>0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1" s="3">
        <f>IF(Table340[[#This Row],[battles]],Table340[[#This Row],[wins]]/Table340[[#This Row],[battles]],0)</f>
        <v>0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2" s="3">
        <f>IF(Table340[[#This Row],[battles]],Table340[[#This Row],[wins]]/Table340[[#This Row],[battles]],0)</f>
        <v>0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3" s="3">
        <f>IF(Table340[[#This Row],[battles]],Table340[[#This Row],[wins]]/Table340[[#This Row],[battles]],0)</f>
        <v>0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4" s="3">
        <f>IF(Table340[[#This Row],[battles]],Table340[[#This Row],[wins]]/Table340[[#This Row],[battles]],0)</f>
        <v>0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5" s="3">
        <f>IF(Table340[[#This Row],[battles]],Table340[[#This Row],[wins]]/Table340[[#This Row],[battles]],0)</f>
        <v>0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6" s="3">
        <f>IF(Table340[[#This Row],[battles]],Table340[[#This Row],[wins]]/Table340[[#This Row],[battles]],0)</f>
        <v>0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7" s="3">
        <f>IF(Table340[[#This Row],[battles]],Table340[[#This Row],[wins]]/Table340[[#This Row],[battles]],0)</f>
        <v>0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" s="20">
        <f>Таблица26[[#This Row],[team-1-win]]+Таблица26[[#This Row],[team-2-win]]</f>
        <v>0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8" s="3">
        <f>IF(Table340[[#This Row],[battles]],Table340[[#This Row],[wins]]/Table340[[#This Row],[battles]],0)</f>
        <v>0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" s="20">
        <f>Таблица26[[#This Row],[team-1-win]]+Таблица26[[#This Row],[team-2-win]]</f>
        <v>0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9" s="3">
        <f>IF(Table340[[#This Row],[battles]],Table340[[#This Row],[wins]]/Table340[[#This Row],[battles]],0)</f>
        <v>0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" s="20">
        <f>Таблица26[[#This Row],[team-1-win]]+Таблица26[[#This Row],[team-2-win]]</f>
        <v>0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0" s="3">
        <f>IF(Table340[[#This Row],[battles]],Table340[[#This Row],[wins]]/Table340[[#This Row],[battles]],0)</f>
        <v>0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" s="20">
        <f>Таблица26[[#This Row],[team-1-win]]+Таблица26[[#This Row],[team-2-win]]</f>
        <v>0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1" s="3">
        <f>IF(Table340[[#This Row],[battles]],Table340[[#This Row],[wins]]/Table340[[#This Row],[battles]],0)</f>
        <v>0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" s="20">
        <f>Таблица26[[#This Row],[team-1-win]]+Таблица26[[#This Row],[team-2-win]]</f>
        <v>0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2" s="3">
        <f>IF(Table340[[#This Row],[battles]],Table340[[#This Row],[wins]]/Table340[[#This Row],[battles]],0)</f>
        <v>0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" s="20">
        <f>Таблица26[[#This Row],[team-1-win]]+Таблица26[[#This Row],[team-2-win]]</f>
        <v>0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3" s="3">
        <f>IF(Table340[[#This Row],[battles]],Table340[[#This Row],[wins]]/Table340[[#This Row],[battles]],0)</f>
        <v>0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0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4" s="3">
        <f>IF(Table340[[#This Row],[battles]],Table340[[#This Row],[wins]]/Table340[[#This Row],[battles]],0)</f>
        <v>0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" s="20">
        <f>Таблица26[[#This Row],[team-1-win]]+Таблица26[[#This Row],[team-2-win]]</f>
        <v>0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5" s="3">
        <f>IF(Table340[[#This Row],[battles]],Table340[[#This Row],[wins]]/Table340[[#This Row],[battles]],0)</f>
        <v>0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" s="20">
        <f>Таблица26[[#This Row],[team-1-win]]+Таблица26[[#This Row],[team-2-win]]</f>
        <v>0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6" s="3">
        <f>IF(Table340[[#This Row],[battles]],Table340[[#This Row],[wins]]/Table340[[#This Row],[battles]],0)</f>
        <v>0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" s="20">
        <f>Таблица26[[#This Row],[team-1-win]]+Таблица26[[#This Row],[team-2-win]]</f>
        <v>0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7" s="3">
        <f>IF(Table340[[#This Row],[battles]],Table340[[#This Row],[wins]]/Table340[[#This Row],[battles]],0)</f>
        <v>0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" s="20">
        <f>Таблица26[[#This Row],[team-1-win]]+Таблица26[[#This Row],[team-2-win]]</f>
        <v>0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8" s="3">
        <f>IF(Table340[[#This Row],[battles]],Table340[[#This Row],[wins]]/Table340[[#This Row],[battles]],0)</f>
        <v>0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9" s="20">
        <f>Таблица26[[#This Row],[team-1-win]]+Таблица26[[#This Row],[team-2-win]]</f>
        <v>0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9" s="3">
        <f>IF(Table340[[#This Row],[battles]],Table340[[#This Row],[wins]]/Table340[[#This Row],[battles]],0)</f>
        <v>0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0" s="20">
        <f>Таблица26[[#This Row],[team-1-win]]+Таблица26[[#This Row],[team-2-win]]</f>
        <v>0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0" s="3">
        <f>IF(Table340[[#This Row],[battles]],Table340[[#This Row],[wins]]/Table340[[#This Row],[battles]],0)</f>
        <v>0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1" s="20">
        <f>Таблица26[[#This Row],[team-1-win]]+Таблица26[[#This Row],[team-2-win]]</f>
        <v>0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1" s="3">
        <f>IF(Table340[[#This Row],[battles]],Table340[[#This Row],[wins]]/Table340[[#This Row],[battles]],0)</f>
        <v>0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2" s="20">
        <f>Таблица26[[#This Row],[team-1-win]]+Таблица26[[#This Row],[team-2-win]]</f>
        <v>0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2" s="3">
        <f>IF(Table340[[#This Row],[battles]],Table340[[#This Row],[wins]]/Table340[[#This Row],[battles]],0)</f>
        <v>0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3" s="20">
        <f>Таблица26[[#This Row],[team-1-win]]+Таблица26[[#This Row],[team-2-win]]</f>
        <v>0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3" s="3">
        <f>IF(Table340[[#This Row],[battles]],Table340[[#This Row],[wins]]/Table340[[#This Row],[battles]],0)</f>
        <v>0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4" s="20">
        <f>Таблица26[[#This Row],[team-1-win]]+Таблица26[[#This Row],[team-2-win]]</f>
        <v>0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4" s="3">
        <f>IF(Table340[[#This Row],[battles]],Table340[[#This Row],[wins]]/Table340[[#This Row],[battles]],0)</f>
        <v>0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5" s="20">
        <f>Таблица26[[#This Row],[team-1-win]]+Таблица26[[#This Row],[team-2-win]]</f>
        <v>0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5" s="3">
        <f>IF(Table340[[#This Row],[battles]],Table340[[#This Row],[wins]]/Table340[[#This Row],[battles]],0)</f>
        <v>0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6" s="20">
        <f>Таблица26[[#This Row],[team-1-win]]+Таблица26[[#This Row],[team-2-win]]</f>
        <v>0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6" s="3">
        <f>IF(Table340[[#This Row],[battles]],Table340[[#This Row],[wins]]/Table340[[#This Row],[battles]],0)</f>
        <v>0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7" s="20">
        <f>Таблица26[[#This Row],[team-1-win]]+Таблица26[[#This Row],[team-2-win]]</f>
        <v>0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7" s="3">
        <f>IF(Table340[[#This Row],[battles]],Table340[[#This Row],[wins]]/Table340[[#This Row],[battles]],0)</f>
        <v>0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8" s="20">
        <f>Таблица26[[#This Row],[team-1-win]]+Таблица26[[#This Row],[team-2-win]]</f>
        <v>0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8" s="3">
        <f>IF(Table340[[#This Row],[battles]],Table340[[#This Row],[wins]]/Table340[[#This Row],[battles]],0)</f>
        <v>0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0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9" s="3">
        <f>IF(Table340[[#This Row],[battles]],Table340[[#This Row],[wins]]/Table340[[#This Row],[battles]],0)</f>
        <v>0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0" s="20">
        <f>Таблица26[[#This Row],[team-1-win]]+Таблица26[[#This Row],[team-2-win]]</f>
        <v>0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0" s="3">
        <f>IF(Table340[[#This Row],[battles]],Table340[[#This Row],[wins]]/Table340[[#This Row],[battles]],0)</f>
        <v>0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1" s="20">
        <f>Таблица26[[#This Row],[team-1-win]]+Таблица26[[#This Row],[team-2-win]]</f>
        <v>0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1" s="3">
        <f>IF(Table340[[#This Row],[battles]],Table340[[#This Row],[wins]]/Table340[[#This Row],[battles]],0)</f>
        <v>0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0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2" s="3">
        <f>IF(Table340[[#This Row],[battles]],Table340[[#This Row],[wins]]/Table340[[#This Row],[battles]],0)</f>
        <v>0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3" s="20">
        <f>Таблица26[[#This Row],[team-1-win]]+Таблица26[[#This Row],[team-2-win]]</f>
        <v>0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3" s="3">
        <f>IF(Table340[[#This Row],[battles]],Table340[[#This Row],[wins]]/Table340[[#This Row],[battles]],0)</f>
        <v>0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4" s="20">
        <f>Таблица26[[#This Row],[team-1-win]]+Таблица26[[#This Row],[team-2-win]]</f>
        <v>0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4" s="3">
        <f>IF(Table340[[#This Row],[battles]],Table340[[#This Row],[wins]]/Table340[[#This Row],[battles]],0)</f>
        <v>0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5" s="20">
        <f>Таблица26[[#This Row],[team-1-win]]+Таблица26[[#This Row],[team-2-win]]</f>
        <v>0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5" s="3">
        <f>IF(Table340[[#This Row],[battles]],Table340[[#This Row],[wins]]/Table340[[#This Row],[battles]],0)</f>
        <v>0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6" s="20">
        <f>Таблица26[[#This Row],[team-1-win]]+Таблица26[[#This Row],[team-2-win]]</f>
        <v>0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6" s="3">
        <f>IF(Table340[[#This Row],[battles]],Table340[[#This Row],[wins]]/Table340[[#This Row],[battles]],0)</f>
        <v>0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7" s="20">
        <f>Таблица26[[#This Row],[team-1-win]]+Таблица26[[#This Row],[team-2-win]]</f>
        <v>0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7" s="3">
        <f>IF(Table340[[#This Row],[battles]],Table340[[#This Row],[wins]]/Table340[[#This Row],[battles]],0)</f>
        <v>0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8" s="20">
        <f>Таблица26[[#This Row],[team-1-win]]+Таблица26[[#This Row],[team-2-win]]</f>
        <v>0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8" s="3">
        <f>IF(Table340[[#This Row],[battles]],Table340[[#This Row],[wins]]/Table340[[#This Row],[battles]],0)</f>
        <v>0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9" s="20">
        <f>Таблица26[[#This Row],[team-1-win]]+Таблица26[[#This Row],[team-2-win]]</f>
        <v>0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9" s="3">
        <f>IF(Table340[[#This Row],[battles]],Table340[[#This Row],[wins]]/Table340[[#This Row],[battles]],0)</f>
        <v>0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0" s="20">
        <f>Таблица26[[#This Row],[team-1-win]]+Таблица26[[#This Row],[team-2-win]]</f>
        <v>0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0" s="3">
        <f>IF(Table340[[#This Row],[battles]],Table340[[#This Row],[wins]]/Table340[[#This Row],[battles]],0)</f>
        <v>0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1" s="20">
        <f>Таблица26[[#This Row],[team-1-win]]+Таблица26[[#This Row],[team-2-win]]</f>
        <v>0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1" s="3">
        <f>IF(Table340[[#This Row],[battles]],Table340[[#This Row],[wins]]/Table340[[#This Row],[battles]],0)</f>
        <v>1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2" s="20">
        <f>Таблица26[[#This Row],[team-1-win]]+Таблица26[[#This Row],[team-2-win]]</f>
        <v>0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2" s="3">
        <f>IF(Table340[[#This Row],[battles]],Table340[[#This Row],[wins]]/Table340[[#This Row],[battles]],0)</f>
        <v>0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0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3" s="3">
        <f>IF(Table340[[#This Row],[battles]],Table340[[#This Row],[wins]]/Table340[[#This Row],[battles]],0)</f>
        <v>0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4" s="20">
        <f>Таблица26[[#This Row],[team-1-win]]+Таблица26[[#This Row],[team-2-win]]</f>
        <v>0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4" s="3">
        <f>IF(Table340[[#This Row],[battles]],Table340[[#This Row],[wins]]/Table340[[#This Row],[battles]],0)</f>
        <v>1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5" s="20">
        <f>Таблица26[[#This Row],[team-1-win]]+Таблица26[[#This Row],[team-2-win]]</f>
        <v>0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5" s="3">
        <f>IF(Table340[[#This Row],[battles]],Table340[[#This Row],[wins]]/Table340[[#This Row],[battles]],0)</f>
        <v>0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6" s="20">
        <f>Таблица26[[#This Row],[team-1-win]]+Таблица26[[#This Row],[team-2-win]]</f>
        <v>0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6" s="3">
        <f>IF(Table340[[#This Row],[battles]],Table340[[#This Row],[wins]]/Table340[[#This Row],[battles]],0)</f>
        <v>1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7" s="20">
        <f>Таблица26[[#This Row],[team-1-win]]+Таблица26[[#This Row],[team-2-win]]</f>
        <v>0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7" s="3">
        <f>IF(Table340[[#This Row],[battles]],Table340[[#This Row],[wins]]/Table340[[#This Row],[battles]],0)</f>
        <v>1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8" s="20">
        <f>Таблица26[[#This Row],[team-1-win]]+Таблица26[[#This Row],[team-2-win]]</f>
        <v>0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8" s="3">
        <f>IF(Table340[[#This Row],[battles]],Table340[[#This Row],[wins]]/Table340[[#This Row],[battles]],0)</f>
        <v>1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0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0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0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2" s="20">
        <f>Таблица26[[#This Row],[team-1-win]]+Таблица26[[#This Row],[team-2-win]]</f>
        <v>0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3" s="20">
        <f>Таблица26[[#This Row],[team-1-win]]+Таблица26[[#This Row],[team-2-win]]</f>
        <v>0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4" s="20">
        <f>Таблица26[[#This Row],[team-1-win]]+Таблица26[[#This Row],[team-2-win]]</f>
        <v>0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5" s="20">
        <f>Таблица26[[#This Row],[team-1-win]]+Таблица26[[#This Row],[team-2-win]]</f>
        <v>0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6" s="20">
        <f>Таблица26[[#This Row],[team-1-win]]+Таблица26[[#This Row],[team-2-win]]</f>
        <v>0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7" s="20">
        <f>Таблица26[[#This Row],[team-1-win]]+Таблица26[[#This Row],[team-2-win]]</f>
        <v>0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8" s="20">
        <f>Таблица26[[#This Row],[team-1-win]]+Таблица26[[#This Row],[team-2-win]]</f>
        <v>0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9" s="20">
        <f>Таблица26[[#This Row],[team-1-win]]+Таблица26[[#This Row],[team-2-win]]</f>
        <v>0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0" s="20">
        <f>Таблица26[[#This Row],[team-1-win]]+Таблица26[[#This Row],[team-2-win]]</f>
        <v>0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1" s="20">
        <f>Таблица26[[#This Row],[team-1-win]]+Таблица26[[#This Row],[team-2-win]]</f>
        <v>0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2" s="20">
        <f>Таблица26[[#This Row],[team-1-win]]+Таблица26[[#This Row],[team-2-win]]</f>
        <v>0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3" s="20">
        <f>Таблица26[[#This Row],[team-1-win]]+Таблица26[[#This Row],[team-2-win]]</f>
        <v>0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4" s="20">
        <f>Таблица26[[#This Row],[team-1-win]]+Таблица26[[#This Row],[team-2-win]]</f>
        <v>0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5" s="20">
        <f>Таблица26[[#This Row],[team-1-win]]+Таблица26[[#This Row],[team-2-win]]</f>
        <v>0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6" s="20">
        <f>Таблица26[[#This Row],[team-1-win]]+Таблица26[[#This Row],[team-2-win]]</f>
        <v>0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7" s="20">
        <f>Таблица26[[#This Row],[team-1-win]]+Таблица26[[#This Row],[team-2-win]]</f>
        <v>0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8" s="20">
        <f>Таблица26[[#This Row],[team-1-win]]+Таблица26[[#This Row],[team-2-win]]</f>
        <v>0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9" s="20">
        <f>Таблица26[[#This Row],[team-1-win]]+Таблица26[[#This Row],[team-2-win]]</f>
        <v>0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0" s="20">
        <f>Таблица26[[#This Row],[team-1-win]]+Таблица26[[#This Row],[team-2-win]]</f>
        <v>0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1" s="20">
        <f>Таблица26[[#This Row],[team-1-win]]+Таблица26[[#This Row],[team-2-win]]</f>
        <v>0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2" s="20">
        <f>Таблица26[[#This Row],[team-1-win]]+Таблица26[[#This Row],[team-2-win]]</f>
        <v>0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0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4" s="20">
        <f>Таблица26[[#This Row],[team-1-win]]+Таблица26[[#This Row],[team-2-win]]</f>
        <v>0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5" s="20">
        <f>Таблица26[[#This Row],[team-1-win]]+Таблица26[[#This Row],[team-2-win]]</f>
        <v>0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6" s="20">
        <f>Таблица26[[#This Row],[team-1-win]]+Таблица26[[#This Row],[team-2-win]]</f>
        <v>0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7" s="20">
        <f>Таблица26[[#This Row],[team-1-win]]+Таблица26[[#This Row],[team-2-win]]</f>
        <v>0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8" s="20">
        <f>Таблица26[[#This Row],[team-1-win]]+Таблица26[[#This Row],[team-2-win]]</f>
        <v>0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9" s="20">
        <f>Таблица26[[#This Row],[team-1-win]]+Таблица26[[#This Row],[team-2-win]]</f>
        <v>0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0" s="20">
        <f>Таблица26[[#This Row],[team-1-win]]+Таблица26[[#This Row],[team-2-win]]</f>
        <v>0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1" s="20">
        <f>Таблица26[[#This Row],[team-1-win]]+Таблица26[[#This Row],[team-2-win]]</f>
        <v>0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2" s="20">
        <f>Таблица26[[#This Row],[team-1-win]]+Таблица26[[#This Row],[team-2-win]]</f>
        <v>0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3" s="20">
        <f>Таблица26[[#This Row],[team-1-win]]+Таблица26[[#This Row],[team-2-win]]</f>
        <v>0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4" s="20">
        <f>Таблица26[[#This Row],[team-1-win]]+Таблица26[[#This Row],[team-2-win]]</f>
        <v>0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5" s="20">
        <f>Таблица26[[#This Row],[team-1-win]]+Таблица26[[#This Row],[team-2-win]]</f>
        <v>0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6" s="20">
        <f>Таблица26[[#This Row],[team-1-win]]+Таблица26[[#This Row],[team-2-win]]</f>
        <v>0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7" s="20">
        <f>Таблица26[[#This Row],[team-1-win]]+Таблица26[[#This Row],[team-2-win]]</f>
        <v>0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8" s="20">
        <f>Таблица26[[#This Row],[team-1-win]]+Таблица26[[#This Row],[team-2-win]]</f>
        <v>0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9" s="20">
        <f>Таблица26[[#This Row],[team-1-win]]+Таблица26[[#This Row],[team-2-win]]</f>
        <v>0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0" s="20">
        <f>Таблица26[[#This Row],[team-1-win]]+Таблица26[[#This Row],[team-2-win]]</f>
        <v>0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1" s="20">
        <f>Таблица26[[#This Row],[team-1-win]]+Таблица26[[#This Row],[team-2-win]]</f>
        <v>0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2" s="20">
        <f>Таблица26[[#This Row],[team-1-win]]+Таблица26[[#This Row],[team-2-win]]</f>
        <v>0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3" s="20">
        <f>Таблица26[[#This Row],[team-1-win]]+Таблица26[[#This Row],[team-2-win]]</f>
        <v>0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4" s="20">
        <f>Таблица26[[#This Row],[team-1-win]]+Таблица26[[#This Row],[team-2-win]]</f>
        <v>0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5" s="20">
        <f>Таблица26[[#This Row],[team-1-win]]+Таблица26[[#This Row],[team-2-win]]</f>
        <v>0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6" s="20">
        <f>Таблица26[[#This Row],[team-1-win]]+Таблица26[[#This Row],[team-2-win]]</f>
        <v>0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7" s="20">
        <f>Таблица26[[#This Row],[team-1-win]]+Таблица26[[#This Row],[team-2-win]]</f>
        <v>0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8" s="20">
        <f>Таблица26[[#This Row],[team-1-win]]+Таблица26[[#This Row],[team-2-win]]</f>
        <v>0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9" s="20">
        <f>Таблица26[[#This Row],[team-1-win]]+Таблица26[[#This Row],[team-2-win]]</f>
        <v>0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0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1" s="20">
        <f>Таблица26[[#This Row],[team-1-win]]+Таблица26[[#This Row],[team-2-win]]</f>
        <v>0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2" s="20">
        <f>Таблица26[[#This Row],[team-1-win]]+Таблица26[[#This Row],[team-2-win]]</f>
        <v>0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3" s="20">
        <f>Таблица26[[#This Row],[team-1-win]]+Таблица26[[#This Row],[team-2-win]]</f>
        <v>0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4" s="20">
        <f>Таблица26[[#This Row],[team-1-win]]+Таблица26[[#This Row],[team-2-win]]</f>
        <v>0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5" s="20">
        <f>Таблица26[[#This Row],[team-1-win]]+Таблица26[[#This Row],[team-2-win]]</f>
        <v>0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0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7" s="20">
        <f>Таблица26[[#This Row],[team-1-win]]+Таблица26[[#This Row],[team-2-win]]</f>
        <v>0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8" s="20">
        <f>Таблица26[[#This Row],[team-1-win]]+Таблица26[[#This Row],[team-2-win]]</f>
        <v>0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9" s="20">
        <f>Таблица26[[#This Row],[team-1-win]]+Таблица26[[#This Row],[team-2-win]]</f>
        <v>0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0" s="20">
        <f>Таблица26[[#This Row],[team-1-win]]+Таблица26[[#This Row],[team-2-win]]</f>
        <v>0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1" s="20">
        <f>Таблица26[[#This Row],[team-1-win]]+Таблица26[[#This Row],[team-2-win]]</f>
        <v>0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2" s="20">
        <f>Таблица26[[#This Row],[team-1-win]]+Таблица26[[#This Row],[team-2-win]]</f>
        <v>0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3" s="20">
        <f>Таблица26[[#This Row],[team-1-win]]+Таблица26[[#This Row],[team-2-win]]</f>
        <v>0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4" s="20">
        <f>Таблица26[[#This Row],[team-1-win]]+Таблица26[[#This Row],[team-2-win]]</f>
        <v>0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5" s="20">
        <f>Таблица26[[#This Row],[team-1-win]]+Таблица26[[#This Row],[team-2-win]]</f>
        <v>0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0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7" s="20">
        <f>Таблица26[[#This Row],[team-1-win]]+Таблица26[[#This Row],[team-2-win]]</f>
        <v>0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8" s="20">
        <f>Таблица26[[#This Row],[team-1-win]]+Таблица26[[#This Row],[team-2-win]]</f>
        <v>0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9" s="20">
        <f>Таблица26[[#This Row],[team-1-win]]+Таблица26[[#This Row],[team-2-win]]</f>
        <v>0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0" s="20">
        <f>Таблица26[[#This Row],[team-1-win]]+Таблица26[[#This Row],[team-2-win]]</f>
        <v>0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1" s="20">
        <f>Таблица26[[#This Row],[team-1-win]]+Таблица26[[#This Row],[team-2-win]]</f>
        <v>0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2" s="20">
        <f>Таблица26[[#This Row],[team-1-win]]+Таблица26[[#This Row],[team-2-win]]</f>
        <v>0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3" s="20">
        <f>Таблица26[[#This Row],[team-1-win]]+Таблица26[[#This Row],[team-2-win]]</f>
        <v>0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4" s="20">
        <f>Таблица26[[#This Row],[team-1-win]]+Таблица26[[#This Row],[team-2-win]]</f>
        <v>0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5" s="20">
        <f>Таблица26[[#This Row],[team-1-win]]+Таблица26[[#This Row],[team-2-win]]</f>
        <v>0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6" s="20">
        <f>Таблица26[[#This Row],[team-1-win]]+Таблица26[[#This Row],[team-2-win]]</f>
        <v>0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7" s="20">
        <f>Таблица26[[#This Row],[team-1-win]]+Таблица26[[#This Row],[team-2-win]]</f>
        <v>0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8" s="20">
        <f>Таблица26[[#This Row],[team-1-win]]+Таблица26[[#This Row],[team-2-win]]</f>
        <v>0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9" s="20">
        <f>Таблица26[[#This Row],[team-1-win]]+Таблица26[[#This Row],[team-2-win]]</f>
        <v>0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0" s="20">
        <f>Таблица26[[#This Row],[team-1-win]]+Таблица26[[#This Row],[team-2-win]]</f>
        <v>0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1" s="20">
        <f>Таблица26[[#This Row],[team-1-win]]+Таблица26[[#This Row],[team-2-win]]</f>
        <v>0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2" s="20">
        <f>Таблица26[[#This Row],[team-1-win]]+Таблица26[[#This Row],[team-2-win]]</f>
        <v>0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3" s="20">
        <f>Таблица26[[#This Row],[team-1-win]]+Таблица26[[#This Row],[team-2-win]]</f>
        <v>0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4" s="20">
        <f>Таблица26[[#This Row],[team-1-win]]+Таблица26[[#This Row],[team-2-win]]</f>
        <v>0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5" s="20">
        <f>Таблица26[[#This Row],[team-1-win]]+Таблица26[[#This Row],[team-2-win]]</f>
        <v>0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6" s="20">
        <f>Таблица26[[#This Row],[team-1-win]]+Таблица26[[#This Row],[team-2-win]]</f>
        <v>0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0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8" s="20">
        <f>Таблица26[[#This Row],[team-1-win]]+Таблица26[[#This Row],[team-2-win]]</f>
        <v>0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0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0" s="20">
        <f>Таблица26[[#This Row],[team-1-win]]+Таблица26[[#This Row],[team-2-win]]</f>
        <v>0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1" s="20">
        <f>Таблица26[[#This Row],[team-1-win]]+Таблица26[[#This Row],[team-2-win]]</f>
        <v>0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2" s="20">
        <f>Таблица26[[#This Row],[team-1-win]]+Таблица26[[#This Row],[team-2-win]]</f>
        <v>0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3" s="20">
        <f>Таблица26[[#This Row],[team-1-win]]+Таблица26[[#This Row],[team-2-win]]</f>
        <v>0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4" s="20">
        <f>Таблица26[[#This Row],[team-1-win]]+Таблица26[[#This Row],[team-2-win]]</f>
        <v>0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5" s="20">
        <f>Таблица26[[#This Row],[team-1-win]]+Таблица26[[#This Row],[team-2-win]]</f>
        <v>0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6" s="20">
        <f>Таблица26[[#This Row],[team-1-win]]+Таблица26[[#This Row],[team-2-win]]</f>
        <v>0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7" s="20">
        <f>Таблица26[[#This Row],[team-1-win]]+Таблица26[[#This Row],[team-2-win]]</f>
        <v>0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8" s="20">
        <f>Таблица26[[#This Row],[team-1-win]]+Таблица26[[#This Row],[team-2-win]]</f>
        <v>0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9" s="20">
        <f>Таблица26[[#This Row],[team-1-win]]+Таблица26[[#This Row],[team-2-win]]</f>
        <v>0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0" s="20">
        <f>Таблица26[[#This Row],[team-1-win]]+Таблица26[[#This Row],[team-2-win]]</f>
        <v>0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0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2" s="20">
        <f>Таблица26[[#This Row],[team-1-win]]+Таблица26[[#This Row],[team-2-win]]</f>
        <v>0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3" s="20">
        <f>Таблица26[[#This Row],[team-1-win]]+Таблица26[[#This Row],[team-2-win]]</f>
        <v>0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4" s="20">
        <f>Таблица26[[#This Row],[team-1-win]]+Таблица26[[#This Row],[team-2-win]]</f>
        <v>0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5" s="20">
        <f>Таблица26[[#This Row],[team-1-win]]+Таблица26[[#This Row],[team-2-win]]</f>
        <v>0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6" s="20">
        <f>Таблица26[[#This Row],[team-1-win]]+Таблица26[[#This Row],[team-2-win]]</f>
        <v>0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7" s="20">
        <f>Таблица26[[#This Row],[team-1-win]]+Таблица26[[#This Row],[team-2-win]]</f>
        <v>0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8" s="20">
        <f>Таблица26[[#This Row],[team-1-win]]+Таблица26[[#This Row],[team-2-win]]</f>
        <v>0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9" s="20">
        <f>Таблица26[[#This Row],[team-1-win]]+Таблица26[[#This Row],[team-2-win]]</f>
        <v>0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0" s="20">
        <f>Таблица26[[#This Row],[team-1-win]]+Таблица26[[#This Row],[team-2-win]]</f>
        <v>0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1" s="20">
        <f>Таблица26[[#This Row],[team-1-win]]+Таблица26[[#This Row],[team-2-win]]</f>
        <v>0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2" s="20">
        <f>Таблица26[[#This Row],[team-1-win]]+Таблица26[[#This Row],[team-2-win]]</f>
        <v>0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3" s="20">
        <f>Таблица26[[#This Row],[team-1-win]]+Таблица26[[#This Row],[team-2-win]]</f>
        <v>0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4" s="20">
        <f>Таблица26[[#This Row],[team-1-win]]+Таблица26[[#This Row],[team-2-win]]</f>
        <v>0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5" s="20">
        <f>Таблица26[[#This Row],[team-1-win]]+Таблица26[[#This Row],[team-2-win]]</f>
        <v>0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6" s="20">
        <f>Таблица26[[#This Row],[team-1-win]]+Таблица26[[#This Row],[team-2-win]]</f>
        <v>0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7" s="20">
        <f>Таблица26[[#This Row],[team-1-win]]+Таблица26[[#This Row],[team-2-win]]</f>
        <v>0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8" s="20">
        <f>Таблица26[[#This Row],[team-1-win]]+Таблица26[[#This Row],[team-2-win]]</f>
        <v>0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9" s="20">
        <f>Таблица26[[#This Row],[team-1-win]]+Таблица26[[#This Row],[team-2-win]]</f>
        <v>0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0" s="20">
        <f>Таблица26[[#This Row],[team-1-win]]+Таблица26[[#This Row],[team-2-win]]</f>
        <v>0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0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2" s="20">
        <f>Таблица26[[#This Row],[team-1-win]]+Таблица26[[#This Row],[team-2-win]]</f>
        <v>0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3" s="20">
        <f>Таблица26[[#This Row],[team-1-win]]+Таблица26[[#This Row],[team-2-win]]</f>
        <v>0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4" s="20">
        <f>Таблица26[[#This Row],[team-1-win]]+Таблица26[[#This Row],[team-2-win]]</f>
        <v>0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0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0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7" s="20">
        <f>Таблица26[[#This Row],[team-1-win]]+Таблица26[[#This Row],[team-2-win]]</f>
        <v>0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8" s="20">
        <f>Таблица26[[#This Row],[team-1-win]]+Таблица26[[#This Row],[team-2-win]]</f>
        <v>0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0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0" s="20">
        <f>Таблица26[[#This Row],[team-1-win]]+Таблица26[[#This Row],[team-2-win]]</f>
        <v>0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1" s="20">
        <f>Таблица26[[#This Row],[team-1-win]]+Таблица26[[#This Row],[team-2-win]]</f>
        <v>0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2" s="20">
        <f>Таблица26[[#This Row],[team-1-win]]+Таблица26[[#This Row],[team-2-win]]</f>
        <v>0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3" s="20">
        <f>Таблица26[[#This Row],[team-1-win]]+Таблица26[[#This Row],[team-2-win]]</f>
        <v>0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4" s="20">
        <f>Таблица26[[#This Row],[team-1-win]]+Таблица26[[#This Row],[team-2-win]]</f>
        <v>0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5" s="20">
        <f>Таблица26[[#This Row],[team-1-win]]+Таблица26[[#This Row],[team-2-win]]</f>
        <v>0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0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7" s="20">
        <f>Таблица26[[#This Row],[team-1-win]]+Таблица26[[#This Row],[team-2-win]]</f>
        <v>0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8" s="20">
        <f>Таблица26[[#This Row],[team-1-win]]+Таблица26[[#This Row],[team-2-win]]</f>
        <v>0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0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0" s="20">
        <f>Таблица26[[#This Row],[team-1-win]]+Таблица26[[#This Row],[team-2-win]]</f>
        <v>0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0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0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3" s="20">
        <f>Таблица26[[#This Row],[team-1-win]]+Таблица26[[#This Row],[team-2-win]]</f>
        <v>0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4" s="20">
        <f>Таблица26[[#This Row],[team-1-win]]+Таблица26[[#This Row],[team-2-win]]</f>
        <v>0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0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6" s="20">
        <f>Таблица26[[#This Row],[team-1-win]]+Таблица26[[#This Row],[team-2-win]]</f>
        <v>0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7" s="20">
        <f>Таблица26[[#This Row],[team-1-win]]+Таблица26[[#This Row],[team-2-win]]</f>
        <v>0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8" s="20">
        <f>Таблица26[[#This Row],[team-1-win]]+Таблица26[[#This Row],[team-2-win]]</f>
        <v>0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0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0" s="20">
        <f>Таблица26[[#This Row],[team-1-win]]+Таблица26[[#This Row],[team-2-win]]</f>
        <v>0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0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2" s="20">
        <f>Таблица26[[#This Row],[team-1-win]]+Таблица26[[#This Row],[team-2-win]]</f>
        <v>0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3" s="20">
        <f>Таблица26[[#This Row],[team-1-win]]+Таблица26[[#This Row],[team-2-win]]</f>
        <v>0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4" s="20">
        <f>Таблица26[[#This Row],[team-1-win]]+Таблица26[[#This Row],[team-2-win]]</f>
        <v>0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5" s="20">
        <f>Таблица26[[#This Row],[team-1-win]]+Таблица26[[#This Row],[team-2-win]]</f>
        <v>0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6" s="20">
        <f>Таблица26[[#This Row],[team-1-win]]+Таблица26[[#This Row],[team-2-win]]</f>
        <v>0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7" s="20">
        <f>Таблица26[[#This Row],[team-1-win]]+Таблица26[[#This Row],[team-2-win]]</f>
        <v>0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8" s="20">
        <f>Таблица26[[#This Row],[team-1-win]]+Таблица26[[#This Row],[team-2-win]]</f>
        <v>0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9" s="20">
        <f>Таблица26[[#This Row],[team-1-win]]+Таблица26[[#This Row],[team-2-win]]</f>
        <v>0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0" s="20">
        <f>Таблица26[[#This Row],[team-1-win]]+Таблица26[[#This Row],[team-2-win]]</f>
        <v>0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1" s="20">
        <f>Таблица26[[#This Row],[team-1-win]]+Таблица26[[#This Row],[team-2-win]]</f>
        <v>0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2" s="20">
        <f>Таблица26[[#This Row],[team-1-win]]+Таблица26[[#This Row],[team-2-win]]</f>
        <v>0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3" s="20">
        <f>Таблица26[[#This Row],[team-1-win]]+Таблица26[[#This Row],[team-2-win]]</f>
        <v>0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4" s="20">
        <f>Таблица26[[#This Row],[team-1-win]]+Таблица26[[#This Row],[team-2-win]]</f>
        <v>0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5" s="20">
        <f>Таблица26[[#This Row],[team-1-win]]+Таблица26[[#This Row],[team-2-win]]</f>
        <v>0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6" s="20">
        <f>Таблица26[[#This Row],[team-1-win]]+Таблица26[[#This Row],[team-2-win]]</f>
        <v>0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7" s="20">
        <f>Таблица26[[#This Row],[team-1-win]]+Таблица26[[#This Row],[team-2-win]]</f>
        <v>0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8" s="20">
        <f>Таблица26[[#This Row],[team-1-win]]+Таблица26[[#This Row],[team-2-win]]</f>
        <v>0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9" s="20">
        <f>Таблица26[[#This Row],[team-1-win]]+Таблица26[[#This Row],[team-2-win]]</f>
        <v>0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0" s="20">
        <f>Таблица26[[#This Row],[team-1-win]]+Таблица26[[#This Row],[team-2-win]]</f>
        <v>0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1" s="20">
        <f>Таблица26[[#This Row],[team-1-win]]+Таблица26[[#This Row],[team-2-win]]</f>
        <v>0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2" s="20">
        <f>Таблица26[[#This Row],[team-1-win]]+Таблица26[[#This Row],[team-2-win]]</f>
        <v>0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3" s="20">
        <f>Таблица26[[#This Row],[team-1-win]]+Таблица26[[#This Row],[team-2-win]]</f>
        <v>0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4" s="20">
        <f>Таблица26[[#This Row],[team-1-win]]+Таблица26[[#This Row],[team-2-win]]</f>
        <v>0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5" s="20">
        <f>Таблица26[[#This Row],[team-1-win]]+Таблица26[[#This Row],[team-2-win]]</f>
        <v>0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6" s="20">
        <f>Таблица26[[#This Row],[team-1-win]]+Таблица26[[#This Row],[team-2-win]]</f>
        <v>0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7" s="20">
        <f>Таблица26[[#This Row],[team-1-win]]+Таблица26[[#This Row],[team-2-win]]</f>
        <v>0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8" s="20">
        <f>Таблица26[[#This Row],[team-1-win]]+Таблица26[[#This Row],[team-2-win]]</f>
        <v>0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9" s="20">
        <f>Таблица26[[#This Row],[team-1-win]]+Таблица26[[#This Row],[team-2-win]]</f>
        <v>0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0" s="20">
        <f>Таблица26[[#This Row],[team-1-win]]+Таблица26[[#This Row],[team-2-win]]</f>
        <v>0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1" s="20">
        <f>Таблица26[[#This Row],[team-1-win]]+Таблица26[[#This Row],[team-2-win]]</f>
        <v>0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2" s="20">
        <f>Таблица26[[#This Row],[team-1-win]]+Таблица26[[#This Row],[team-2-win]]</f>
        <v>0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3" s="20">
        <f>Таблица26[[#This Row],[team-1-win]]+Таблица26[[#This Row],[team-2-win]]</f>
        <v>0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4" s="20">
        <f>Таблица26[[#This Row],[team-1-win]]+Таблица26[[#This Row],[team-2-win]]</f>
        <v>0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5" s="20">
        <f>Таблица26[[#This Row],[team-1-win]]+Таблица26[[#This Row],[team-2-win]]</f>
        <v>0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6" s="20">
        <f>Таблица26[[#This Row],[team-1-win]]+Таблица26[[#This Row],[team-2-win]]</f>
        <v>0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7" s="20">
        <f>Таблица26[[#This Row],[team-1-win]]+Таблица26[[#This Row],[team-2-win]]</f>
        <v>0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8" s="20">
        <f>Таблица26[[#This Row],[team-1-win]]+Таблица26[[#This Row],[team-2-win]]</f>
        <v>0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9" s="20">
        <f>Таблица26[[#This Row],[team-1-win]]+Таблица26[[#This Row],[team-2-win]]</f>
        <v>0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0" s="20">
        <f>Таблица26[[#This Row],[team-1-win]]+Таблица26[[#This Row],[team-2-win]]</f>
        <v>0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1" s="20">
        <f>Таблица26[[#This Row],[team-1-win]]+Таблица26[[#This Row],[team-2-win]]</f>
        <v>0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2" s="20">
        <f>Таблица26[[#This Row],[team-1-win]]+Таблица26[[#This Row],[team-2-win]]</f>
        <v>0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3" s="20">
        <f>Таблица26[[#This Row],[team-1-win]]+Таблица26[[#This Row],[team-2-win]]</f>
        <v>0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4" s="20">
        <f>Таблица26[[#This Row],[team-1-win]]+Таблица26[[#This Row],[team-2-win]]</f>
        <v>0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5" s="20">
        <f>Таблица26[[#This Row],[team-1-win]]+Таблица26[[#This Row],[team-2-win]]</f>
        <v>0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6" s="20">
        <f>Таблица26[[#This Row],[team-1-win]]+Таблица26[[#This Row],[team-2-win]]</f>
        <v>0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7" s="20">
        <f>Таблица26[[#This Row],[team-1-win]]+Таблица26[[#This Row],[team-2-win]]</f>
        <v>0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8" s="20">
        <f>Таблица26[[#This Row],[team-1-win]]+Таблица26[[#This Row],[team-2-win]]</f>
        <v>0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9" s="20">
        <f>Таблица26[[#This Row],[team-1-win]]+Таблица26[[#This Row],[team-2-win]]</f>
        <v>0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0" s="20">
        <f>Таблица26[[#This Row],[team-1-win]]+Таблица26[[#This Row],[team-2-win]]</f>
        <v>0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1" s="20">
        <f>Таблица26[[#This Row],[team-1-win]]+Таблица26[[#This Row],[team-2-win]]</f>
        <v>0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2" s="20">
        <f>Таблица26[[#This Row],[team-1-win]]+Таблица26[[#This Row],[team-2-win]]</f>
        <v>0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3" s="20">
        <f>Таблица26[[#This Row],[team-1-win]]+Таблица26[[#This Row],[team-2-win]]</f>
        <v>0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4" s="20">
        <f>Таблица26[[#This Row],[team-1-win]]+Таблица26[[#This Row],[team-2-win]]</f>
        <v>0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0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6" s="20">
        <f>Таблица26[[#This Row],[team-1-win]]+Таблица26[[#This Row],[team-2-win]]</f>
        <v>0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7" s="20">
        <f>Таблица26[[#This Row],[team-1-win]]+Таблица26[[#This Row],[team-2-win]]</f>
        <v>0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8" s="20">
        <f>Таблица26[[#This Row],[team-1-win]]+Таблица26[[#This Row],[team-2-win]]</f>
        <v>0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9" s="20">
        <f>Таблица26[[#This Row],[team-1-win]]+Таблица26[[#This Row],[team-2-win]]</f>
        <v>0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0" s="20">
        <f>Таблица26[[#This Row],[team-1-win]]+Таблица26[[#This Row],[team-2-win]]</f>
        <v>0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1" s="20">
        <f>Таблица26[[#This Row],[team-1-win]]+Таблица26[[#This Row],[team-2-win]]</f>
        <v>0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2" s="20">
        <f>Таблица26[[#This Row],[team-1-win]]+Таблица26[[#This Row],[team-2-win]]</f>
        <v>0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3" s="20">
        <f>Таблица26[[#This Row],[team-1-win]]+Таблица26[[#This Row],[team-2-win]]</f>
        <v>0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4" s="20">
        <f>Таблица26[[#This Row],[team-1-win]]+Таблица26[[#This Row],[team-2-win]]</f>
        <v>0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5" s="20">
        <f>Таблица26[[#This Row],[team-1-win]]+Таблица26[[#This Row],[team-2-win]]</f>
        <v>0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6" s="20">
        <f>Таблица26[[#This Row],[team-1-win]]+Таблица26[[#This Row],[team-2-win]]</f>
        <v>0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7" s="20">
        <f>Таблица26[[#This Row],[team-1-win]]+Таблица26[[#This Row],[team-2-win]]</f>
        <v>0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8" s="20">
        <f>Таблица26[[#This Row],[team-1-win]]+Таблица26[[#This Row],[team-2-win]]</f>
        <v>0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9" s="20">
        <f>Таблица26[[#This Row],[team-1-win]]+Таблица26[[#This Row],[team-2-win]]</f>
        <v>0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0" s="20">
        <f>Таблица26[[#This Row],[team-1-win]]+Таблица26[[#This Row],[team-2-win]]</f>
        <v>0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1" s="20">
        <f>Таблица26[[#This Row],[team-1-win]]+Таблица26[[#This Row],[team-2-win]]</f>
        <v>0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2" s="20">
        <f>Таблица26[[#This Row],[team-1-win]]+Таблица26[[#This Row],[team-2-win]]</f>
        <v>0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workbookViewId="0">
      <selection activeCell="E17" sqref="E17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106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39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25</v>
      </c>
      <c r="D2" s="3">
        <f>Table4[[#This Row],[wins]]/Table4[[#This Row],[battles]]</f>
        <v>0.64102564102564108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35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24</v>
      </c>
      <c r="D3" s="3">
        <f>Table4[[#This Row],[wins]]/Table4[[#This Row],[battles]]</f>
        <v>0.68571428571428572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29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11</v>
      </c>
      <c r="D4" s="3">
        <f>Table4[[#This Row],[wins]]/Table4[[#This Row],[battles]]</f>
        <v>0.37931034482758619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21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9</v>
      </c>
      <c r="D5" s="3">
        <f>Table4[[#This Row],[wins]]/Table4[[#This Row],[battles]]</f>
        <v>0.42857142857142855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16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4</v>
      </c>
      <c r="D6" s="3">
        <f>Table4[[#This Row],[wins]]/Table4[[#This Row],[battles]]</f>
        <v>0.25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16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4</v>
      </c>
      <c r="D7" s="3">
        <f>Table4[[#This Row],[wins]]/Table4[[#This Row],[battles]]</f>
        <v>0.25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15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6</v>
      </c>
      <c r="D8" s="3">
        <f>Table4[[#This Row],[wins]]/Table4[[#This Row],[battles]]</f>
        <v>0.4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15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10</v>
      </c>
      <c r="D9" s="3">
        <f>Table4[[#This Row],[wins]]/Table4[[#This Row],[battles]]</f>
        <v>0.66666666666666663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workbookViewId="0">
      <selection activeCell="H29" sqref="H29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183</v>
      </c>
      <c r="I1" t="s">
        <v>184</v>
      </c>
      <c r="J1" t="s">
        <v>185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16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5</v>
      </c>
      <c r="D2" s="3">
        <f>IF(SUM(Table7[[#This Row],[takes]]) &gt; 0,Table7[[#This Row],[takes]]/SUM(Table7[takes]),0)</f>
        <v>0.41025641025641024</v>
      </c>
      <c r="E2" s="3">
        <f>IF(Table7[[#This Row],[takes]]&gt;0,Table7[[#This Row],[wins]]/Table7[[#This Row],[takes]],0)</f>
        <v>0.3125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3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27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25</v>
      </c>
    </row>
    <row r="3" spans="1:10" x14ac:dyDescent="0.25">
      <c r="A3" t="s">
        <v>114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12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9</v>
      </c>
      <c r="D3" s="3">
        <f>IF(SUM(Table7[[#This Row],[takes]]) &gt; 0,Table7[[#This Row],[takes]]/SUM(Table7[takes]),0)</f>
        <v>0.30769230769230771</v>
      </c>
      <c r="E3" s="3">
        <f>IF(Table7[[#This Row],[takes]]&gt;0,Table7[[#This Row],[wins]]/Table7[[#This Row],[takes]],0)</f>
        <v>0.75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28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6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5</v>
      </c>
    </row>
    <row r="4" spans="1:10" x14ac:dyDescent="0.25">
      <c r="A4" t="s">
        <v>115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11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11</v>
      </c>
      <c r="D4" s="3">
        <f>IF(SUM(Table7[[#This Row],[takes]]) &gt; 0,Table7[[#This Row],[takes]]/SUM(Table7[takes]),0)</f>
        <v>0.28205128205128205</v>
      </c>
      <c r="E4" s="3">
        <f>IF(Table7[[#This Row],[takes]]&gt;0,Table7[[#This Row],[wins]]/Table7[[#This Row],[takes]],0)</f>
        <v>1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8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6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9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15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12</v>
      </c>
      <c r="D7" s="16">
        <f>IF(SUM(Table8[[#This Row],[takes]]) &gt; 0,Table8[[#This Row],[takes]]/SUM(Table8[takes]),0)</f>
        <v>0.46875</v>
      </c>
      <c r="E7" s="16">
        <f>IF(Table8[[#This Row],[takes]]&gt;0,Table8[[#This Row],[wins]]/Table8[[#This Row],[takes]],0)</f>
        <v>0.8</v>
      </c>
    </row>
    <row r="8" spans="1:10" x14ac:dyDescent="0.25">
      <c r="A8" t="s">
        <v>83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16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10</v>
      </c>
      <c r="D8" s="3">
        <f>IF(SUM(Table8[[#This Row],[takes]]) &gt; 0,Table8[[#This Row],[takes]]/SUM(Table8[takes]),0)</f>
        <v>0.5</v>
      </c>
      <c r="E8" s="3">
        <f>IF(Table8[[#This Row],[takes]]&gt;0,Table8[[#This Row],[wins]]/Table8[[#This Row],[takes]],0)</f>
        <v>0.625</v>
      </c>
    </row>
    <row r="9" spans="1:10" x14ac:dyDescent="0.25">
      <c r="A9" s="14" t="s">
        <v>116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0</v>
      </c>
      <c r="D9" s="17">
        <f>IF(SUM(Table8[[#This Row],[takes]]) &gt; 0,Table8[[#This Row],[takes]]/SUM(Table8[takes]),0)</f>
        <v>3.125E-2</v>
      </c>
      <c r="E9" s="17">
        <f>IF(Table8[[#This Row],[takes]]&gt;0,Table8[[#This Row],[wins]]/Table8[[#This Row],[takes]],0)</f>
        <v>0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117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13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13</v>
      </c>
      <c r="D12" s="18">
        <f>IF(SUM(Table9[[#This Row],[takes]]) &gt; 0,Table9[[#This Row],[takes]]/SUM(Table9[takes]),0)</f>
        <v>0.65</v>
      </c>
      <c r="E12" s="18">
        <f>IF(Table9[[#This Row],[takes]]&gt;0,Table9[[#This Row],[wins]]/Table9[[#This Row],[takes]],0)</f>
        <v>1</v>
      </c>
    </row>
    <row r="13" spans="1:10" x14ac:dyDescent="0.25">
      <c r="A13" s="2" t="s">
        <v>105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0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0</v>
      </c>
      <c r="D13" s="16">
        <f>IF(SUM(Table9[[#This Row],[takes]]) &gt; 0,Table9[[#This Row],[takes]]/SUM(Table9[takes]),0)</f>
        <v>0</v>
      </c>
      <c r="E13" s="16">
        <f>IF(Table9[[#This Row],[takes]]&gt;0,Table9[[#This Row],[wins]]/Table9[[#This Row],[takes]],0)</f>
        <v>0</v>
      </c>
    </row>
    <row r="14" spans="1:10" x14ac:dyDescent="0.25">
      <c r="A14" s="15" t="s">
        <v>97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7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3</v>
      </c>
      <c r="D14" s="19">
        <f>IF(SUM(Table9[[#This Row],[takes]]) &gt; 0,Table9[[#This Row],[takes]]/SUM(Table9[takes]),0)</f>
        <v>0.35</v>
      </c>
      <c r="E14" s="19">
        <f>IF(Table9[[#This Row],[takes]]&gt;0,Table9[[#This Row],[wins]]/Table9[[#This Row],[takes]],0)</f>
        <v>0.42857142857142855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98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10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8</v>
      </c>
      <c r="D17" s="16">
        <f>IF(SUM(Table10[[#This Row],[takes]]) &gt; 0,Table10[[#This Row],[takes]]/SUM(Table10[takes]),0)</f>
        <v>0.90909090909090906</v>
      </c>
      <c r="E17" s="16">
        <f>IF(Table10[[#This Row],[takes]]&gt;0,Table10[[#This Row],[wins]]/Table10[[#This Row],[takes]],0)</f>
        <v>0.8</v>
      </c>
    </row>
    <row r="18" spans="1:5" x14ac:dyDescent="0.25">
      <c r="A18" s="2" t="s">
        <v>118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1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1</v>
      </c>
      <c r="D18" s="16">
        <f>IF(SUM(Table10[[#This Row],[takes]]) &gt; 0,Table10[[#This Row],[takes]]/SUM(Table10[takes]),0)</f>
        <v>9.0909090909090912E-2</v>
      </c>
      <c r="E18" s="16">
        <f>IF(Table10[[#This Row],[takes]]&gt;0,Table10[[#This Row],[wins]]/Table10[[#This Row],[takes]],0)</f>
        <v>1</v>
      </c>
    </row>
    <row r="19" spans="1:5" x14ac:dyDescent="0.25">
      <c r="A19" s="14" t="s">
        <v>119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0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0</v>
      </c>
      <c r="D19" s="17">
        <f>IF(SUM(Table10[[#This Row],[takes]]) &gt; 0,Table10[[#This Row],[takes]]/SUM(Table10[takes]),0)</f>
        <v>0</v>
      </c>
      <c r="E19" s="17">
        <f>IF(Table10[[#This Row],[takes]]&gt;0,Table10[[#This Row],[wins]]/Table10[[#This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I24" sqref="I24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186</v>
      </c>
      <c r="I1" t="s">
        <v>185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13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10</v>
      </c>
      <c r="D2" s="3">
        <f>IF(SUM(Table712[[#This Row],[takes]]) &gt; 0,Table712[[#This Row],[takes]]/SUM(Table712[takes]),0)</f>
        <v>0.37142857142857144</v>
      </c>
      <c r="E2" s="3">
        <f>IF(Table712[[#This Row],[takes]]&gt;0,Table712[[#This Row],[wins]]/Table712[[#This Row],[takes]],0)</f>
        <v>0.76923076923076927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20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26</v>
      </c>
    </row>
    <row r="3" spans="1:9" x14ac:dyDescent="0.25">
      <c r="A3" t="s">
        <v>123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9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6</v>
      </c>
      <c r="D3" s="3">
        <f>IF(SUM(Table712[[#This Row],[takes]]) &gt; 0,Table712[[#This Row],[takes]]/SUM(Table712[takes]),0)</f>
        <v>0.25714285714285712</v>
      </c>
      <c r="E3" s="3">
        <f>IF(Table712[[#This Row],[takes]]&gt;0,Table712[[#This Row],[wins]]/Table712[[#This Row],[takes]],0)</f>
        <v>0.66666666666666663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11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5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13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8</v>
      </c>
      <c r="D4" s="3">
        <f>IF(SUM(Table712[[#This Row],[takes]]) &gt; 0,Table712[[#This Row],[takes]]/SUM(Table712[takes]),0)</f>
        <v>0.37142857142857144</v>
      </c>
      <c r="E4" s="3">
        <f>IF(Table712[[#This Row],[takes]]&gt;0,Table712[[#This Row],[wins]]/Table712[[#This Row],[takes]],0)</f>
        <v>0.61538461538461542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4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4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18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11</v>
      </c>
      <c r="D7" s="16">
        <f>IF(SUM(Table813[[#This Row],[takes]]) &gt; 0,Table813[[#This Row],[takes]]/SUM(Table813[takes]),0)</f>
        <v>0.72</v>
      </c>
      <c r="E7" s="16">
        <f>IF(Table813[[#This Row],[takes]]&gt;0,Table813[[#This Row],[wins]]/Table813[[#This Row],[takes]],0)</f>
        <v>0.61111111111111116</v>
      </c>
    </row>
    <row r="8" spans="1:9" x14ac:dyDescent="0.25">
      <c r="A8" t="s">
        <v>124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3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2</v>
      </c>
      <c r="D8" s="3">
        <f>IF(SUM(Table813[[#This Row],[takes]]) &gt; 0,Table813[[#This Row],[takes]]/SUM(Table813[takes]),0)</f>
        <v>0.12</v>
      </c>
      <c r="E8" s="3">
        <f>IF(Table813[[#This Row],[takes]]&gt;0,Table813[[#This Row],[wins]]/Table813[[#This Row],[takes]],0)</f>
        <v>0.66666666666666663</v>
      </c>
    </row>
    <row r="9" spans="1:9" x14ac:dyDescent="0.25">
      <c r="A9" s="14" t="s">
        <v>125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4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3</v>
      </c>
      <c r="D9" s="17">
        <f>IF(SUM(Table813[[#This Row],[takes]]) &gt; 0,Table813[[#This Row],[takes]]/SUM(Table813[takes]),0)</f>
        <v>0.16</v>
      </c>
      <c r="E9" s="17">
        <f>IF(Table813[[#This Row],[takes]]&gt;0,Table813[[#This Row],[wins]]/Table813[[#This Row],[takes]],0)</f>
        <v>0.75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126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6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5</v>
      </c>
      <c r="D12" s="18">
        <f>IF(SUM(Table914[[#This Row],[takes]]) &gt; 0,Table914[[#This Row],[takes]]/SUM(Table914[takes]),0)</f>
        <v>0.35294117647058826</v>
      </c>
      <c r="E12" s="18">
        <f>IF(Table914[[#This Row],[takes]]&gt;0,Table914[[#This Row],[wins]]/Table914[[#This Row],[takes]],0)</f>
        <v>0.83333333333333337</v>
      </c>
    </row>
    <row r="13" spans="1:9" x14ac:dyDescent="0.25">
      <c r="A13" s="2" t="s">
        <v>87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9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5</v>
      </c>
      <c r="D13" s="16">
        <f>IF(SUM(Table914[[#This Row],[takes]]) &gt; 0,Table914[[#This Row],[takes]]/SUM(Table914[takes]),0)</f>
        <v>0.52941176470588236</v>
      </c>
      <c r="E13" s="16">
        <f>IF(Table914[[#This Row],[takes]]&gt;0,Table914[[#This Row],[wins]]/Table914[[#This Row],[takes]],0)</f>
        <v>0.55555555555555558</v>
      </c>
    </row>
    <row r="14" spans="1:9" x14ac:dyDescent="0.25">
      <c r="A14" s="15" t="s">
        <v>85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2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0</v>
      </c>
      <c r="D14" s="19">
        <f>IF(SUM(Table914[[#This Row],[takes]]) &gt; 0,Table914[[#This Row],[takes]]/SUM(Table914[takes]),0)</f>
        <v>0.11764705882352941</v>
      </c>
      <c r="E14" s="19">
        <f>IF(Table914[[#This Row],[takes]]&gt;0,Table914[[#This Row],[wins]]/Table914[[#This Row],[takes]],0)</f>
        <v>0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88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4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2</v>
      </c>
      <c r="D17" s="16">
        <f>IF(SUM(Table1015[[#This Row],[takes]]) &gt; 0,Table1015[[#This Row],[takes]]/SUM(Table1015[takes]),0)</f>
        <v>0.5714285714285714</v>
      </c>
      <c r="E17" s="16">
        <f>IF(Table1015[[#This Row],[takes]]&gt;0,Table1015[[#This Row],[wins]]/Table1015[[#This Row],[takes]],0)</f>
        <v>0.5</v>
      </c>
    </row>
    <row r="18" spans="1:5" x14ac:dyDescent="0.25">
      <c r="A18" s="2" t="s">
        <v>127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0</v>
      </c>
      <c r="D18" s="16">
        <f>IF(SUM(Table1015[[#This Row],[takes]]) &gt; 0,Table1015[[#This Row],[takes]]/SUM(Table1015[takes]),0)</f>
        <v>0.14285714285714285</v>
      </c>
      <c r="E18" s="16">
        <f>IF(Table1015[[#This Row],[takes]]&gt;0,Table1015[[#This Row],[wins]]/Table1015[[#This Row],[takes]],0)</f>
        <v>0</v>
      </c>
    </row>
    <row r="19" spans="1:5" x14ac:dyDescent="0.25">
      <c r="A19" s="14" t="s">
        <v>128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2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2</v>
      </c>
      <c r="D19" s="17">
        <f>IF(SUM(Table1015[[#This Row],[takes]]) &gt; 0,Table1015[[#This Row],[takes]]/SUM(Table1015[takes]),0)</f>
        <v>0.2857142857142857</v>
      </c>
      <c r="E19" s="17">
        <f>IF(Table1015[[#This Row],[takes]]&gt;0,Table1015[[#This Row],[wins]]/Table1015[[#This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G20" sqref="G20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187</v>
      </c>
      <c r="I1" t="s">
        <v>185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10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3</v>
      </c>
      <c r="D2" s="3">
        <f>IF(SUM(Table71216[[#This Row],[takes]]) &gt; 0,Table71216[[#This Row],[takes]]/SUM(Table71216[takes]),0)</f>
        <v>0.34482758620689657</v>
      </c>
      <c r="E2" s="3">
        <f>IF(Table71216[[#This Row],[takes]]&gt;0,Table71216[[#This Row],[wins]]/Table71216[[#This Row],[takes]],0)</f>
        <v>0.3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22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19</v>
      </c>
    </row>
    <row r="3" spans="1:9" x14ac:dyDescent="0.25">
      <c r="A3" t="s">
        <v>89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19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8</v>
      </c>
      <c r="D3" s="3">
        <f>IF(SUM(Table71216[[#This Row],[takes]]) &gt; 0,Table71216[[#This Row],[takes]]/SUM(Table71216[takes]),0)</f>
        <v>0.65517241379310343</v>
      </c>
      <c r="E3" s="3">
        <f>IF(Table71216[[#This Row],[takes]]&gt;0,Table71216[[#This Row],[wins]]/Table71216[[#This Row],[takes]],0)</f>
        <v>0.42105263157894735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3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9</v>
      </c>
    </row>
    <row r="4" spans="1:9" x14ac:dyDescent="0.25">
      <c r="A4" t="s">
        <v>129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0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0</v>
      </c>
      <c r="D4" s="3">
        <f>IF(SUM(Table71216[[#This Row],[takes]]) &gt; 0,Table71216[[#This Row],[takes]]/SUM(Table71216[takes]),0)</f>
        <v>0</v>
      </c>
      <c r="E4" s="3">
        <f>IF(Table71216[[#This Row],[takes]]&gt;0,Table71216[[#This Row],[wins]]/Table71216[[#This Row],[takes]],0)</f>
        <v>0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4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1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3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</v>
      </c>
      <c r="D7" s="16">
        <f>IF(SUM(Table81317[[#This Row],[takes]]) &gt; 0,Table81317[[#This Row],[takes]]/SUM(Table81317[takes]),0)</f>
        <v>0.2</v>
      </c>
      <c r="E7" s="16">
        <f>IF(Table81317[[#This Row],[takes]]&gt;0,Table81317[[#This Row],[wins]]/Table81317[[#This Row],[takes]],0)</f>
        <v>0.66666666666666663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4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</v>
      </c>
      <c r="D8" s="3">
        <f>IF(SUM(Table81317[[#This Row],[takes]]) &gt; 0,Table81317[[#This Row],[takes]]/SUM(Table81317[takes]),0)</f>
        <v>0.26666666666666666</v>
      </c>
      <c r="E8" s="3">
        <f>IF(Table81317[[#This Row],[takes]]&gt;0,Table81317[[#This Row],[wins]]/Table81317[[#This Row],[takes]],0)</f>
        <v>0.5</v>
      </c>
    </row>
    <row r="9" spans="1:9" x14ac:dyDescent="0.25">
      <c r="A9" s="14" t="s">
        <v>84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8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</v>
      </c>
      <c r="D9" s="17">
        <f>IF(SUM(Table81317[[#This Row],[takes]]) &gt; 0,Table81317[[#This Row],[takes]]/SUM(Table81317[takes]),0)</f>
        <v>0.53333333333333333</v>
      </c>
      <c r="E9" s="17">
        <f>IF(Table81317[[#This Row],[takes]]&gt;0,Table81317[[#This Row],[wins]]/Table81317[[#This Row],[takes]],0)</f>
        <v>0.25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3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</v>
      </c>
      <c r="D12" s="18">
        <f>IF(SUM(Table91418[[#This Row],[takes]]) &gt; 0,Table91418[[#This Row],[takes]]/SUM(Table91418[takes]),0)</f>
        <v>0.5</v>
      </c>
      <c r="E12" s="18">
        <f>IF(Table91418[[#This Row],[takes]]&gt;0,Table91418[[#This Row],[wins]]/Table91418[[#This Row],[takes]],0)</f>
        <v>0.33333333333333331</v>
      </c>
    </row>
    <row r="13" spans="1:9" x14ac:dyDescent="0.25">
      <c r="A13" s="2" t="s">
        <v>130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0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0</v>
      </c>
      <c r="D13" s="16">
        <f>IF(SUM(Table91418[[#This Row],[takes]]) &gt; 0,Table91418[[#This Row],[takes]]/SUM(Table91418[takes]),0)</f>
        <v>0</v>
      </c>
      <c r="E13" s="16">
        <f>IF(Table91418[[#This Row],[takes]]&gt;0,Table91418[[#This Row],[wins]]/Table91418[[#This Row],[takes]],0)</f>
        <v>0</v>
      </c>
    </row>
    <row r="14" spans="1:9" x14ac:dyDescent="0.25">
      <c r="A14" s="15" t="s">
        <v>90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3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</v>
      </c>
      <c r="D14" s="19">
        <f>IF(SUM(Table91418[[#This Row],[takes]]) &gt; 0,Table91418[[#This Row],[takes]]/SUM(Table91418[takes]),0)</f>
        <v>0.5</v>
      </c>
      <c r="E14" s="19">
        <f>IF(Table91418[[#This Row],[takes]]&gt;0,Table91418[[#This Row],[wins]]/Table91418[[#This Row],[takes]],0)</f>
        <v>0.33333333333333331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131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2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</v>
      </c>
      <c r="D17" s="16">
        <f>IF(SUM(Table101519[[#This Row],[takes]]) &gt; 0,Table101519[[#This Row],[takes]]/SUM(Table101519[takes]),0)</f>
        <v>0.5</v>
      </c>
      <c r="E17" s="16">
        <f>IF(Table101519[[#This Row],[takes]]&gt;0,Table101519[[#This Row],[wins]]/Table101519[[#This Row],[takes]],0)</f>
        <v>0.5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2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</v>
      </c>
      <c r="D18" s="16">
        <f>IF(SUM(Table101519[[#This Row],[takes]]) &gt; 0,Table101519[[#This Row],[takes]]/SUM(Table101519[takes]),0)</f>
        <v>0.5</v>
      </c>
      <c r="E18" s="16">
        <f>IF(Table101519[[#This Row],[takes]]&gt;0,Table101519[[#This Row],[wins]]/Table101519[[#This Row],[takes]],0)</f>
        <v>0.5</v>
      </c>
    </row>
    <row r="19" spans="1:5" x14ac:dyDescent="0.25">
      <c r="A19" s="14" t="s">
        <v>132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0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0</v>
      </c>
      <c r="D19" s="17">
        <f>IF(SUM(Table101519[[#This Row],[takes]]) &gt; 0,Table101519[[#This Row],[takes]]/SUM(Table101519[takes]),0)</f>
        <v>0</v>
      </c>
      <c r="E19" s="17">
        <f>IF(Table101519[[#This Row],[takes]]&gt;0,Table101519[[#This Row],[wins]]/Table101519[[#This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D24" sqref="D24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188</v>
      </c>
      <c r="I1" t="s">
        <v>185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5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2</v>
      </c>
      <c r="D2" s="3">
        <f>IF(SUM(Table7121620[[#This Row],[takes]]) &gt; 0,Table7121620[[#This Row],[takes]]/SUM(Table7121620[takes]),0)</f>
        <v>0.23809523809523808</v>
      </c>
      <c r="E2" s="3">
        <f>IF(Table7121620[[#This Row],[takes]]&gt;0,Table7121620[[#This Row],[wins]]/Table7121620[[#This Row],[takes]],0)</f>
        <v>0.4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7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16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4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</v>
      </c>
      <c r="D3" s="3">
        <f>IF(SUM(Table7121620[[#This Row],[takes]]) &gt; 0,Table7121620[[#This Row],[takes]]/SUM(Table7121620[takes]),0)</f>
        <v>0.19047619047619047</v>
      </c>
      <c r="E3" s="3">
        <f>IF(Table7121620[[#This Row],[takes]]&gt;0,Table7121620[[#This Row],[wins]]/Table7121620[[#This Row],[takes]],0)</f>
        <v>0.75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9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2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12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4</v>
      </c>
      <c r="D4" s="3">
        <f>IF(SUM(Table7121620[[#This Row],[takes]]) &gt; 0,Table7121620[[#This Row],[takes]]/SUM(Table7121620[takes]),0)</f>
        <v>0.5714285714285714</v>
      </c>
      <c r="E4" s="3">
        <f>IF(Table7121620[[#This Row],[takes]]&gt;0,Table7121620[[#This Row],[wins]]/Table7121620[[#This Row],[takes]],0)</f>
        <v>0.33333333333333331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5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3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4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2</v>
      </c>
      <c r="D7" s="16">
        <f>IF(SUM(Table8131721[[#This Row],[takes]]) &gt; 0,Table8131721[[#This Row],[takes]]/SUM(Table8131721[takes]),0)</f>
        <v>0.4</v>
      </c>
      <c r="E7" s="16">
        <f>IF(Table8131721[[#This Row],[takes]]&gt;0,Table8131721[[#This Row],[wins]]/Table8131721[[#This Row],[takes]],0)</f>
        <v>0.5</v>
      </c>
    </row>
    <row r="8" spans="1:9" x14ac:dyDescent="0.25">
      <c r="A8" t="s">
        <v>133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1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0</v>
      </c>
      <c r="D8" s="3">
        <f>IF(SUM(Table8131721[[#This Row],[takes]]) &gt; 0,Table8131721[[#This Row],[takes]]/SUM(Table8131721[takes]),0)</f>
        <v>0.1</v>
      </c>
      <c r="E8" s="3">
        <f>IF(Table8131721[[#This Row],[takes]]&gt;0,Table8131721[[#This Row],[wins]]/Table8131721[[#This Row],[takes]],0)</f>
        <v>0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5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3</v>
      </c>
      <c r="D9" s="17">
        <f>IF(SUM(Table8131721[[#This Row],[takes]]) &gt; 0,Table8131721[[#This Row],[takes]]/SUM(Table8131721[takes]),0)</f>
        <v>0.5</v>
      </c>
      <c r="E9" s="17">
        <f>IF(Table8131721[[#This Row],[takes]]&gt;0,Table8131721[[#This Row],[wins]]/Table8131721[[#This Row],[takes]],0)</f>
        <v>0.6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3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</v>
      </c>
      <c r="D12" s="18">
        <f>IF(SUM(Table9141822[[#This Row],[takes]]) &gt; 0,Table9141822[[#This Row],[takes]]/SUM(Table9141822[takes]),0)</f>
        <v>1</v>
      </c>
      <c r="E12" s="18">
        <f>IF(Table9141822[[#This Row],[takes]]&gt;0,Table9141822[[#This Row],[wins]]/Table9141822[[#This Row],[takes]],0)</f>
        <v>0.66666666666666663</v>
      </c>
    </row>
    <row r="13" spans="1:9" x14ac:dyDescent="0.25">
      <c r="A13" s="2" t="s">
        <v>134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0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0</v>
      </c>
      <c r="D13" s="16">
        <f>IF(SUM(Table9141822[[#This Row],[takes]]) &gt; 0,Table9141822[[#This Row],[takes]]/SUM(Table9141822[takes]),0)</f>
        <v>0</v>
      </c>
      <c r="E13" s="16">
        <f>IF(Table9141822[[#This Row],[takes]]&gt;0,Table9141822[[#This Row],[wins]]/Table9141822[[#This Row],[takes]],0)</f>
        <v>0</v>
      </c>
    </row>
    <row r="14" spans="1:9" x14ac:dyDescent="0.25">
      <c r="A14" s="15" t="s">
        <v>135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0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0</v>
      </c>
      <c r="D14" s="19">
        <f>IF(SUM(Table9141822[[#This Row],[takes]]) &gt; 0,Table9141822[[#This Row],[takes]]/SUM(Table9141822[takes]),0)</f>
        <v>0</v>
      </c>
      <c r="E14" s="19">
        <f>IF(Table9141822[[#This Row],[takes]]&gt;0,Table9141822[[#This Row],[wins]]/Table9141822[[#This Row],[takes]],0)</f>
        <v>0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136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0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7" s="16">
        <f>IF(SUM(Table10151923[[#This Row],[takes]]) &gt; 0,Table10151923[[#This Row],[takes]]/SUM(Table10151923[takes]),0)</f>
        <v>0</v>
      </c>
      <c r="E17" s="16">
        <f>IF(Table10151923[[#This Row],[takes]]&gt;0,Table10151923[[#This Row],[wins]]/Table10151923[[#This Row],[takes]],0)</f>
        <v>0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0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8" s="16">
        <f>IF(SUM(Table10151923[[#This Row],[takes]]) &gt; 0,Table10151923[[#This Row],[takes]]/SUM(Table10151923[takes]),0)</f>
        <v>0</v>
      </c>
      <c r="E18" s="16">
        <f>IF(Table10151923[[#This Row],[takes]]&gt;0,Table10151923[[#This Row],[wins]]/Table10151923[[#This Row],[takes]],0)</f>
        <v>0</v>
      </c>
    </row>
    <row r="19" spans="1:5" x14ac:dyDescent="0.25">
      <c r="A19" s="14" t="s">
        <v>137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0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9" s="17">
        <f>IF(SUM(Table10151923[[#This Row],[takes]]) &gt; 0,Table10151923[[#This Row],[takes]]/SUM(Table10151923[takes]),0)</f>
        <v>0</v>
      </c>
      <c r="E19" s="17">
        <f>IF(Table10151923[[#This Row],[takes]]&gt;0,Table10151923[[#This Row],[wins]]/Table10151923[[#This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2021-09-02T21:27:54Z</dcterms:modified>
</cp:coreProperties>
</file>